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u/Git/Health_Insurance_Sim/"/>
    </mc:Choice>
  </mc:AlternateContent>
  <xr:revisionPtr revIDLastSave="0" documentId="8_{437B6F4B-1B5B-4740-8DA3-308FF09A3BA0}" xr6:coauthVersionLast="47" xr6:coauthVersionMax="47" xr10:uidLastSave="{00000000-0000-0000-0000-000000000000}"/>
  <bookViews>
    <workbookView xWindow="0" yWindow="500" windowWidth="21820" windowHeight="14020" tabRatio="697" firstSheet="4" activeTab="10" xr2:uid="{F6A96D25-7D9C-42EF-8194-D93FF2DCAE10}"/>
  </bookViews>
  <sheets>
    <sheet name="-old-famDeduct-" sheetId="1" r:id="rId1"/>
    <sheet name="-old-mental-" sheetId="337" r:id="rId2"/>
    <sheet name="oldFamily Report" sheetId="522" r:id="rId3"/>
    <sheet name="newmental health" sheetId="424" r:id="rId4"/>
    <sheet name="FamDeduct" sheetId="494" r:id="rId5"/>
    <sheet name="FamNoPregYesMental" sheetId="632" r:id="rId6"/>
    <sheet name="IndDeduct" sheetId="587" r:id="rId7"/>
    <sheet name="IndNoPregYesMental" sheetId="633" r:id="rId8"/>
    <sheet name="IndNoPregNoMental" sheetId="648" r:id="rId9"/>
    <sheet name="RiskSerializationData8" sheetId="653" state="hidden" r:id="rId10"/>
    <sheet name="Combos" sheetId="649" r:id="rId11"/>
  </sheets>
  <definedNames>
    <definedName name="_AtRisk_ReportsSetting_ReportGraphOptions" hidden="1">"REP:VER:8.8.1GRA:OUT:00INS:00SUM:T00DET:T00SCE:02SC1:33DAT:2|TRUE,.75,1|TRUE,0,.25|TRUE,.9,1SE1:38DAT:3,10,2,.95,5,16,FALSE,0,TRUE,TRUE,TRUESE2:38DAT:3,10,2,.95,5,16,FALSE,0,TRUE,TRUE,TRUETSI:002SDA:FF"</definedName>
    <definedName name="_AtRisk_ReportsSetting_ReportMulitSelections" hidden="1">"REP:VER:8.8.1MUL:OUT:T23INS:T11SUM:T10DET:T10SEN:T11SCE:T11TEM:FSDA:T10"</definedName>
    <definedName name="_AtRisk_ReportsSetting_ReportOptions" hidden="1">"REP:VER:8.8.1OPT:RAP:01RWE:01RLS:04ROT:00RST:00RRT:01AGR:FAFN:113DAT:C:\Users\weedy\Dropbox\Shared with Katy\Job Stuff\2024\FHEvTACAIR Respin\Report-2024 Monte Carlo for FHE v TA.pdfOGR:T"</definedName>
    <definedName name="_AtRisk_ReportsSetting_ReportSelectedRangeOutputs" localSheetId="6" hidden="1">IndDeduct!$H$37,IndDeduct!$J$37,IndDeduct!$L$37,IndDeduct!$N$37,IndDeduct!$Q$37,IndDeduct!$S$37,IndDeduct!$U$37,IndDeduct!$W$37</definedName>
    <definedName name="_AtRisk_ReportsSetting_ReportSelectedRangeOutputs" hidden="1">FamDeduct!$H$37,FamDeduct!$J$37,FamDeduct!$L$37,FamDeduct!$N$37,FamDeduct!$Q$37,FamDeduct!$S$37,FamDeduct!$U$37,FamDeduct!$W$37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RiskReport" localSheetId="10" hidden="1">"=true"</definedName>
    <definedName name="_AtRisk_RiskReport" localSheetId="5" hidden="1">"=true"</definedName>
    <definedName name="_AtRisk_RiskReport" localSheetId="8" hidden="1">"=true"</definedName>
    <definedName name="_AtRisk_RiskReport" localSheetId="7" hidden="1">"=true"</definedName>
    <definedName name="_AtRisk_RiskReport" localSheetId="2" hidden="1">"=true"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rowseRecords" localSheetId="9">RiskSerializationData8!$6:$10</definedName>
    <definedName name="Pal_Workbook_GUID" hidden="1">"73WWX44FDVZ5V97CHF4G6E9U"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rializationHeader" localSheetId="9">RiskSerializationData8!$A$1:$B$3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53" l="1"/>
  <c r="A10" i="653"/>
  <c r="L9" i="653"/>
  <c r="A9" i="653"/>
  <c r="L8" i="653"/>
  <c r="A8" i="653"/>
  <c r="L7" i="653"/>
  <c r="A7" i="653"/>
  <c r="L6" i="653"/>
  <c r="A6" i="653"/>
  <c r="O6" i="649"/>
  <c r="O5" i="649"/>
  <c r="O4" i="649"/>
  <c r="J6" i="649"/>
  <c r="J5" i="649"/>
  <c r="J4" i="649"/>
  <c r="I6" i="649"/>
  <c r="I5" i="649"/>
  <c r="I4" i="649"/>
  <c r="H6" i="649"/>
  <c r="H5" i="649"/>
  <c r="H4" i="649"/>
  <c r="G6" i="649"/>
  <c r="G5" i="649"/>
  <c r="G4" i="649"/>
  <c r="E6" i="649"/>
  <c r="E5" i="649"/>
  <c r="E4" i="649"/>
  <c r="C6" i="649"/>
  <c r="C5" i="649"/>
  <c r="C4" i="649"/>
  <c r="D14" i="587" l="1"/>
  <c r="D6" i="587"/>
  <c r="D7" i="587"/>
  <c r="D8" i="587"/>
  <c r="D9" i="587"/>
  <c r="D10" i="587"/>
  <c r="D11" i="587"/>
  <c r="D12" i="587"/>
  <c r="D3" i="587"/>
  <c r="D4" i="587"/>
  <c r="D14" i="494"/>
  <c r="D6" i="494"/>
  <c r="D7" i="494"/>
  <c r="D8" i="494"/>
  <c r="D9" i="494"/>
  <c r="D10" i="494"/>
  <c r="D11" i="494"/>
  <c r="D12" i="494"/>
  <c r="D3" i="494"/>
  <c r="D4" i="494"/>
  <c r="D3" i="1"/>
  <c r="D4" i="1"/>
  <c r="D5" i="1"/>
  <c r="B28" i="1" s="1"/>
  <c r="C28" i="1" s="1"/>
  <c r="D6" i="1"/>
  <c r="D7" i="1"/>
  <c r="D8" i="1"/>
  <c r="D9" i="1"/>
  <c r="D10" i="1"/>
  <c r="D11" i="1"/>
  <c r="D12" i="1"/>
  <c r="D13" i="1"/>
  <c r="B32" i="1" s="1"/>
  <c r="C32" i="1" s="1"/>
  <c r="D14" i="1"/>
  <c r="B27" i="587"/>
  <c r="C27" i="587"/>
  <c r="D27" i="587"/>
  <c r="B29" i="494"/>
  <c r="C29" i="494"/>
  <c r="D29" i="494" s="1"/>
  <c r="W38" i="587"/>
  <c r="U38" i="587"/>
  <c r="S38" i="587"/>
  <c r="Q38" i="587"/>
  <c r="N38" i="587"/>
  <c r="L38" i="587"/>
  <c r="J38" i="587"/>
  <c r="H38" i="587"/>
  <c r="W34" i="587"/>
  <c r="U34" i="587"/>
  <c r="S34" i="587"/>
  <c r="Q34" i="587"/>
  <c r="N34" i="587"/>
  <c r="L34" i="587"/>
  <c r="J34" i="587"/>
  <c r="H34" i="587"/>
  <c r="B32" i="587"/>
  <c r="C32" i="587"/>
  <c r="A32" i="587"/>
  <c r="A29" i="587"/>
  <c r="A28" i="587"/>
  <c r="A27" i="587"/>
  <c r="A26" i="587"/>
  <c r="A25" i="587"/>
  <c r="A24" i="587"/>
  <c r="A23" i="587"/>
  <c r="W22" i="587"/>
  <c r="A20" i="587"/>
  <c r="A19" i="587"/>
  <c r="W17" i="587"/>
  <c r="W18" i="587"/>
  <c r="U17" i="587"/>
  <c r="U18" i="587"/>
  <c r="S17" i="587"/>
  <c r="S18" i="587" s="1"/>
  <c r="Q17" i="587"/>
  <c r="Q18" i="587"/>
  <c r="N17" i="587"/>
  <c r="N18" i="587"/>
  <c r="L17" i="587"/>
  <c r="L18" i="587"/>
  <c r="J17" i="587"/>
  <c r="J18" i="587" s="1"/>
  <c r="H17" i="587"/>
  <c r="H18" i="587"/>
  <c r="A17" i="587"/>
  <c r="Y6" i="587"/>
  <c r="Y5" i="587"/>
  <c r="Y4" i="587"/>
  <c r="Y3" i="587"/>
  <c r="W17" i="494"/>
  <c r="U17" i="494"/>
  <c r="S17" i="494"/>
  <c r="Q17" i="494"/>
  <c r="Q18" i="494" s="1"/>
  <c r="N17" i="494"/>
  <c r="N18" i="494" s="1"/>
  <c r="L17" i="494"/>
  <c r="J17" i="494"/>
  <c r="H17" i="494"/>
  <c r="H18" i="494" s="1"/>
  <c r="B32" i="494"/>
  <c r="C32" i="494" s="1"/>
  <c r="W38" i="494"/>
  <c r="U38" i="494"/>
  <c r="S38" i="494"/>
  <c r="Q38" i="494"/>
  <c r="N38" i="494"/>
  <c r="L38" i="494"/>
  <c r="J38" i="494"/>
  <c r="H38" i="494"/>
  <c r="W34" i="494"/>
  <c r="U34" i="494"/>
  <c r="S34" i="494"/>
  <c r="Q34" i="494"/>
  <c r="N34" i="494"/>
  <c r="L34" i="494"/>
  <c r="J34" i="494"/>
  <c r="H34" i="494"/>
  <c r="A32" i="494"/>
  <c r="A29" i="494"/>
  <c r="A28" i="494"/>
  <c r="A27" i="494"/>
  <c r="A26" i="494"/>
  <c r="A25" i="494"/>
  <c r="A24" i="494"/>
  <c r="A23" i="494"/>
  <c r="W22" i="494"/>
  <c r="A20" i="494"/>
  <c r="A19" i="494"/>
  <c r="W18" i="494"/>
  <c r="U18" i="494"/>
  <c r="S18" i="494"/>
  <c r="L18" i="494"/>
  <c r="J18" i="494"/>
  <c r="A17" i="494"/>
  <c r="Y6" i="494"/>
  <c r="Y5" i="494"/>
  <c r="Y4" i="494"/>
  <c r="Y3" i="494"/>
  <c r="J12" i="424"/>
  <c r="I12" i="424"/>
  <c r="H12" i="424"/>
  <c r="G12" i="424"/>
  <c r="E12" i="424"/>
  <c r="D12" i="424"/>
  <c r="C12" i="424"/>
  <c r="B12" i="424"/>
  <c r="N6" i="424"/>
  <c r="M6" i="424"/>
  <c r="N7" i="424" s="1"/>
  <c r="J2" i="424"/>
  <c r="I2" i="424"/>
  <c r="H2" i="424"/>
  <c r="G2" i="424"/>
  <c r="E2" i="424"/>
  <c r="D2" i="424"/>
  <c r="C2" i="424"/>
  <c r="B2" i="424"/>
  <c r="J1" i="424"/>
  <c r="I1" i="424"/>
  <c r="H1" i="424"/>
  <c r="G1" i="424"/>
  <c r="E1" i="424"/>
  <c r="D1" i="424"/>
  <c r="C1" i="424"/>
  <c r="B1" i="424"/>
  <c r="B4" i="337"/>
  <c r="E5" i="337"/>
  <c r="E6" i="337" s="1"/>
  <c r="E7" i="337" s="1"/>
  <c r="E8" i="337" s="1"/>
  <c r="H35" i="1"/>
  <c r="H34" i="1" s="1"/>
  <c r="J34" i="1"/>
  <c r="L34" i="1"/>
  <c r="N34" i="1"/>
  <c r="Q34" i="1"/>
  <c r="Y34" i="1"/>
  <c r="W34" i="1"/>
  <c r="S17" i="1"/>
  <c r="S18" i="1" s="1"/>
  <c r="H17" i="1"/>
  <c r="H18" i="1" s="1"/>
  <c r="J17" i="1"/>
  <c r="J18" i="1"/>
  <c r="L17" i="1"/>
  <c r="L18" i="1" s="1"/>
  <c r="N17" i="1"/>
  <c r="N18" i="1" s="1"/>
  <c r="Q17" i="1"/>
  <c r="Q18" i="1" s="1"/>
  <c r="U17" i="1"/>
  <c r="U18" i="1"/>
  <c r="W17" i="1"/>
  <c r="W18" i="1" s="1"/>
  <c r="Y17" i="1"/>
  <c r="Y18" i="1" s="1"/>
  <c r="U12" i="1"/>
  <c r="U11" i="1"/>
  <c r="U10" i="1"/>
  <c r="U9" i="1"/>
  <c r="U8" i="1"/>
  <c r="U7" i="1"/>
  <c r="U5" i="1"/>
  <c r="U4" i="1"/>
  <c r="U3" i="1"/>
  <c r="U35" i="1"/>
  <c r="U34" i="1"/>
  <c r="AA9" i="1"/>
  <c r="AA8" i="1"/>
  <c r="S35" i="1"/>
  <c r="S34" i="1"/>
  <c r="R38" i="1"/>
  <c r="S22" i="1"/>
  <c r="T38" i="1"/>
  <c r="U22" i="1"/>
  <c r="Y22" i="1"/>
  <c r="W22" i="1"/>
  <c r="X38" i="1"/>
  <c r="V38" i="1"/>
  <c r="P38" i="1"/>
  <c r="M38" i="1"/>
  <c r="K38" i="1"/>
  <c r="I38" i="1"/>
  <c r="G38" i="1"/>
  <c r="A25" i="1"/>
  <c r="A24" i="1"/>
  <c r="AA5" i="1"/>
  <c r="AA11" i="1"/>
  <c r="AA10" i="1"/>
  <c r="AA7" i="1"/>
  <c r="AA6" i="1"/>
  <c r="AA4" i="1"/>
  <c r="AA3" i="1"/>
  <c r="A32" i="1"/>
  <c r="A29" i="1"/>
  <c r="A28" i="1"/>
  <c r="A27" i="1"/>
  <c r="A26" i="1"/>
  <c r="A23" i="1"/>
  <c r="A19" i="1"/>
  <c r="A20" i="1"/>
  <c r="A17" i="1"/>
  <c r="D5" i="337"/>
  <c r="D6" i="337"/>
  <c r="D7" i="337"/>
  <c r="D8" i="337" s="1"/>
  <c r="B23" i="494"/>
  <c r="C23" i="494" s="1"/>
  <c r="D23" i="494" s="1"/>
  <c r="B27" i="494"/>
  <c r="C27" i="494"/>
  <c r="D27" i="494" s="1"/>
  <c r="B23" i="587"/>
  <c r="C23" i="587" s="1"/>
  <c r="D23" i="587" s="1"/>
  <c r="B26" i="587"/>
  <c r="C26" i="587"/>
  <c r="D26" i="587" s="1"/>
  <c r="B29" i="587"/>
  <c r="C29" i="587" s="1"/>
  <c r="D29" i="587" s="1"/>
  <c r="B26" i="494"/>
  <c r="C26" i="494"/>
  <c r="D26" i="494"/>
  <c r="B28" i="494"/>
  <c r="C28" i="494" s="1"/>
  <c r="D28" i="494" s="1"/>
  <c r="B28" i="587"/>
  <c r="C28" i="587" s="1"/>
  <c r="D28" i="587" s="1"/>
  <c r="D15" i="494"/>
  <c r="D15" i="1"/>
  <c r="D15" i="587"/>
  <c r="E10" i="337" l="1"/>
  <c r="E9" i="337"/>
  <c r="B5" i="424"/>
  <c r="H5" i="424"/>
  <c r="I5" i="424"/>
  <c r="G5" i="424"/>
  <c r="D5" i="424"/>
  <c r="J5" i="424"/>
  <c r="E5" i="424"/>
  <c r="C5" i="424"/>
  <c r="D10" i="337"/>
  <c r="D9" i="337"/>
  <c r="D28" i="1"/>
  <c r="B26" i="1"/>
  <c r="C26" i="1" s="1"/>
  <c r="D26" i="1" s="1"/>
  <c r="B27" i="1"/>
  <c r="C27" i="1" s="1"/>
  <c r="D27" i="1" s="1"/>
  <c r="B29" i="1"/>
  <c r="C29" i="1" s="1"/>
  <c r="D29" i="1" s="1"/>
  <c r="U22" i="494"/>
  <c r="B23" i="1"/>
  <c r="C23" i="1" s="1"/>
  <c r="D23" i="1" s="1"/>
  <c r="Q22" i="494"/>
  <c r="J22" i="587"/>
  <c r="L22" i="587"/>
  <c r="Q22" i="587"/>
  <c r="N22" i="587"/>
  <c r="L22" i="1"/>
  <c r="S22" i="494"/>
  <c r="U22" i="587"/>
  <c r="N22" i="1"/>
  <c r="J22" i="1"/>
  <c r="J22" i="494"/>
  <c r="N22" i="494"/>
  <c r="S22" i="587"/>
  <c r="L22" i="494"/>
  <c r="Q22" i="1"/>
  <c r="Q23" i="587"/>
  <c r="H26" i="587"/>
  <c r="W23" i="587"/>
  <c r="S26" i="587"/>
  <c r="Q26" i="587"/>
  <c r="U23" i="587"/>
  <c r="N23" i="587"/>
  <c r="J26" i="587"/>
  <c r="L26" i="587"/>
  <c r="W26" i="587"/>
  <c r="H23" i="587"/>
  <c r="S23" i="587"/>
  <c r="L23" i="587"/>
  <c r="J23" i="587"/>
  <c r="U26" i="587"/>
  <c r="N26" i="587"/>
  <c r="J26" i="1"/>
  <c r="H23" i="1"/>
  <c r="N26" i="1"/>
  <c r="W23" i="1"/>
  <c r="Y26" i="1"/>
  <c r="H26" i="1"/>
  <c r="D32" i="1" s="1"/>
  <c r="Q23" i="1"/>
  <c r="J23" i="1"/>
  <c r="U23" i="1"/>
  <c r="L26" i="1"/>
  <c r="S26" i="1"/>
  <c r="N23" i="1"/>
  <c r="Q26" i="1"/>
  <c r="S23" i="1"/>
  <c r="W26" i="1"/>
  <c r="U26" i="1"/>
  <c r="Y23" i="1"/>
  <c r="L23" i="1"/>
  <c r="W26" i="494"/>
  <c r="U23" i="494"/>
  <c r="S23" i="494"/>
  <c r="J26" i="494"/>
  <c r="S26" i="494"/>
  <c r="W23" i="494"/>
  <c r="H23" i="494"/>
  <c r="U26" i="494"/>
  <c r="L26" i="494"/>
  <c r="N26" i="494"/>
  <c r="J23" i="494"/>
  <c r="N23" i="494"/>
  <c r="Q26" i="494"/>
  <c r="H26" i="494"/>
  <c r="Q23" i="494"/>
  <c r="L23" i="494"/>
  <c r="J8" i="424" l="1"/>
  <c r="J7" i="424"/>
  <c r="J10" i="424" s="1"/>
  <c r="J11" i="424" s="1"/>
  <c r="J13" i="424" s="1"/>
  <c r="D7" i="424"/>
  <c r="D10" i="424" s="1"/>
  <c r="D11" i="424" s="1"/>
  <c r="D13" i="424" s="1"/>
  <c r="D8" i="424"/>
  <c r="D9" i="424"/>
  <c r="G8" i="424"/>
  <c r="G9" i="424" s="1"/>
  <c r="G7" i="424"/>
  <c r="G10" i="424" s="1"/>
  <c r="G11" i="424" s="1"/>
  <c r="G13" i="424" s="1"/>
  <c r="I7" i="424"/>
  <c r="I10" i="424" s="1"/>
  <c r="I11" i="424" s="1"/>
  <c r="I13" i="424" s="1"/>
  <c r="I8" i="424"/>
  <c r="I9" i="424" s="1"/>
  <c r="H8" i="424"/>
  <c r="H7" i="424"/>
  <c r="H10" i="424" s="1"/>
  <c r="H11" i="424" s="1"/>
  <c r="H13" i="424" s="1"/>
  <c r="H9" i="424"/>
  <c r="D11" i="337"/>
  <c r="D12" i="337"/>
  <c r="B8" i="424"/>
  <c r="B7" i="424"/>
  <c r="B10" i="424" s="1"/>
  <c r="B11" i="424" s="1"/>
  <c r="B13" i="424" s="1"/>
  <c r="C8" i="424"/>
  <c r="C7" i="424"/>
  <c r="C10" i="424" s="1"/>
  <c r="C11" i="424" s="1"/>
  <c r="C13" i="424" s="1"/>
  <c r="C9" i="424"/>
  <c r="E9" i="424"/>
  <c r="E8" i="424"/>
  <c r="E7" i="424"/>
  <c r="E10" i="424" s="1"/>
  <c r="E11" i="424" s="1"/>
  <c r="E13" i="424" s="1"/>
  <c r="E12" i="337"/>
  <c r="E11" i="337"/>
  <c r="D32" i="494"/>
  <c r="W24" i="494"/>
  <c r="W25" i="494"/>
  <c r="W27" i="494" s="1"/>
  <c r="U24" i="494"/>
  <c r="U25" i="494"/>
  <c r="U27" i="494" s="1"/>
  <c r="N25" i="1"/>
  <c r="N27" i="1" s="1"/>
  <c r="N24" i="1"/>
  <c r="J25" i="1"/>
  <c r="J27" i="1" s="1"/>
  <c r="J24" i="1"/>
  <c r="W25" i="1"/>
  <c r="W27" i="1" s="1"/>
  <c r="W24" i="1"/>
  <c r="S25" i="587"/>
  <c r="S27" i="587" s="1"/>
  <c r="S24" i="587"/>
  <c r="Q24" i="494"/>
  <c r="Q25" i="494"/>
  <c r="Q27" i="494" s="1"/>
  <c r="Q24" i="1"/>
  <c r="Q25" i="1"/>
  <c r="Q27" i="1" s="1"/>
  <c r="H24" i="587"/>
  <c r="H25" i="587"/>
  <c r="H27" i="587" s="1"/>
  <c r="N24" i="587"/>
  <c r="N29" i="587" s="1"/>
  <c r="N25" i="587"/>
  <c r="W24" i="587"/>
  <c r="W25" i="587"/>
  <c r="W27" i="587" s="1"/>
  <c r="L25" i="494"/>
  <c r="L27" i="494" s="1"/>
  <c r="L24" i="494"/>
  <c r="N24" i="494"/>
  <c r="N25" i="494"/>
  <c r="N27" i="494" s="1"/>
  <c r="L24" i="1"/>
  <c r="L25" i="1"/>
  <c r="L27" i="1" s="1"/>
  <c r="S25" i="1"/>
  <c r="S27" i="1" s="1"/>
  <c r="S24" i="1"/>
  <c r="H25" i="1"/>
  <c r="H27" i="1" s="1"/>
  <c r="H24" i="1"/>
  <c r="J24" i="587"/>
  <c r="J29" i="587" s="1"/>
  <c r="J25" i="587"/>
  <c r="J27" i="587" s="1"/>
  <c r="U25" i="587"/>
  <c r="U24" i="587"/>
  <c r="U29" i="587" s="1"/>
  <c r="D32" i="587"/>
  <c r="J25" i="494"/>
  <c r="J24" i="494"/>
  <c r="H24" i="494"/>
  <c r="H25" i="494"/>
  <c r="S24" i="494"/>
  <c r="S25" i="494"/>
  <c r="Y24" i="1"/>
  <c r="Y25" i="1"/>
  <c r="Y27" i="1" s="1"/>
  <c r="U25" i="1"/>
  <c r="U24" i="1"/>
  <c r="L25" i="587"/>
  <c r="L27" i="587" s="1"/>
  <c r="L24" i="587"/>
  <c r="L29" i="587" s="1"/>
  <c r="Q24" i="587"/>
  <c r="Q29" i="587" s="1"/>
  <c r="Q25" i="587"/>
  <c r="S29" i="587"/>
  <c r="J29" i="494"/>
  <c r="B9" i="424" l="1"/>
  <c r="J9" i="424"/>
  <c r="D13" i="337"/>
  <c r="L28" i="587"/>
  <c r="J31" i="587"/>
  <c r="J32" i="587" s="1"/>
  <c r="J33" i="587" s="1"/>
  <c r="L31" i="1"/>
  <c r="L32" i="1" s="1"/>
  <c r="L33" i="1" s="1"/>
  <c r="N31" i="494"/>
  <c r="N32" i="494" s="1"/>
  <c r="N33" i="494" s="1"/>
  <c r="N37" i="494" s="1"/>
  <c r="W31" i="587"/>
  <c r="W32" i="587" s="1"/>
  <c r="W33" i="587" s="1"/>
  <c r="W36" i="587" s="1"/>
  <c r="H31" i="587"/>
  <c r="H32" i="587" s="1"/>
  <c r="H33" i="587" s="1"/>
  <c r="Q31" i="1"/>
  <c r="Q32" i="1" s="1"/>
  <c r="Q33" i="1" s="1"/>
  <c r="Q36" i="1" s="1"/>
  <c r="S27" i="494"/>
  <c r="S28" i="494" s="1"/>
  <c r="Q31" i="494"/>
  <c r="Q32" i="494" s="1"/>
  <c r="Q33" i="494" s="1"/>
  <c r="Q36" i="494" s="1"/>
  <c r="S28" i="587"/>
  <c r="J31" i="1"/>
  <c r="J32" i="1" s="1"/>
  <c r="J33" i="1" s="1"/>
  <c r="J37" i="1" s="1"/>
  <c r="U27" i="1"/>
  <c r="U31" i="1" s="1"/>
  <c r="U32" i="1" s="1"/>
  <c r="U33" i="1" s="1"/>
  <c r="U36" i="1" s="1"/>
  <c r="U37" i="1" s="1"/>
  <c r="W31" i="494"/>
  <c r="W32" i="494" s="1"/>
  <c r="W33" i="494" s="1"/>
  <c r="W36" i="494" s="1"/>
  <c r="L31" i="587"/>
  <c r="L32" i="587" s="1"/>
  <c r="L33" i="587" s="1"/>
  <c r="H31" i="1"/>
  <c r="H32" i="1" s="1"/>
  <c r="H33" i="1" s="1"/>
  <c r="S31" i="1"/>
  <c r="S32" i="1" s="1"/>
  <c r="S33" i="1" s="1"/>
  <c r="S36" i="1" s="1"/>
  <c r="J27" i="494"/>
  <c r="J28" i="494" s="1"/>
  <c r="L31" i="494"/>
  <c r="L32" i="494" s="1"/>
  <c r="L33" i="494" s="1"/>
  <c r="U27" i="587"/>
  <c r="U28" i="587" s="1"/>
  <c r="N27" i="587"/>
  <c r="N28" i="587" s="1"/>
  <c r="J28" i="1"/>
  <c r="U28" i="494"/>
  <c r="Q27" i="587"/>
  <c r="Q28" i="587" s="1"/>
  <c r="Y28" i="1"/>
  <c r="H28" i="1"/>
  <c r="S28" i="1"/>
  <c r="L28" i="494"/>
  <c r="W31" i="1"/>
  <c r="W32" i="1" s="1"/>
  <c r="W33" i="1" s="1"/>
  <c r="W36" i="1" s="1"/>
  <c r="W37" i="1" s="1"/>
  <c r="N31" i="1"/>
  <c r="N32" i="1" s="1"/>
  <c r="N33" i="1" s="1"/>
  <c r="U31" i="494"/>
  <c r="U32" i="494" s="1"/>
  <c r="U33" i="494" s="1"/>
  <c r="U36" i="494" s="1"/>
  <c r="Y31" i="1"/>
  <c r="Y32" i="1" s="1"/>
  <c r="Y33" i="1" s="1"/>
  <c r="Y36" i="1" s="1"/>
  <c r="J28" i="587"/>
  <c r="L28" i="1"/>
  <c r="N28" i="494"/>
  <c r="W28" i="587"/>
  <c r="H28" i="587"/>
  <c r="Q28" i="1"/>
  <c r="Q28" i="494"/>
  <c r="S31" i="587"/>
  <c r="S32" i="587" s="1"/>
  <c r="S33" i="587" s="1"/>
  <c r="S36" i="587" s="1"/>
  <c r="W28" i="1"/>
  <c r="N28" i="1"/>
  <c r="W28" i="494"/>
  <c r="H27" i="494"/>
  <c r="L37" i="1"/>
  <c r="Q37" i="1"/>
  <c r="H37" i="1"/>
  <c r="Y37" i="1"/>
  <c r="S37" i="587"/>
  <c r="L37" i="494"/>
  <c r="S37" i="1"/>
  <c r="H29" i="1"/>
  <c r="H37" i="587"/>
  <c r="U37" i="494"/>
  <c r="W37" i="587"/>
  <c r="Q37" i="494"/>
  <c r="W37" i="494"/>
  <c r="N37" i="1"/>
  <c r="S29" i="494"/>
  <c r="J37" i="587"/>
  <c r="L37" i="587"/>
  <c r="J29" i="1"/>
  <c r="L29" i="1"/>
  <c r="Q29" i="1"/>
  <c r="N29" i="1"/>
  <c r="Q29" i="494"/>
  <c r="Y29" i="1"/>
  <c r="U29" i="494"/>
  <c r="S29" i="1"/>
  <c r="N29" i="494"/>
  <c r="W29" i="494"/>
  <c r="W29" i="1"/>
  <c r="L29" i="494"/>
  <c r="W29" i="587"/>
  <c r="H29" i="587"/>
  <c r="N31" i="587" l="1"/>
  <c r="N32" i="587" s="1"/>
  <c r="N33" i="587" s="1"/>
  <c r="U31" i="587"/>
  <c r="U32" i="587" s="1"/>
  <c r="U33" i="587" s="1"/>
  <c r="U36" i="587" s="1"/>
  <c r="Q31" i="587"/>
  <c r="Q32" i="587" s="1"/>
  <c r="Q33" i="587" s="1"/>
  <c r="Q36" i="587" s="1"/>
  <c r="Q37" i="587" s="1"/>
  <c r="J31" i="494"/>
  <c r="J32" i="494" s="1"/>
  <c r="J33" i="494" s="1"/>
  <c r="J37" i="494" s="1"/>
  <c r="H28" i="494"/>
  <c r="U28" i="1"/>
  <c r="H31" i="494"/>
  <c r="H32" i="494" s="1"/>
  <c r="H33" i="494" s="1"/>
  <c r="H37" i="494" s="1"/>
  <c r="S31" i="494"/>
  <c r="S32" i="494" s="1"/>
  <c r="S33" i="494" s="1"/>
  <c r="S36" i="494" s="1"/>
  <c r="S37" i="494" s="1"/>
  <c r="N37" i="587"/>
  <c r="U37" i="587"/>
  <c r="H29" i="494"/>
  <c r="U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Griffith</author>
  </authors>
  <commentList>
    <comment ref="Q7" authorId="0" shapeId="0" xr:uid="{877E4098-49B0-4726-831D-E3AD623494A2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Geha is $10, 40% to $250 and 60% to $350</t>
        </r>
      </text>
    </comment>
    <comment ref="Y7" authorId="0" shapeId="0" xr:uid="{D7B5C482-C95A-4C98-9F42-C32FA170E4D7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$6 / 30% to 600 ; 50% to 600
This sharing doesn't actually work of scripts count against deductible. Haven't programmed that in yet. Should be a relatively small thing.</t>
        </r>
      </text>
    </comment>
    <comment ref="AE24" authorId="0" shapeId="0" xr:uid="{8D6C1F7C-43EA-4399-AC41-34C5F19E6819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Actually $10, $200, $300 but this math works out easier.
This sharing doesn't actually work of scripts count against deductible. Haven't programmed that in yet. Should be a relatively small thing.</t>
        </r>
      </text>
    </comment>
    <comment ref="A28" authorId="0" shapeId="0" xr:uid="{2791DACA-CA04-4CC6-A677-E794E7C838A1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  <comment ref="A36" authorId="0" shapeId="0" xr:uid="{B20F67FB-DDF1-43F1-AAF4-3E37BE9FC312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Griffith</author>
  </authors>
  <commentList>
    <comment ref="C3" authorId="0" shapeId="0" xr:uid="{3F655CFD-23BB-4168-AF7C-DDF4CBD044F7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7 before baby. Now is 7 + 5 = 12.</t>
        </r>
      </text>
    </comment>
    <comment ref="C4" authorId="0" shapeId="0" xr:uid="{B3A96860-7744-43DB-97B4-C82ADE013EA1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6 before baby. Now 6 + 2 = 8.</t>
        </r>
      </text>
    </comment>
    <comment ref="C7" authorId="0" shapeId="0" xr:uid="{392F31C8-EB07-460E-A423-B2B4F53D073D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+ 4 = 6.</t>
        </r>
      </text>
    </comment>
    <comment ref="C10" authorId="0" shapeId="0" xr:uid="{5818782F-5D0E-476C-9C1C-87AEC6CAA2E8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+ 2 = 4.</t>
        </r>
      </text>
    </comment>
    <comment ref="C11" authorId="0" shapeId="0" xr:uid="{EBDCFD17-1A72-4F7E-B03E-1D8FF1BD186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1 before baby. Now is 1 + 2 = 3.</t>
        </r>
      </text>
    </comment>
    <comment ref="Q17" authorId="0" shapeId="0" xr:uid="{151F00E5-EAF7-4161-B04A-DE3EC7E1A3C9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2024 rates marked up by 10% (assumption)</t>
        </r>
      </text>
    </comment>
    <comment ref="A28" authorId="0" shapeId="0" xr:uid="{FA399F96-45FA-4061-9B9F-0605D6E770C7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  <comment ref="A36" authorId="0" shapeId="0" xr:uid="{92B624D3-1E31-47F2-906E-2691A72E331A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Griffith</author>
  </authors>
  <commentList>
    <comment ref="C3" authorId="0" shapeId="0" xr:uid="{AE797B13-AF01-437B-880B-5BAD65FC4BC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7 before baby. Now is 7 + 5 = 12.</t>
        </r>
      </text>
    </comment>
    <comment ref="C4" authorId="0" shapeId="0" xr:uid="{AD6541C6-3E3F-4370-828A-D899A2A995BD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6 before baby. Now 6 + 2 = 8.</t>
        </r>
      </text>
    </comment>
    <comment ref="C7" authorId="0" shapeId="0" xr:uid="{78FF688A-B24E-44F6-AD04-08508351AE85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+ 4 = 6.</t>
        </r>
      </text>
    </comment>
    <comment ref="C10" authorId="0" shapeId="0" xr:uid="{17CE55DC-3277-4DDE-90EE-AA74132F6EEA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+ 2 = 4.</t>
        </r>
      </text>
    </comment>
    <comment ref="C11" authorId="0" shapeId="0" xr:uid="{143F8B0A-8822-418F-BF4C-7827DCB71D92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1 before baby. Now is 1 + 2 = 3.</t>
        </r>
      </text>
    </comment>
    <comment ref="Q17" authorId="0" shapeId="0" xr:uid="{70E2A5AA-30FD-4061-BB6D-883E837BBA6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2024 rates marked up by 10% (assumption)</t>
        </r>
      </text>
    </comment>
    <comment ref="A28" authorId="0" shapeId="0" xr:uid="{03E7F2FD-AD89-4571-B239-A2DF1EB8CA7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  <comment ref="A36" authorId="0" shapeId="0" xr:uid="{E4204783-DEBD-4C93-8172-58FB2BC3D399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This doesn't seem right.</t>
        </r>
      </text>
    </comment>
  </commentList>
</comments>
</file>

<file path=xl/sharedStrings.xml><?xml version="1.0" encoding="utf-8"?>
<sst xmlns="http://schemas.openxmlformats.org/spreadsheetml/2006/main" count="517" uniqueCount="217">
  <si>
    <t>Issue</t>
  </si>
  <si>
    <t>Raw Cost</t>
  </si>
  <si>
    <t>Odds / Yr</t>
  </si>
  <si>
    <t>@Risk Code</t>
  </si>
  <si>
    <t>Routine PCP Visit</t>
  </si>
  <si>
    <t>Specialist Visit</t>
  </si>
  <si>
    <t>Chiropractor Visit</t>
  </si>
  <si>
    <t>Generic Script</t>
  </si>
  <si>
    <t>Formula Brand Name</t>
  </si>
  <si>
    <t>Non-Form Brand Name</t>
  </si>
  <si>
    <t>Urgent Care</t>
  </si>
  <si>
    <t>ER Visit</t>
  </si>
  <si>
    <t>Lab Services</t>
  </si>
  <si>
    <t>CATASTROPHE</t>
  </si>
  <si>
    <t>Outpatient Surgery</t>
  </si>
  <si>
    <t>Mental Health Visit</t>
  </si>
  <si>
    <t>Cost Info</t>
  </si>
  <si>
    <t>Tactical Air</t>
  </si>
  <si>
    <t>Fed</t>
  </si>
  <si>
    <t>Y</t>
  </si>
  <si>
    <t>N</t>
  </si>
  <si>
    <t>Premium (Annual)</t>
  </si>
  <si>
    <t>Deductible (Fam)</t>
  </si>
  <si>
    <t>Max OOP</t>
  </si>
  <si>
    <t>Total Deductible-Applying Cost</t>
  </si>
  <si>
    <t>Non-Deductible Costs</t>
  </si>
  <si>
    <t>Hit Deductible?</t>
  </si>
  <si>
    <t>Amount of Deductible-Appl. That's Shared?</t>
  </si>
  <si>
    <t>% Split of Share Deductible</t>
  </si>
  <si>
    <t>Our Share of Shared Deductible</t>
  </si>
  <si>
    <t>Insurance Share of Shared Deductible</t>
  </si>
  <si>
    <t>Checksum</t>
  </si>
  <si>
    <t>Our Expenses</t>
  </si>
  <si>
    <t>Over Max OOP?</t>
  </si>
  <si>
    <t>Corrected Our Expenses</t>
  </si>
  <si>
    <t>HSA Bonus?</t>
  </si>
  <si>
    <t>Additional Bonus, if Appl.</t>
  </si>
  <si>
    <t>TOTAL COST:</t>
  </si>
  <si>
    <t>ONLY Counseling</t>
  </si>
  <si>
    <t>Total Costs</t>
  </si>
  <si>
    <t>Expenses</t>
  </si>
  <si>
    <t>Total Paid Less HSA</t>
  </si>
  <si>
    <t>Effective Tax Rate</t>
  </si>
  <si>
    <t>Pregnancy &amp; Delivery</t>
  </si>
  <si>
    <t>OAP 500</t>
  </si>
  <si>
    <t>Breastfeeding Stuff</t>
  </si>
  <si>
    <t>Acupuncture</t>
  </si>
  <si>
    <t>$50/ea</t>
  </si>
  <si>
    <t>Infertility</t>
  </si>
  <si>
    <t>No</t>
  </si>
  <si>
    <t>OAP HDHPQ</t>
  </si>
  <si>
    <t>OAP Base</t>
  </si>
  <si>
    <t>OAP 1500</t>
  </si>
  <si>
    <t>$60/ea</t>
  </si>
  <si>
    <t>Premium Corrected for Taxes</t>
  </si>
  <si>
    <t>GEHA Standard</t>
  </si>
  <si>
    <t>Yes, after 6 months: 15% after deductible.</t>
  </si>
  <si>
    <t>APWU CDHP</t>
  </si>
  <si>
    <t>Yes, does not say how long. 15% (maybe after deductible?)</t>
  </si>
  <si>
    <t>15% after ded</t>
  </si>
  <si>
    <t>Written By Version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</si>
  <si>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</si>
  <si>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</si>
  <si>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</si>
  <si>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</si>
  <si>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</si>
  <si>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</si>
  <si>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</si>
  <si>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</si>
  <si>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</si>
  <si>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</si>
  <si>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</si>
  <si>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</si>
  <si>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</si>
  <si>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</si>
  <si>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</si>
  <si>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</si>
  <si>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</si>
  <si>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</si>
  <si>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</si>
  <si>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</si>
  <si>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Notes</t>
  </si>
  <si>
    <t>Preg Est</t>
  </si>
  <si>
    <t>Out of Net</t>
  </si>
  <si>
    <t>Total Cost Less Bonus</t>
  </si>
  <si>
    <t>Yes, after 6 months: 20% deductible.</t>
  </si>
  <si>
    <t>20% after deduct</t>
  </si>
  <si>
    <t>Requires union membership. Impossible to find standard cost summary.</t>
  </si>
  <si>
    <t>GEHA HDHP</t>
  </si>
  <si>
    <t>6,400 / 12,800; 12k/24k; 40%</t>
  </si>
  <si>
    <t>3,200/6,400; 8.5/17k; 25%</t>
  </si>
  <si>
    <t>Yes, after 6 months; 5%</t>
  </si>
  <si>
    <t>1,600 / 6,000</t>
  </si>
  <si>
    <t>Individual Deduct / OOP (in network)</t>
  </si>
  <si>
    <t>2,200 / 6,500</t>
  </si>
  <si>
    <t>$1,600/$3,200; 7k/14k; 40%</t>
  </si>
  <si>
    <t>UHC LU3</t>
  </si>
  <si>
    <t>4,000/8,000; 12k/24k; 30%</t>
  </si>
  <si>
    <t>I'm not TOTALLY SURE this is right. It LOOKS like the copayments don't count toward deductible.</t>
  </si>
  <si>
    <t>$2,000 / $6,000</t>
  </si>
  <si>
    <t>Yes, after 6 months @ 50%</t>
  </si>
  <si>
    <t>ACTUALS</t>
  </si>
  <si>
    <t>700/1,400; 8.5k/17k; 35%</t>
  </si>
  <si>
    <t>$350 / $6,500</t>
  </si>
  <si>
    <t>Aetna N6 (CDHP)</t>
  </si>
  <si>
    <t>3200 / 6,000</t>
  </si>
  <si>
    <t>5,500 / 7,000</t>
  </si>
  <si>
    <t>1,500 / 6,000</t>
  </si>
  <si>
    <t>500 / 1500</t>
  </si>
  <si>
    <t>GF1_rK0qDwEAEQAqAQwjACcAPAB/AJMAlACiALAABAEmASABKwD//wAAAAAAAAEEAAAAAAdHZW5lcmFsAAAAARhDQVRBU1RST1BIRSAvIEBSaXNrIENvZGUBJUNvbXBhcmlzb24gd2l0aCBSaXNrQmVybm91bGxpKDAuMDAyNSkBARAAAgABClN0YXRpc3RpY3MDAQEA/wEBAQEBAAEBAQAEAAAAAQEBAQEAAQEBAAQAAAACtwAC4AAAJQAYQ0FUQVNUUk9QSEUgLyBAUmlzayBDb2RlAAAA/wAA/wEAAAIAAgAiABVSaXNrQmVybm91bGxpKDAuMDAyNSkAAQD/AAAAAQAAAgAMARYBAQEDAZqZmZmZmak/AABmZmZmZmbuPwAABQABAQEAAQEBAA==</t>
  </si>
  <si>
    <t>5% after deduct</t>
  </si>
  <si>
    <t>2700 / 5400; 12k/24k; 50%</t>
  </si>
  <si>
    <t>I'm not TOTALLY sure that Maternity Care does not apply to the deductible.</t>
  </si>
  <si>
    <t>???</t>
  </si>
  <si>
    <t>1000/2,000; 3K/6K/ 50%</t>
  </si>
  <si>
    <t>GF1_rK0qDwEAEQDkAAwjACcAYQBwAIQAhQCTAKEAvwDgANoAKwD//wAAAAAAAAEEAAAAACxfKCQqICMsIyMwXyk7XygkKiAoIywjIzApO18oJCogIi0iPz9fKTtfKEBfKQAAAAEJR0VIQSBIREhQAQABARAAAgABClN0YXRpc3RpY3MDAQEA/wEBAQEBAAEBAQAEAAAAAQEBAQEAAQEBAAQAAAABpQACFgAJR0VIQSBIREhQAAAA/9wUPAEAAAIAAgDHANEAAQEDAZqZmZmZmak/AAAAAAAAAMygQAEFAAEBAQABAQEA</t>
  </si>
  <si>
    <t>diff</t>
  </si>
  <si>
    <t>ourcost</t>
  </si>
  <si>
    <t>check</t>
  </si>
  <si>
    <t>ins share</t>
  </si>
  <si>
    <t>our share</t>
  </si>
  <si>
    <t>allowed addtl</t>
  </si>
  <si>
    <t>visits</t>
  </si>
  <si>
    <t>remainder</t>
  </si>
  <si>
    <t>hit?</t>
  </si>
  <si>
    <t>coins</t>
  </si>
  <si>
    <t>cost/yr</t>
  </si>
  <si>
    <t>deduct</t>
  </si>
  <si>
    <t>n per yr</t>
  </si>
  <si>
    <t>allowed</t>
  </si>
  <si>
    <t>actual</t>
  </si>
  <si>
    <t>GEHA</t>
  </si>
  <si>
    <t>TA</t>
  </si>
  <si>
    <t>Mental Health</t>
  </si>
  <si>
    <t>FHE</t>
  </si>
  <si>
    <t xml:space="preserve">HSA </t>
  </si>
  <si>
    <t xml:space="preserve">FHE HSA </t>
  </si>
  <si>
    <t>Platinum</t>
  </si>
  <si>
    <t>Gold</t>
  </si>
  <si>
    <t>Silver</t>
  </si>
  <si>
    <t>Deductible (Ind)</t>
  </si>
  <si>
    <t>Plan</t>
  </si>
  <si>
    <t>Service</t>
  </si>
  <si>
    <t>Nick</t>
  </si>
  <si>
    <t>Brian</t>
  </si>
  <si>
    <t>Per Visit (OOP)</t>
  </si>
  <si>
    <t>Per Visit (GEHA)</t>
  </si>
  <si>
    <t>Visits/mo</t>
  </si>
  <si>
    <t>Premium (corrected for tax)</t>
  </si>
  <si>
    <t>OOP</t>
  </si>
  <si>
    <t>Total / Yr</t>
  </si>
  <si>
    <t>Months</t>
  </si>
  <si>
    <t>-</t>
  </si>
  <si>
    <t>Shared Expense</t>
  </si>
  <si>
    <t>Our Share</t>
  </si>
  <si>
    <t>Their Share</t>
  </si>
  <si>
    <t>(Checksum)</t>
  </si>
  <si>
    <t>Hit Max?</t>
  </si>
  <si>
    <t>Total</t>
  </si>
  <si>
    <t>We Pay</t>
  </si>
  <si>
    <t>Outputs</t>
  </si>
  <si>
    <t xml:space="preserve">Report: </t>
  </si>
  <si>
    <t>Overlay Outputs Report</t>
  </si>
  <si>
    <t xml:space="preserve">Performed By: </t>
  </si>
  <si>
    <t>weedy</t>
  </si>
  <si>
    <t>Date:</t>
  </si>
  <si>
    <t>Saturday, November 9, 2024</t>
  </si>
  <si>
    <t>Summary Statistics for Outputs</t>
  </si>
  <si>
    <t>Statistic</t>
  </si>
  <si>
    <t>Cell</t>
  </si>
  <si>
    <t>H37</t>
  </si>
  <si>
    <t>J37</t>
  </si>
  <si>
    <t>L37</t>
  </si>
  <si>
    <t>N37</t>
  </si>
  <si>
    <t>Q37</t>
  </si>
  <si>
    <t>S37</t>
  </si>
  <si>
    <t>U37</t>
  </si>
  <si>
    <t>W37</t>
  </si>
  <si>
    <t>Minimum</t>
  </si>
  <si>
    <t>Maximum</t>
  </si>
  <si>
    <t>Mean</t>
  </si>
  <si>
    <t>Std. Deviation</t>
  </si>
  <si>
    <t>Variance</t>
  </si>
  <si>
    <t>Skewness</t>
  </si>
  <si>
    <t>Kurtosis</t>
  </si>
  <si>
    <t>Median</t>
  </si>
  <si>
    <t>Mode</t>
  </si>
  <si>
    <t>HSA Compensation?</t>
  </si>
  <si>
    <t>Deductible Fam</t>
  </si>
  <si>
    <t>8.8.1</t>
  </si>
  <si>
    <t>OAP MID (2000)</t>
  </si>
  <si>
    <t>Deductible Individual</t>
  </si>
  <si>
    <t>OAP Low 5500</t>
  </si>
  <si>
    <t>Overlaid Outputs Report</t>
  </si>
  <si>
    <t xml:space="preserve">Date: </t>
  </si>
  <si>
    <t>Saturday, December 21, 2024</t>
  </si>
  <si>
    <t>FamDeduct!H37</t>
  </si>
  <si>
    <t>FamDeduct!J37</t>
  </si>
  <si>
    <t>FamDeduct!L37</t>
  </si>
  <si>
    <t>FamDeduct!N37</t>
  </si>
  <si>
    <t>FamDeduct!Q37</t>
  </si>
  <si>
    <t>FamDeduct!S37</t>
  </si>
  <si>
    <t>FamDeduct!U37</t>
  </si>
  <si>
    <t>FamDeduct!W37</t>
  </si>
  <si>
    <t>IndDeduct!H37</t>
  </si>
  <si>
    <t>IndDeduct!J37</t>
  </si>
  <si>
    <t>IndDeduct!L37</t>
  </si>
  <si>
    <t>IndDeduct!N37</t>
  </si>
  <si>
    <t>IndDeduct!Q37</t>
  </si>
  <si>
    <t>IndDeduct!S37</t>
  </si>
  <si>
    <t>IndDeduct!U37</t>
  </si>
  <si>
    <t>IndDeduct!W37</t>
  </si>
  <si>
    <t>GF1_rK0qDwEAEwAoAQwjACcAPAB+AJIAkwChAK8AAgEkAR4BKwD//wAAAAAAAAEEAAAAAAdHZW5lcmFsAAAAARhDQVRBU1RST1BIRSAvIEBSaXNrIENvZGUBJENvbXBhcmlzb24gd2l0aCBSaXNrQmVybm91bGxpKDAuMDAzKQEBEAACAAEKU3RhdGlzdGljcwMBAQD/AQEBAQEAAQEBAAQAAAABAQEBAQABAQEABAAAAAK2AALfAAAlABhDQVRBU1RST1BIRSAvIEBSaXNrIENvZGUAAAD/AAD/AQAAAgACACEAFFJpc2tCZXJub3VsbGkoMC4wMDMpAAEA/wAAAAEAAAIACgEUAQEBAwGamZmZmZmpPwAAZmZmZmZm7j8AAAUAAQEBAAEBAQA=</t>
  </si>
  <si>
    <t>GF1_rK0qDwEAEwAmAQwjACcAPAB9AJEAkgCgAK4AAAEiARwBKwD//wAAAAAAAAEEAAAAAAdHZW5lcmFsAAAAARhDQVRBU1RST1BIRSAvIEBSaXNrIENvZGUBI0NvbXBhcmlzb24gd2l0aCBSaXNrQmVybm91bGxpKDAuMDEpAQEQAAIAAQpTdGF0aXN0aWNzAwEBAP8BAQEBAQABAQEABAAAAAEBAQEBAAEBAQAEAAAAArUAAt4AACUAGENBVEFTVFJPUEhFIC8gQFJpc2sgQ29kZQAAAP8AAP8BAAACAAIAIAATUmlza0Jlcm5vdWxsaSgwLjAxKQABAP8AAAABAAACAAgBEgEBAQMBmpmZmZmZqT8AAGZmZmZmZu4/AAAFAAEBAQABAQEA</t>
  </si>
  <si>
    <t>GF1_rK0qDwEAEwAqAQwjACcAPAB/AJMAlACiALAABAEmASABKwD//wAAAAAAAAEEAAAAAAdHZW5lcmFsAAAAAR9DaGlyb3ByYWN0b3IgVmlzaXQgLyBAUmlzayBDb2RlAR5Db21wYXJpc29uIHdpdGggUmlza1BvaXNzb24oMykBARAAAgABClN0YXRpc3RpY3MDAQEA/wEBAQEBAAEBAQAEAAAAAQEBAQEAAQEBAAQAAAACtwAC5wAALAAfQ2hpcm9wcmFjdG9yIFZpc2l0IC8gQFJpc2sgQ29kZQAAAP8AAP8BAAACAAIAGwAOUmlza1BvaXNzb24oMykAAQD/AAAAAQAAAgAMARYBAQEDAZqZmZmZmak/AABmZmZmZmbuPwAABQABAQEAAQEBAA==</t>
  </si>
  <si>
    <t>Yes Mental</t>
  </si>
  <si>
    <t>No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</si>
</sst>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_(&quot;$&quot;* #,##0.0_);_(&quot;$&quot;* \(#,##0.0\);_(&quot;$&quot;* &quot;-&quot;?_);_(@_)"/>
    <numFmt numFmtId="167" formatCode="_(\$* #,##0.00_);_(\$* \(#,##0.00\);_(\$* &quot;-&quot;??.00_);_(@_)"/>
    <numFmt numFmtId="168" formatCode="0.0000"/>
    <numFmt numFmtId="169" formatCode="0.0%"/>
    <numFmt numFmtId="170" formatCode="[$$-409]\ #,##0.00"/>
    <numFmt numFmtId="171" formatCode="[$$-409]\ #,##0.0000"/>
    <numFmt numFmtId="172" formatCode="#,##0.000"/>
    <numFmt numFmtId="173" formatCode="[$$-409]\ #,##0"/>
    <numFmt numFmtId="174" formatCode="[$$-409]\ #,##0.000"/>
    <numFmt numFmtId="175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color rgb="FF000000"/>
      <name val="Tahoma"/>
      <family val="2"/>
    </font>
    <font>
      <b/>
      <sz val="12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Times New Roman"/>
      <family val="1"/>
    </font>
    <font>
      <i/>
      <sz val="8"/>
      <color rgb="FF000000"/>
      <name val="Tahoma"/>
      <family val="2"/>
    </font>
    <font>
      <sz val="8"/>
      <color rgb="FF000000"/>
      <name val="Tahoma"/>
      <family val="2"/>
    </font>
    <font>
      <b/>
      <sz val="12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Times New Roman"/>
      <family val="1"/>
    </font>
    <font>
      <i/>
      <sz val="8"/>
      <color rgb="FF000000"/>
      <name val="Tahoma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3D3D3"/>
      </patternFill>
    </fill>
    <fill>
      <patternFill patternType="solid">
        <fgColor rgb="FFF5F5F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6" fontId="0" fillId="0" borderId="0" xfId="0" applyNumberForma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165" fontId="0" fillId="0" borderId="4" xfId="0" applyNumberFormat="1" applyBorder="1"/>
    <xf numFmtId="164" fontId="0" fillId="0" borderId="0" xfId="1" applyNumberFormat="1" applyFont="1" applyBorder="1"/>
    <xf numFmtId="6" fontId="0" fillId="0" borderId="4" xfId="0" applyNumberFormat="1" applyBorder="1"/>
    <xf numFmtId="6" fontId="0" fillId="0" borderId="6" xfId="0" applyNumberFormat="1" applyBorder="1"/>
    <xf numFmtId="0" fontId="0" fillId="0" borderId="4" xfId="0" applyBorder="1"/>
    <xf numFmtId="9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2" fillId="0" borderId="10" xfId="0" applyFont="1" applyBorder="1"/>
    <xf numFmtId="0" fontId="0" fillId="0" borderId="9" xfId="0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quotePrefix="1" applyFont="1" applyBorder="1" applyAlignment="1">
      <alignment horizontal="center"/>
    </xf>
    <xf numFmtId="9" fontId="0" fillId="2" borderId="7" xfId="0" applyNumberFormat="1" applyFill="1" applyBorder="1"/>
    <xf numFmtId="165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1" applyNumberFormat="1" applyFont="1" applyBorder="1"/>
    <xf numFmtId="164" fontId="7" fillId="0" borderId="0" xfId="0" applyNumberFormat="1" applyFont="1"/>
    <xf numFmtId="0" fontId="7" fillId="0" borderId="13" xfId="0" applyFont="1" applyBorder="1"/>
    <xf numFmtId="164" fontId="7" fillId="0" borderId="5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6" fontId="8" fillId="0" borderId="0" xfId="0" applyNumberFormat="1" applyFont="1" applyAlignment="1">
      <alignment horizontal="center"/>
    </xf>
    <xf numFmtId="6" fontId="8" fillId="0" borderId="0" xfId="0" applyNumberFormat="1" applyFont="1"/>
    <xf numFmtId="164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1" applyNumberFormat="1" applyFont="1" applyBorder="1"/>
    <xf numFmtId="44" fontId="8" fillId="0" borderId="0" xfId="1" applyFont="1" applyBorder="1"/>
    <xf numFmtId="164" fontId="8" fillId="0" borderId="0" xfId="0" applyNumberFormat="1" applyFont="1"/>
    <xf numFmtId="164" fontId="8" fillId="0" borderId="13" xfId="0" applyNumberFormat="1" applyFont="1" applyBorder="1"/>
    <xf numFmtId="0" fontId="7" fillId="0" borderId="0" xfId="1" applyNumberFormat="1" applyFont="1" applyBorder="1"/>
    <xf numFmtId="164" fontId="8" fillId="2" borderId="0" xfId="1" applyNumberFormat="1" applyFont="1" applyFill="1" applyBorder="1"/>
    <xf numFmtId="1" fontId="8" fillId="2" borderId="0" xfId="0" applyNumberFormat="1" applyFont="1" applyFill="1"/>
    <xf numFmtId="0" fontId="8" fillId="0" borderId="5" xfId="0" applyFont="1" applyBorder="1"/>
    <xf numFmtId="0" fontId="8" fillId="0" borderId="8" xfId="0" applyFont="1" applyBorder="1"/>
    <xf numFmtId="9" fontId="8" fillId="2" borderId="0" xfId="2" applyFont="1" applyFill="1"/>
    <xf numFmtId="10" fontId="8" fillId="2" borderId="0" xfId="0" applyNumberFormat="1" applyFont="1" applyFill="1"/>
    <xf numFmtId="164" fontId="8" fillId="2" borderId="7" xfId="1" applyNumberFormat="1" applyFont="1" applyFill="1" applyBorder="1"/>
    <xf numFmtId="164" fontId="1" fillId="2" borderId="0" xfId="1" applyNumberFormat="1" applyFont="1" applyFill="1" applyBorder="1"/>
    <xf numFmtId="0" fontId="8" fillId="0" borderId="0" xfId="1" applyNumberFormat="1" applyFont="1" applyBorder="1"/>
    <xf numFmtId="9" fontId="8" fillId="0" borderId="0" xfId="2" applyFont="1" applyBorder="1"/>
    <xf numFmtId="0" fontId="8" fillId="0" borderId="13" xfId="0" applyFont="1" applyBorder="1"/>
    <xf numFmtId="0" fontId="8" fillId="3" borderId="0" xfId="0" applyFont="1" applyFill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0" fillId="4" borderId="0" xfId="0" applyFill="1"/>
    <xf numFmtId="0" fontId="8" fillId="4" borderId="0" xfId="0" applyFont="1" applyFill="1" applyAlignment="1">
      <alignment horizontal="center"/>
    </xf>
    <xf numFmtId="9" fontId="8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9" fontId="8" fillId="5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64" fontId="8" fillId="0" borderId="0" xfId="1" applyNumberFormat="1" applyFont="1" applyFill="1" applyBorder="1"/>
    <xf numFmtId="164" fontId="7" fillId="0" borderId="0" xfId="1" applyNumberFormat="1" applyFont="1" applyFill="1" applyBorder="1"/>
    <xf numFmtId="8" fontId="8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9" fontId="8" fillId="7" borderId="0" xfId="0" applyNumberFormat="1" applyFont="1" applyFill="1" applyAlignment="1">
      <alignment horizontal="center"/>
    </xf>
    <xf numFmtId="9" fontId="8" fillId="6" borderId="0" xfId="2" applyFont="1" applyFill="1" applyAlignment="1">
      <alignment horizontal="center"/>
    </xf>
    <xf numFmtId="0" fontId="10" fillId="0" borderId="0" xfId="0" applyFont="1"/>
    <xf numFmtId="164" fontId="9" fillId="0" borderId="0" xfId="1" applyNumberFormat="1" applyFont="1" applyBorder="1"/>
    <xf numFmtId="0" fontId="9" fillId="0" borderId="0" xfId="0" applyFont="1"/>
    <xf numFmtId="164" fontId="9" fillId="0" borderId="0" xfId="0" applyNumberFormat="1" applyFont="1"/>
    <xf numFmtId="164" fontId="10" fillId="0" borderId="0" xfId="0" applyNumberFormat="1" applyFont="1"/>
    <xf numFmtId="164" fontId="10" fillId="0" borderId="0" xfId="1" applyNumberFormat="1" applyFont="1" applyFill="1" applyBorder="1"/>
    <xf numFmtId="0" fontId="10" fillId="0" borderId="13" xfId="0" applyFont="1" applyBorder="1"/>
    <xf numFmtId="0" fontId="2" fillId="0" borderId="0" xfId="0" applyFont="1"/>
    <xf numFmtId="6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 applyBorder="1"/>
    <xf numFmtId="6" fontId="2" fillId="4" borderId="0" xfId="0" applyNumberFormat="1" applyFont="1" applyFill="1"/>
    <xf numFmtId="0" fontId="9" fillId="0" borderId="13" xfId="0" applyFont="1" applyBorder="1"/>
    <xf numFmtId="164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/>
    <xf numFmtId="9" fontId="8" fillId="0" borderId="0" xfId="2" applyFont="1" applyFill="1" applyAlignment="1">
      <alignment horizontal="center"/>
    </xf>
    <xf numFmtId="44" fontId="0" fillId="0" borderId="0" xfId="0" applyNumberFormat="1"/>
    <xf numFmtId="164" fontId="0" fillId="0" borderId="0" xfId="1" applyNumberFormat="1" applyFont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0" borderId="0" xfId="1" applyNumberFormat="1" applyFont="1" applyFill="1" applyBorder="1"/>
    <xf numFmtId="0" fontId="8" fillId="0" borderId="0" xfId="1" applyNumberFormat="1" applyFont="1" applyFill="1" applyBorder="1"/>
    <xf numFmtId="44" fontId="8" fillId="0" borderId="0" xfId="1" applyFont="1" applyFill="1" applyBorder="1"/>
    <xf numFmtId="9" fontId="0" fillId="0" borderId="0" xfId="2" applyFont="1"/>
    <xf numFmtId="6" fontId="8" fillId="5" borderId="0" xfId="0" applyNumberFormat="1" applyFont="1" applyFill="1"/>
    <xf numFmtId="0" fontId="7" fillId="5" borderId="0" xfId="0" applyFont="1" applyFill="1"/>
    <xf numFmtId="0" fontId="10" fillId="5" borderId="0" xfId="0" applyFont="1" applyFill="1"/>
    <xf numFmtId="6" fontId="0" fillId="5" borderId="0" xfId="0" applyNumberFormat="1" applyFill="1"/>
    <xf numFmtId="0" fontId="0" fillId="5" borderId="0" xfId="0" applyFill="1"/>
    <xf numFmtId="167" fontId="11" fillId="0" borderId="16" xfId="0" applyNumberFormat="1" applyFont="1" applyBorder="1" applyAlignment="1">
      <alignment horizontal="right" vertical="center" readingOrder="1"/>
    </xf>
    <xf numFmtId="0" fontId="17" fillId="9" borderId="16" xfId="0" applyFont="1" applyFill="1" applyBorder="1" applyAlignment="1">
      <alignment horizontal="right" vertical="center" wrapText="1" shrinkToFit="1" readingOrder="1"/>
    </xf>
    <xf numFmtId="0" fontId="17" fillId="0" borderId="16" xfId="0" applyFont="1" applyBorder="1" applyAlignment="1">
      <alignment horizontal="right" vertical="center" readingOrder="1"/>
    </xf>
    <xf numFmtId="167" fontId="17" fillId="0" borderId="16" xfId="0" applyNumberFormat="1" applyFont="1" applyBorder="1" applyAlignment="1">
      <alignment horizontal="right" vertical="center" readingOrder="1"/>
    </xf>
    <xf numFmtId="3" fontId="17" fillId="0" borderId="16" xfId="0" applyNumberFormat="1" applyFont="1" applyBorder="1" applyAlignment="1">
      <alignment horizontal="right" vertical="center" readingOrder="1"/>
    </xf>
    <xf numFmtId="168" fontId="17" fillId="0" borderId="16" xfId="0" applyNumberFormat="1" applyFont="1" applyBorder="1" applyAlignment="1">
      <alignment horizontal="right" vertical="center" readingOrder="1"/>
    </xf>
    <xf numFmtId="6" fontId="8" fillId="10" borderId="0" xfId="0" applyNumberFormat="1" applyFont="1" applyFill="1"/>
    <xf numFmtId="0" fontId="8" fillId="6" borderId="5" xfId="0" applyFont="1" applyFill="1" applyBorder="1"/>
    <xf numFmtId="170" fontId="11" fillId="0" borderId="16" xfId="0" applyNumberFormat="1" applyFont="1" applyBorder="1" applyAlignment="1">
      <alignment horizontal="right" vertical="center" readingOrder="1"/>
    </xf>
    <xf numFmtId="171" fontId="11" fillId="0" borderId="16" xfId="0" applyNumberFormat="1" applyFont="1" applyBorder="1" applyAlignment="1">
      <alignment horizontal="right" vertical="center" readingOrder="1"/>
    </xf>
    <xf numFmtId="0" fontId="23" fillId="9" borderId="16" xfId="0" applyFont="1" applyFill="1" applyBorder="1" applyAlignment="1">
      <alignment horizontal="right" vertical="center" wrapText="1" shrinkToFit="1" readingOrder="1"/>
    </xf>
    <xf numFmtId="0" fontId="23" fillId="0" borderId="16" xfId="0" applyFont="1" applyBorder="1" applyAlignment="1">
      <alignment horizontal="right" vertical="center" readingOrder="1"/>
    </xf>
    <xf numFmtId="170" fontId="23" fillId="0" borderId="16" xfId="0" applyNumberFormat="1" applyFont="1" applyBorder="1" applyAlignment="1">
      <alignment horizontal="right" vertical="center" readingOrder="1"/>
    </xf>
    <xf numFmtId="171" fontId="23" fillId="0" borderId="16" xfId="0" applyNumberFormat="1" applyFont="1" applyBorder="1" applyAlignment="1">
      <alignment horizontal="right" vertical="center" readingOrder="1"/>
    </xf>
    <xf numFmtId="173" fontId="23" fillId="0" borderId="16" xfId="0" applyNumberFormat="1" applyFont="1" applyBorder="1" applyAlignment="1">
      <alignment horizontal="right" vertical="center" readingOrder="1"/>
    </xf>
    <xf numFmtId="3" fontId="23" fillId="0" borderId="16" xfId="0" applyNumberFormat="1" applyFont="1" applyBorder="1" applyAlignment="1">
      <alignment horizontal="right" vertical="center" readingOrder="1"/>
    </xf>
    <xf numFmtId="172" fontId="23" fillId="0" borderId="16" xfId="0" applyNumberFormat="1" applyFont="1" applyBorder="1" applyAlignment="1">
      <alignment horizontal="right" vertical="center" readingOrder="1"/>
    </xf>
    <xf numFmtId="168" fontId="23" fillId="0" borderId="16" xfId="0" applyNumberFormat="1" applyFont="1" applyBorder="1" applyAlignment="1">
      <alignment horizontal="right" vertical="center" readingOrder="1"/>
    </xf>
    <xf numFmtId="174" fontId="23" fillId="0" borderId="16" xfId="0" applyNumberFormat="1" applyFont="1" applyBorder="1" applyAlignment="1">
      <alignment horizontal="right" vertical="center" readingOrder="1"/>
    </xf>
    <xf numFmtId="175" fontId="23" fillId="0" borderId="16" xfId="0" applyNumberFormat="1" applyFont="1" applyBorder="1" applyAlignment="1">
      <alignment horizontal="right" vertical="center" readingOrder="1"/>
    </xf>
    <xf numFmtId="170" fontId="23" fillId="0" borderId="16" xfId="0" applyNumberFormat="1" applyFont="1" applyBorder="1" applyAlignment="1">
      <alignment vertical="center" readingOrder="1"/>
    </xf>
    <xf numFmtId="174" fontId="11" fillId="0" borderId="16" xfId="0" applyNumberFormat="1" applyFont="1" applyBorder="1" applyAlignment="1">
      <alignment horizontal="right" vertical="center" readingOrder="1"/>
    </xf>
    <xf numFmtId="165" fontId="8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6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9" fillId="7" borderId="0" xfId="0" applyNumberFormat="1" applyFont="1" applyFill="1" applyAlignment="1">
      <alignment horizontal="center"/>
    </xf>
    <xf numFmtId="6" fontId="8" fillId="0" borderId="0" xfId="0" applyNumberFormat="1" applyFont="1" applyAlignment="1">
      <alignment horizontal="center"/>
    </xf>
    <xf numFmtId="6" fontId="9" fillId="7" borderId="0" xfId="0" applyNumberFormat="1" applyFont="1" applyFill="1" applyAlignment="1">
      <alignment horizontal="center"/>
    </xf>
    <xf numFmtId="0" fontId="12" fillId="0" borderId="0" xfId="0" applyFont="1" applyAlignment="1">
      <alignment horizontal="left" vertical="top" readingOrder="1"/>
    </xf>
    <xf numFmtId="0" fontId="13" fillId="0" borderId="0" xfId="0" applyFont="1" applyAlignment="1">
      <alignment horizontal="left" vertical="top" wrapText="1" shrinkToFit="1" readingOrder="1"/>
    </xf>
    <xf numFmtId="0" fontId="14" fillId="0" borderId="0" xfId="0" applyFont="1" applyAlignment="1">
      <alignment horizontal="left" vertical="top" wrapText="1" shrinkToFit="1" readingOrder="1"/>
    </xf>
    <xf numFmtId="0" fontId="15" fillId="0" borderId="0" xfId="0" applyFont="1" applyAlignment="1">
      <alignment horizontal="left" vertical="top" wrapText="1" shrinkToFit="1" readingOrder="1"/>
    </xf>
    <xf numFmtId="0" fontId="15" fillId="0" borderId="14" xfId="0" applyFont="1" applyBorder="1" applyAlignment="1">
      <alignment horizontal="left" vertical="top" wrapText="1" shrinkToFit="1" readingOrder="1"/>
    </xf>
    <xf numFmtId="0" fontId="16" fillId="8" borderId="14" xfId="0" applyFont="1" applyFill="1" applyBorder="1" applyAlignment="1">
      <alignment horizontal="left" vertical="top" wrapText="1" shrinkToFit="1" readingOrder="1"/>
    </xf>
    <xf numFmtId="0" fontId="17" fillId="9" borderId="15" xfId="0" applyFont="1" applyFill="1" applyBorder="1" applyAlignment="1">
      <alignment horizontal="left" vertical="top" wrapText="1" shrinkToFit="1" readingOrder="1"/>
    </xf>
    <xf numFmtId="0" fontId="17" fillId="9" borderId="16" xfId="0" applyFont="1" applyFill="1" applyBorder="1" applyAlignment="1">
      <alignment horizontal="right" vertical="center" wrapText="1" shrinkToFit="1" readingOrder="1"/>
    </xf>
    <xf numFmtId="0" fontId="11" fillId="0" borderId="15" xfId="0" applyFont="1" applyBorder="1" applyAlignment="1">
      <alignment horizontal="left" vertical="top" readingOrder="1"/>
    </xf>
    <xf numFmtId="167" fontId="11" fillId="0" borderId="16" xfId="0" applyNumberFormat="1" applyFont="1" applyBorder="1" applyAlignment="1">
      <alignment horizontal="right" vertical="center" readingOrder="1"/>
    </xf>
    <xf numFmtId="0" fontId="17" fillId="0" borderId="15" xfId="0" applyFont="1" applyBorder="1" applyAlignment="1">
      <alignment horizontal="left" vertical="top" readingOrder="1"/>
    </xf>
    <xf numFmtId="0" fontId="17" fillId="0" borderId="16" xfId="0" applyFont="1" applyBorder="1" applyAlignment="1">
      <alignment horizontal="right" vertical="center" readingOrder="1"/>
    </xf>
    <xf numFmtId="168" fontId="17" fillId="0" borderId="16" xfId="0" applyNumberFormat="1" applyFont="1" applyBorder="1" applyAlignment="1">
      <alignment horizontal="right" vertical="center" readingOrder="1"/>
    </xf>
    <xf numFmtId="167" fontId="17" fillId="0" borderId="16" xfId="0" applyNumberFormat="1" applyFont="1" applyBorder="1" applyAlignment="1">
      <alignment horizontal="right" vertical="center" readingOrder="1"/>
    </xf>
    <xf numFmtId="3" fontId="17" fillId="0" borderId="16" xfId="0" applyNumberFormat="1" applyFont="1" applyBorder="1" applyAlignment="1">
      <alignment horizontal="right" vertical="center" readingOrder="1"/>
    </xf>
    <xf numFmtId="9" fontId="17" fillId="0" borderId="15" xfId="0" applyNumberFormat="1" applyFont="1" applyBorder="1" applyAlignment="1">
      <alignment horizontal="left" vertical="top" readingOrder="1"/>
    </xf>
    <xf numFmtId="169" fontId="17" fillId="0" borderId="15" xfId="0" applyNumberFormat="1" applyFont="1" applyBorder="1" applyAlignment="1">
      <alignment horizontal="left" vertical="top" readingOrder="1"/>
    </xf>
    <xf numFmtId="9" fontId="23" fillId="0" borderId="15" xfId="0" applyNumberFormat="1" applyFont="1" applyBorder="1" applyAlignment="1">
      <alignment horizontal="left" vertical="top" readingOrder="1"/>
    </xf>
    <xf numFmtId="170" fontId="23" fillId="0" borderId="16" xfId="0" applyNumberFormat="1" applyFont="1" applyBorder="1" applyAlignment="1">
      <alignment horizontal="right" vertical="center" readingOrder="1"/>
    </xf>
    <xf numFmtId="169" fontId="23" fillId="0" borderId="15" xfId="0" applyNumberFormat="1" applyFont="1" applyBorder="1" applyAlignment="1">
      <alignment horizontal="left" vertical="top" readingOrder="1"/>
    </xf>
    <xf numFmtId="0" fontId="23" fillId="0" borderId="15" xfId="0" applyFont="1" applyBorder="1" applyAlignment="1">
      <alignment horizontal="left" vertical="top" readingOrder="1"/>
    </xf>
    <xf numFmtId="168" fontId="23" fillId="0" borderId="16" xfId="0" applyNumberFormat="1" applyFont="1" applyBorder="1" applyAlignment="1">
      <alignment horizontal="right" vertical="center" readingOrder="1"/>
    </xf>
    <xf numFmtId="3" fontId="23" fillId="0" borderId="16" xfId="0" applyNumberFormat="1" applyFont="1" applyBorder="1" applyAlignment="1">
      <alignment horizontal="right" vertical="center" readingOrder="1"/>
    </xf>
    <xf numFmtId="170" fontId="11" fillId="0" borderId="16" xfId="0" applyNumberFormat="1" applyFont="1" applyBorder="1" applyAlignment="1">
      <alignment horizontal="right" vertical="center" readingOrder="1"/>
    </xf>
    <xf numFmtId="0" fontId="23" fillId="0" borderId="16" xfId="0" applyFont="1" applyBorder="1" applyAlignment="1">
      <alignment horizontal="right" vertical="center" readingOrder="1"/>
    </xf>
    <xf numFmtId="0" fontId="21" fillId="0" borderId="14" xfId="0" applyFont="1" applyBorder="1" applyAlignment="1">
      <alignment horizontal="left" vertical="top" wrapText="1" shrinkToFit="1" readingOrder="1"/>
    </xf>
    <xf numFmtId="0" fontId="22" fillId="8" borderId="14" xfId="0" applyFont="1" applyFill="1" applyBorder="1" applyAlignment="1">
      <alignment horizontal="left" vertical="top" wrapText="1" shrinkToFit="1" readingOrder="1"/>
    </xf>
    <xf numFmtId="0" fontId="23" fillId="9" borderId="15" xfId="0" applyFont="1" applyFill="1" applyBorder="1" applyAlignment="1">
      <alignment horizontal="left" vertical="top" wrapText="1" shrinkToFit="1" readingOrder="1"/>
    </xf>
    <xf numFmtId="0" fontId="23" fillId="9" borderId="16" xfId="0" applyFont="1" applyFill="1" applyBorder="1" applyAlignment="1">
      <alignment horizontal="right" vertical="center" wrapText="1" shrinkToFit="1" readingOrder="1"/>
    </xf>
    <xf numFmtId="0" fontId="19" fillId="0" borderId="0" xfId="0" applyFont="1" applyAlignment="1">
      <alignment horizontal="left" vertical="top" wrapText="1" shrinkToFit="1" readingOrder="1"/>
    </xf>
    <xf numFmtId="0" fontId="20" fillId="0" borderId="0" xfId="0" applyFont="1" applyAlignment="1">
      <alignment horizontal="left" vertical="top" wrapText="1" shrinkToFit="1" readingOrder="1"/>
    </xf>
    <xf numFmtId="0" fontId="21" fillId="0" borderId="0" xfId="0" applyFont="1" applyAlignment="1">
      <alignment horizontal="left" vertical="top" wrapText="1" shrinkToFit="1" readingOrder="1"/>
    </xf>
    <xf numFmtId="0" fontId="18" fillId="0" borderId="0" xfId="0" applyFont="1" applyAlignment="1">
      <alignment horizontal="left" vertical="top" readingOrder="1"/>
    </xf>
    <xf numFmtId="171" fontId="23" fillId="0" borderId="16" xfId="0" applyNumberFormat="1" applyFont="1" applyBorder="1" applyAlignment="1">
      <alignment horizontal="right" vertical="center" readingOrder="1"/>
    </xf>
    <xf numFmtId="173" fontId="23" fillId="0" borderId="16" xfId="0" applyNumberFormat="1" applyFont="1" applyBorder="1" applyAlignment="1">
      <alignment horizontal="right" vertical="center" readingOrder="1"/>
    </xf>
    <xf numFmtId="175" fontId="23" fillId="0" borderId="16" xfId="0" applyNumberFormat="1" applyFont="1" applyBorder="1" applyAlignment="1">
      <alignment horizontal="right" vertical="center" readingOrder="1"/>
    </xf>
    <xf numFmtId="172" fontId="23" fillId="0" borderId="16" xfId="0" applyNumberFormat="1" applyFont="1" applyBorder="1" applyAlignment="1">
      <alignment horizontal="right" vertical="center" readingOrder="1"/>
    </xf>
    <xf numFmtId="171" fontId="11" fillId="0" borderId="16" xfId="0" applyNumberFormat="1" applyFont="1" applyBorder="1" applyAlignment="1">
      <alignment horizontal="right" vertical="center" readingOrder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1943100</xdr:colOff>
      <xdr:row>12</xdr:row>
      <xdr:rowOff>133534</xdr:rowOff>
    </xdr:from>
    <xdr:to>
      <xdr:col>36</xdr:col>
      <xdr:colOff>463922</xdr:colOff>
      <xdr:row>35</xdr:row>
      <xdr:rowOff>159070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6962A-376A-C55D-7D51-9A17C6D8E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05700" y="2343334"/>
          <a:ext cx="4966072" cy="4260986"/>
        </a:xfrm>
        <a:prstGeom prst="rect">
          <a:avLst/>
        </a:prstGeom>
      </xdr:spPr>
    </xdr:pic>
    <xdr:clientData/>
  </xdr:twoCellAnchor>
  <xdr:twoCellAnchor editAs="oneCell">
    <xdr:from>
      <xdr:col>33</xdr:col>
      <xdr:colOff>307126</xdr:colOff>
      <xdr:row>31</xdr:row>
      <xdr:rowOff>50800</xdr:rowOff>
    </xdr:from>
    <xdr:to>
      <xdr:col>43</xdr:col>
      <xdr:colOff>57649</xdr:colOff>
      <xdr:row>51</xdr:row>
      <xdr:rowOff>120967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EE2104-2E5D-072F-036C-827EE55B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63126" y="5391150"/>
          <a:ext cx="5910023" cy="3759517"/>
        </a:xfrm>
        <a:prstGeom prst="rect">
          <a:avLst/>
        </a:prstGeom>
      </xdr:spPr>
    </xdr:pic>
    <xdr:clientData/>
  </xdr:twoCellAnchor>
  <xdr:twoCellAnchor editAs="oneCell">
    <xdr:from>
      <xdr:col>27</xdr:col>
      <xdr:colOff>604212</xdr:colOff>
      <xdr:row>44</xdr:row>
      <xdr:rowOff>139700</xdr:rowOff>
    </xdr:from>
    <xdr:to>
      <xdr:col>32</xdr:col>
      <xdr:colOff>1575300</xdr:colOff>
      <xdr:row>70</xdr:row>
      <xdr:rowOff>19457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3F28D0-0DD7-7C09-1E28-35700C6E0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03012" y="7880350"/>
          <a:ext cx="5733588" cy="4667657"/>
        </a:xfrm>
        <a:prstGeom prst="rect">
          <a:avLst/>
        </a:prstGeom>
      </xdr:spPr>
    </xdr:pic>
    <xdr:clientData/>
  </xdr:twoCellAnchor>
  <xdr:twoCellAnchor editAs="oneCell">
    <xdr:from>
      <xdr:col>33</xdr:col>
      <xdr:colOff>544961</xdr:colOff>
      <xdr:row>22</xdr:row>
      <xdr:rowOff>82550</xdr:rowOff>
    </xdr:from>
    <xdr:to>
      <xdr:col>44</xdr:col>
      <xdr:colOff>521195</xdr:colOff>
      <xdr:row>47</xdr:row>
      <xdr:rowOff>133692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D57250-D3EA-7865-230E-E5C912033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07561" y="4133850"/>
          <a:ext cx="6751684" cy="4661242"/>
        </a:xfrm>
        <a:prstGeom prst="rect">
          <a:avLst/>
        </a:prstGeom>
      </xdr:spPr>
    </xdr:pic>
    <xdr:clientData/>
  </xdr:twoCellAnchor>
  <xdr:twoCellAnchor editAs="oneCell">
    <xdr:from>
      <xdr:col>31</xdr:col>
      <xdr:colOff>593476</xdr:colOff>
      <xdr:row>21</xdr:row>
      <xdr:rowOff>101600</xdr:rowOff>
    </xdr:from>
    <xdr:to>
      <xdr:col>35</xdr:col>
      <xdr:colOff>273557</xdr:colOff>
      <xdr:row>46</xdr:row>
      <xdr:rowOff>19467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7309E3-D355-E2FC-A0AA-B9B16542A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6076" y="3968750"/>
          <a:ext cx="5509381" cy="4527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685800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A5785-65A6-4061-857E-BD691019FF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79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12</xdr:col>
      <xdr:colOff>9525</xdr:colOff>
      <xdr:row>6</xdr:row>
      <xdr:rowOff>3648075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105983-29DA-4CAB-87F1-59DF5EBC439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41375"/>
          <a:ext cx="6588125" cy="3638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FF33B7B3-909F-44E3-8D39-7CF8B8A581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</xdr:row>
      <xdr:rowOff>9525</xdr:rowOff>
    </xdr:from>
    <xdr:ext cx="6286500" cy="3638550"/>
    <xdr:pic>
      <xdr:nvPicPr>
        <xdr:cNvPr id="3" name="Picture 2">
          <a:extLst>
            <a:ext uri="{FF2B5EF4-FFF2-40B4-BE49-F238E27FC236}">
              <a16:creationId xmlns:a16="http://schemas.microsoft.com/office/drawing/2014/main" id="{AE4FA034-A6BD-420D-89F2-A20E699D9E3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41375"/>
          <a:ext cx="6286500" cy="36385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6883E467-DE23-48B3-96BE-B695F43B6D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</xdr:row>
      <xdr:rowOff>9525</xdr:rowOff>
    </xdr:from>
    <xdr:ext cx="6286500" cy="3638550"/>
    <xdr:pic>
      <xdr:nvPicPr>
        <xdr:cNvPr id="3" name="Picture 2">
          <a:extLst>
            <a:ext uri="{FF2B5EF4-FFF2-40B4-BE49-F238E27FC236}">
              <a16:creationId xmlns:a16="http://schemas.microsoft.com/office/drawing/2014/main" id="{88E906DC-2E16-4EE8-9EC4-97B7DDB073D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41375"/>
          <a:ext cx="6286500" cy="36385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" cy="685800"/>
    <xdr:pic>
      <xdr:nvPicPr>
        <xdr:cNvPr id="2" name="Picture 1">
          <a:extLst>
            <a:ext uri="{FF2B5EF4-FFF2-40B4-BE49-F238E27FC236}">
              <a16:creationId xmlns:a16="http://schemas.microsoft.com/office/drawing/2014/main" id="{A9F84D3E-EC49-44E0-963C-DC8144C233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</xdr:row>
      <xdr:rowOff>9525</xdr:rowOff>
    </xdr:from>
    <xdr:ext cx="6286500" cy="3638550"/>
    <xdr:pic>
      <xdr:nvPicPr>
        <xdr:cNvPr id="3" name="Picture 2">
          <a:extLst>
            <a:ext uri="{FF2B5EF4-FFF2-40B4-BE49-F238E27FC236}">
              <a16:creationId xmlns:a16="http://schemas.microsoft.com/office/drawing/2014/main" id="{858C45A6-D067-4D5A-99E5-2B31C37933D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41375"/>
          <a:ext cx="6286500" cy="3638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E20-7AB9-4E00-93D7-C2EF991A6AD2}">
  <dimension ref="A1:AH38"/>
  <sheetViews>
    <sheetView workbookViewId="0">
      <pane xSplit="1" topLeftCell="B1" activePane="topRight" state="frozen"/>
      <selection pane="topRight" activeCell="D15" sqref="D15"/>
    </sheetView>
  </sheetViews>
  <sheetFormatPr baseColWidth="10" defaultColWidth="8.83203125" defaultRowHeight="15" x14ac:dyDescent="0.2"/>
  <cols>
    <col min="1" max="1" width="20.33203125" bestFit="1" customWidth="1"/>
    <col min="2" max="2" width="11" customWidth="1"/>
    <col min="3" max="3" width="11.33203125" bestFit="1" customWidth="1"/>
    <col min="4" max="4" width="11" customWidth="1"/>
    <col min="5" max="5" width="6.6640625" customWidth="1"/>
    <col min="6" max="6" width="30" customWidth="1"/>
    <col min="7" max="7" width="1.83203125" bestFit="1" customWidth="1"/>
    <col min="8" max="8" width="8.6640625" bestFit="1" customWidth="1"/>
    <col min="9" max="9" width="2.1640625" bestFit="1" customWidth="1"/>
    <col min="10" max="10" width="8.5" bestFit="1" customWidth="1"/>
    <col min="11" max="11" width="2.1640625" bestFit="1" customWidth="1"/>
    <col min="12" max="12" width="9.33203125" style="36" customWidth="1"/>
    <col min="13" max="13" width="2.1640625" bestFit="1" customWidth="1"/>
    <col min="14" max="14" width="8.6640625" bestFit="1" customWidth="1"/>
    <col min="16" max="16" width="2.1640625" bestFit="1" customWidth="1"/>
    <col min="17" max="17" width="10.33203125" bestFit="1" customWidth="1"/>
    <col min="18" max="18" width="2.1640625" bestFit="1" customWidth="1"/>
    <col min="19" max="19" width="12.1640625" customWidth="1"/>
    <col min="20" max="20" width="2.1640625" bestFit="1" customWidth="1"/>
    <col min="21" max="21" width="12.1640625" customWidth="1"/>
    <col min="22" max="22" width="2.1640625" bestFit="1" customWidth="1"/>
    <col min="23" max="23" width="12.1640625" customWidth="1"/>
    <col min="24" max="24" width="2.1640625" bestFit="1" customWidth="1"/>
    <col min="25" max="25" width="8.5" bestFit="1" customWidth="1"/>
    <col min="32" max="32" width="32.83203125" bestFit="1" customWidth="1"/>
    <col min="33" max="33" width="32.83203125" customWidth="1"/>
  </cols>
  <sheetData>
    <row r="1" spans="1:34" x14ac:dyDescent="0.2">
      <c r="A1" s="122" t="s">
        <v>16</v>
      </c>
      <c r="B1" s="123"/>
      <c r="C1" s="123"/>
      <c r="D1" s="124"/>
      <c r="E1" s="16" t="s">
        <v>42</v>
      </c>
      <c r="F1" s="17"/>
      <c r="G1" s="125" t="s">
        <v>17</v>
      </c>
      <c r="H1" s="125"/>
      <c r="I1" s="125"/>
      <c r="J1" s="125"/>
      <c r="K1" s="125"/>
      <c r="L1" s="125"/>
      <c r="M1" s="125"/>
      <c r="N1" s="125"/>
      <c r="O1" s="12"/>
      <c r="P1" s="125" t="s">
        <v>18</v>
      </c>
      <c r="Q1" s="125"/>
      <c r="R1" s="125"/>
      <c r="S1" s="125"/>
      <c r="T1" s="125"/>
      <c r="U1" s="125"/>
      <c r="V1" s="125"/>
      <c r="W1" s="125"/>
      <c r="X1" s="125"/>
      <c r="Y1" s="125"/>
      <c r="AG1" t="s">
        <v>93</v>
      </c>
    </row>
    <row r="2" spans="1:34" x14ac:dyDescent="0.2">
      <c r="A2" s="18" t="s">
        <v>0</v>
      </c>
      <c r="B2" s="19" t="s">
        <v>1</v>
      </c>
      <c r="C2" s="19" t="s">
        <v>2</v>
      </c>
      <c r="D2" s="20" t="s">
        <v>3</v>
      </c>
      <c r="E2" s="10">
        <v>0.35</v>
      </c>
      <c r="F2" s="13"/>
      <c r="G2" s="126" t="s">
        <v>50</v>
      </c>
      <c r="H2" s="126"/>
      <c r="I2" s="127" t="s">
        <v>51</v>
      </c>
      <c r="J2" s="127"/>
      <c r="K2" s="127" t="s">
        <v>52</v>
      </c>
      <c r="L2" s="127"/>
      <c r="M2" s="128" t="s">
        <v>44</v>
      </c>
      <c r="N2" s="128"/>
      <c r="O2" s="23"/>
      <c r="P2" s="119" t="s">
        <v>55</v>
      </c>
      <c r="Q2" s="119"/>
      <c r="R2" s="126" t="s">
        <v>88</v>
      </c>
      <c r="S2" s="126"/>
      <c r="T2" s="119" t="s">
        <v>96</v>
      </c>
      <c r="U2" s="119"/>
      <c r="V2" s="126" t="s">
        <v>57</v>
      </c>
      <c r="W2" s="126"/>
      <c r="X2" s="121" t="s">
        <v>104</v>
      </c>
      <c r="Y2" s="121"/>
      <c r="AB2" t="s">
        <v>45</v>
      </c>
      <c r="AC2" t="s">
        <v>46</v>
      </c>
      <c r="AD2" t="s">
        <v>48</v>
      </c>
      <c r="AE2" t="s">
        <v>82</v>
      </c>
      <c r="AF2" t="s">
        <v>83</v>
      </c>
      <c r="AH2" t="s">
        <v>81</v>
      </c>
    </row>
    <row r="3" spans="1:34" x14ac:dyDescent="0.2">
      <c r="A3" s="9" t="s">
        <v>4</v>
      </c>
      <c r="B3" s="49">
        <v>200</v>
      </c>
      <c r="C3" s="43">
        <v>3</v>
      </c>
      <c r="D3" s="44" t="e">
        <f ca="1">_xll.RiskPoisson(C3)</f>
        <v>#NAME?</v>
      </c>
      <c r="F3" s="13"/>
      <c r="G3" s="34">
        <v>1</v>
      </c>
      <c r="H3" s="35">
        <v>0.2</v>
      </c>
      <c r="I3" s="34">
        <v>0</v>
      </c>
      <c r="J3" s="31">
        <v>30</v>
      </c>
      <c r="K3" s="34">
        <v>0</v>
      </c>
      <c r="L3" s="31">
        <v>25</v>
      </c>
      <c r="M3" s="34">
        <v>0</v>
      </c>
      <c r="N3" s="33">
        <v>25</v>
      </c>
      <c r="O3" s="24"/>
      <c r="P3" s="34">
        <v>0</v>
      </c>
      <c r="Q3" s="31">
        <v>20</v>
      </c>
      <c r="R3" s="34">
        <v>1</v>
      </c>
      <c r="S3" s="35">
        <v>0.05</v>
      </c>
      <c r="T3" s="60">
        <v>1</v>
      </c>
      <c r="U3" s="66">
        <f>AE20/B3</f>
        <v>7.4999999999999997E-2</v>
      </c>
      <c r="V3" s="34">
        <v>1</v>
      </c>
      <c r="W3" s="35">
        <v>0.15</v>
      </c>
      <c r="X3" s="34">
        <v>1</v>
      </c>
      <c r="Y3" s="35">
        <v>0.2</v>
      </c>
      <c r="AA3" s="22" t="str">
        <f>G2</f>
        <v>OAP HDHPQ</v>
      </c>
      <c r="AB3" s="10">
        <v>1</v>
      </c>
      <c r="AC3" t="s">
        <v>86</v>
      </c>
      <c r="AD3" t="s">
        <v>49</v>
      </c>
      <c r="AE3" s="1">
        <v>5120</v>
      </c>
      <c r="AF3" t="s">
        <v>89</v>
      </c>
      <c r="AG3" t="s">
        <v>105</v>
      </c>
    </row>
    <row r="4" spans="1:34" x14ac:dyDescent="0.2">
      <c r="A4" s="9" t="s">
        <v>5</v>
      </c>
      <c r="B4" s="49">
        <v>300</v>
      </c>
      <c r="C4" s="43">
        <v>2</v>
      </c>
      <c r="D4" s="44" t="e">
        <f ca="1">_xll.RiskPoisson(C4)</f>
        <v>#NAME?</v>
      </c>
      <c r="F4" s="13"/>
      <c r="G4" s="34">
        <v>1</v>
      </c>
      <c r="H4" s="35">
        <v>0.2</v>
      </c>
      <c r="I4" s="34">
        <v>0</v>
      </c>
      <c r="J4" s="31">
        <v>60</v>
      </c>
      <c r="K4" s="34">
        <v>0</v>
      </c>
      <c r="L4" s="31">
        <v>50</v>
      </c>
      <c r="M4" s="34">
        <v>0</v>
      </c>
      <c r="N4" s="33">
        <v>50</v>
      </c>
      <c r="O4" s="24"/>
      <c r="P4" s="34">
        <v>0</v>
      </c>
      <c r="Q4" s="31">
        <v>35</v>
      </c>
      <c r="R4" s="34">
        <v>1</v>
      </c>
      <c r="S4" s="35">
        <v>0.05</v>
      </c>
      <c r="T4" s="60">
        <v>1</v>
      </c>
      <c r="U4" s="66">
        <f>AE21/B4</f>
        <v>0.1</v>
      </c>
      <c r="V4" s="34">
        <v>1</v>
      </c>
      <c r="W4" s="35">
        <v>0.15</v>
      </c>
      <c r="X4" s="34">
        <v>1</v>
      </c>
      <c r="Y4" s="35">
        <v>0.2</v>
      </c>
      <c r="AA4" s="1" t="str">
        <f>I2</f>
        <v>OAP Base</v>
      </c>
      <c r="AB4" s="10">
        <v>1</v>
      </c>
      <c r="AC4" t="s">
        <v>53</v>
      </c>
      <c r="AD4" t="s">
        <v>49</v>
      </c>
      <c r="AG4" t="s">
        <v>106</v>
      </c>
    </row>
    <row r="5" spans="1:34" x14ac:dyDescent="0.2">
      <c r="A5" s="9" t="s">
        <v>15</v>
      </c>
      <c r="B5" s="42">
        <v>235</v>
      </c>
      <c r="C5" s="43">
        <v>0</v>
      </c>
      <c r="D5" s="44" t="e">
        <f ca="1">_xll.RiskPoisson(C5)</f>
        <v>#NAME?</v>
      </c>
      <c r="F5" s="13"/>
      <c r="G5" s="34">
        <v>1</v>
      </c>
      <c r="H5" s="35">
        <v>0.2</v>
      </c>
      <c r="I5" s="34">
        <v>0</v>
      </c>
      <c r="J5" s="31">
        <v>30</v>
      </c>
      <c r="K5" s="34">
        <v>0</v>
      </c>
      <c r="L5" s="31">
        <v>25</v>
      </c>
      <c r="M5" s="34">
        <v>0</v>
      </c>
      <c r="N5" s="80">
        <v>25</v>
      </c>
      <c r="O5" s="24"/>
      <c r="P5" s="34">
        <v>0</v>
      </c>
      <c r="Q5" s="31">
        <v>20</v>
      </c>
      <c r="R5" s="34">
        <v>1</v>
      </c>
      <c r="S5" s="35">
        <v>0.05</v>
      </c>
      <c r="T5" s="60">
        <v>1</v>
      </c>
      <c r="U5" s="66">
        <f>AE22/B5</f>
        <v>0.1276595744680851</v>
      </c>
      <c r="V5" s="34">
        <v>1</v>
      </c>
      <c r="W5" s="35">
        <v>0.15</v>
      </c>
      <c r="X5" s="34">
        <v>1</v>
      </c>
      <c r="Y5" s="35">
        <v>0.2</v>
      </c>
      <c r="AA5" s="1" t="str">
        <f>K2</f>
        <v>OAP 1500</v>
      </c>
      <c r="AB5" s="10">
        <v>1</v>
      </c>
      <c r="AC5" t="s">
        <v>47</v>
      </c>
      <c r="AD5" t="s">
        <v>49</v>
      </c>
      <c r="AG5" t="s">
        <v>107</v>
      </c>
    </row>
    <row r="6" spans="1:34" x14ac:dyDescent="0.2">
      <c r="A6" s="9" t="s">
        <v>6</v>
      </c>
      <c r="B6" s="42">
        <v>120</v>
      </c>
      <c r="C6" s="43">
        <v>3</v>
      </c>
      <c r="D6" s="44" t="e">
        <f ca="1">_xll.RiskPoisson(C6)</f>
        <v>#NAME?</v>
      </c>
      <c r="F6" s="13"/>
      <c r="G6" s="34">
        <v>1</v>
      </c>
      <c r="H6" s="35">
        <v>0.2</v>
      </c>
      <c r="I6" s="34">
        <v>0</v>
      </c>
      <c r="J6" s="31">
        <v>60</v>
      </c>
      <c r="K6" s="34">
        <v>0</v>
      </c>
      <c r="L6" s="33">
        <v>50</v>
      </c>
      <c r="M6" s="34">
        <v>0</v>
      </c>
      <c r="N6" s="33">
        <v>50</v>
      </c>
      <c r="O6" s="24"/>
      <c r="P6" s="34">
        <v>0</v>
      </c>
      <c r="Q6" s="31">
        <v>35</v>
      </c>
      <c r="R6" s="34">
        <v>1</v>
      </c>
      <c r="S6" s="35">
        <v>0.05</v>
      </c>
      <c r="T6" s="34">
        <v>1</v>
      </c>
      <c r="U6" s="35">
        <v>0.2</v>
      </c>
      <c r="V6" s="34">
        <v>1</v>
      </c>
      <c r="W6" s="35">
        <v>0.15</v>
      </c>
      <c r="X6" s="34">
        <v>1</v>
      </c>
      <c r="Y6" s="35">
        <v>1</v>
      </c>
      <c r="AA6" s="75" t="str">
        <f>M2</f>
        <v>OAP 500</v>
      </c>
      <c r="AB6" s="76">
        <v>1</v>
      </c>
      <c r="AC6" s="74" t="s">
        <v>47</v>
      </c>
      <c r="AD6" s="74" t="s">
        <v>49</v>
      </c>
      <c r="AE6" s="74"/>
      <c r="AF6" t="s">
        <v>114</v>
      </c>
      <c r="AG6" t="s">
        <v>108</v>
      </c>
    </row>
    <row r="7" spans="1:34" x14ac:dyDescent="0.2">
      <c r="A7" s="9" t="s">
        <v>7</v>
      </c>
      <c r="B7" s="42">
        <v>100</v>
      </c>
      <c r="C7" s="43">
        <v>1</v>
      </c>
      <c r="D7" s="44" t="e">
        <f ca="1">_xll.RiskPoisson(C7)</f>
        <v>#NAME?</v>
      </c>
      <c r="F7" s="13"/>
      <c r="G7" s="34">
        <v>1</v>
      </c>
      <c r="H7" s="35">
        <v>0.2</v>
      </c>
      <c r="I7" s="34">
        <v>0</v>
      </c>
      <c r="J7" s="33">
        <v>15</v>
      </c>
      <c r="K7" s="34">
        <v>0</v>
      </c>
      <c r="L7" s="33">
        <v>15</v>
      </c>
      <c r="M7" s="34">
        <v>0</v>
      </c>
      <c r="N7" s="33">
        <v>15</v>
      </c>
      <c r="O7" s="24"/>
      <c r="P7" s="34">
        <v>0</v>
      </c>
      <c r="Q7" s="31">
        <v>10</v>
      </c>
      <c r="R7" s="34">
        <v>1</v>
      </c>
      <c r="S7" s="35">
        <v>0.25</v>
      </c>
      <c r="T7" s="60">
        <v>1</v>
      </c>
      <c r="U7" s="66">
        <f t="shared" ref="U7:U12" si="0">AE24/B7</f>
        <v>0.85</v>
      </c>
      <c r="V7" s="53">
        <v>1</v>
      </c>
      <c r="W7" s="54">
        <v>0.25</v>
      </c>
      <c r="X7" s="34">
        <v>1</v>
      </c>
      <c r="Y7" s="35">
        <v>0.06</v>
      </c>
      <c r="AA7" s="22" t="str">
        <f>P2</f>
        <v>GEHA Standard</v>
      </c>
      <c r="AB7" s="10">
        <v>1</v>
      </c>
      <c r="AC7" t="s">
        <v>59</v>
      </c>
      <c r="AD7" t="s">
        <v>56</v>
      </c>
      <c r="AE7" s="1">
        <v>70</v>
      </c>
      <c r="AF7" t="s">
        <v>102</v>
      </c>
      <c r="AG7" t="s">
        <v>103</v>
      </c>
    </row>
    <row r="8" spans="1:34" x14ac:dyDescent="0.2">
      <c r="A8" s="9" t="s">
        <v>8</v>
      </c>
      <c r="B8" s="42">
        <v>500</v>
      </c>
      <c r="C8" s="43">
        <v>1</v>
      </c>
      <c r="D8" s="44" t="e">
        <f ca="1">_xll.RiskPoisson(C8)</f>
        <v>#NAME?</v>
      </c>
      <c r="F8" s="13"/>
      <c r="G8" s="34">
        <v>1</v>
      </c>
      <c r="H8" s="35">
        <v>0.2</v>
      </c>
      <c r="I8" s="34">
        <v>0</v>
      </c>
      <c r="J8" s="33">
        <v>45</v>
      </c>
      <c r="K8" s="34">
        <v>0</v>
      </c>
      <c r="L8" s="33">
        <v>45</v>
      </c>
      <c r="M8" s="34">
        <v>0</v>
      </c>
      <c r="N8" s="33">
        <v>45</v>
      </c>
      <c r="O8" s="24"/>
      <c r="P8" s="34">
        <v>0</v>
      </c>
      <c r="Q8" s="35">
        <v>0.4</v>
      </c>
      <c r="R8" s="34">
        <v>1</v>
      </c>
      <c r="S8" s="35">
        <v>0.25</v>
      </c>
      <c r="T8" s="60">
        <v>1</v>
      </c>
      <c r="U8" s="66">
        <f t="shared" si="0"/>
        <v>0.42499999999999999</v>
      </c>
      <c r="V8" s="53">
        <v>1</v>
      </c>
      <c r="W8" s="54">
        <v>0.25</v>
      </c>
      <c r="X8" s="34">
        <v>1</v>
      </c>
      <c r="Y8" s="35">
        <v>0.3</v>
      </c>
      <c r="AA8" s="1" t="str">
        <f>R2</f>
        <v>GEHA HDHP</v>
      </c>
      <c r="AB8" s="10">
        <v>1</v>
      </c>
      <c r="AC8" t="s">
        <v>110</v>
      </c>
      <c r="AD8" t="s">
        <v>91</v>
      </c>
      <c r="AE8" s="1">
        <v>1660</v>
      </c>
      <c r="AF8" t="s">
        <v>90</v>
      </c>
      <c r="AG8" t="s">
        <v>92</v>
      </c>
      <c r="AH8" t="s">
        <v>87</v>
      </c>
    </row>
    <row r="9" spans="1:34" x14ac:dyDescent="0.2">
      <c r="A9" s="9" t="s">
        <v>9</v>
      </c>
      <c r="B9" s="42">
        <v>750</v>
      </c>
      <c r="C9" s="43">
        <v>0</v>
      </c>
      <c r="D9" s="44" t="e">
        <f ca="1">_xll.RiskPoisson(C9)</f>
        <v>#NAME?</v>
      </c>
      <c r="F9" s="13"/>
      <c r="G9" s="34">
        <v>1</v>
      </c>
      <c r="H9" s="35">
        <v>0.2</v>
      </c>
      <c r="I9" s="34">
        <v>0</v>
      </c>
      <c r="J9" s="33">
        <v>75</v>
      </c>
      <c r="K9" s="34">
        <v>0</v>
      </c>
      <c r="L9" s="33">
        <v>75</v>
      </c>
      <c r="M9" s="34">
        <v>0</v>
      </c>
      <c r="N9" s="33">
        <v>75</v>
      </c>
      <c r="O9" s="24"/>
      <c r="P9" s="34">
        <v>0</v>
      </c>
      <c r="Q9" s="35">
        <v>0.6</v>
      </c>
      <c r="R9" s="34">
        <v>1</v>
      </c>
      <c r="S9" s="35">
        <v>0.4</v>
      </c>
      <c r="T9" s="60">
        <v>1</v>
      </c>
      <c r="U9" s="66">
        <f t="shared" si="0"/>
        <v>0.46666666666666667</v>
      </c>
      <c r="V9" s="53">
        <v>1</v>
      </c>
      <c r="W9" s="54">
        <v>0.4</v>
      </c>
      <c r="X9" s="34">
        <v>1</v>
      </c>
      <c r="Y9" s="35">
        <v>0.5</v>
      </c>
      <c r="AA9" s="22" t="str">
        <f>T2</f>
        <v>UHC LU3</v>
      </c>
      <c r="AB9" s="10">
        <v>1</v>
      </c>
      <c r="AC9" t="s">
        <v>86</v>
      </c>
      <c r="AD9" t="s">
        <v>100</v>
      </c>
      <c r="AE9" s="1">
        <v>5100</v>
      </c>
      <c r="AF9" t="s">
        <v>97</v>
      </c>
      <c r="AG9" t="s">
        <v>99</v>
      </c>
      <c r="AH9" t="s">
        <v>98</v>
      </c>
    </row>
    <row r="10" spans="1:34" x14ac:dyDescent="0.2">
      <c r="A10" s="9" t="s">
        <v>10</v>
      </c>
      <c r="B10" s="42">
        <v>300</v>
      </c>
      <c r="C10" s="43">
        <v>2</v>
      </c>
      <c r="D10" s="44" t="e">
        <f ca="1">_xll.RiskPoisson(C10)</f>
        <v>#NAME?</v>
      </c>
      <c r="F10" s="13"/>
      <c r="G10" s="34">
        <v>1</v>
      </c>
      <c r="H10" s="35">
        <v>0.2</v>
      </c>
      <c r="I10" s="34">
        <v>0</v>
      </c>
      <c r="J10" s="31">
        <v>60</v>
      </c>
      <c r="K10" s="34">
        <v>0</v>
      </c>
      <c r="L10" s="31">
        <v>50</v>
      </c>
      <c r="M10" s="34">
        <v>0</v>
      </c>
      <c r="N10" s="33">
        <v>50</v>
      </c>
      <c r="O10" s="24"/>
      <c r="P10" s="34">
        <v>0</v>
      </c>
      <c r="Q10" s="31">
        <v>35</v>
      </c>
      <c r="R10" s="34">
        <v>1</v>
      </c>
      <c r="S10" s="35">
        <v>0.05</v>
      </c>
      <c r="T10" s="60">
        <v>1</v>
      </c>
      <c r="U10" s="66">
        <f t="shared" si="0"/>
        <v>0.11666666666666667</v>
      </c>
      <c r="V10" s="34">
        <v>1</v>
      </c>
      <c r="W10" s="35">
        <v>0.15</v>
      </c>
      <c r="X10" s="34">
        <v>1</v>
      </c>
      <c r="Y10" s="35">
        <v>0.2</v>
      </c>
      <c r="AA10" s="22" t="str">
        <f>V2</f>
        <v>APWU CDHP</v>
      </c>
      <c r="AB10" s="10">
        <v>1</v>
      </c>
      <c r="AC10" t="s">
        <v>59</v>
      </c>
      <c r="AD10" t="s">
        <v>58</v>
      </c>
      <c r="AE10" s="78" t="s">
        <v>113</v>
      </c>
      <c r="AF10" s="36" t="s">
        <v>111</v>
      </c>
      <c r="AG10" s="36" t="s">
        <v>94</v>
      </c>
      <c r="AH10" s="55" t="s">
        <v>112</v>
      </c>
    </row>
    <row r="11" spans="1:34" x14ac:dyDescent="0.2">
      <c r="A11" s="9" t="s">
        <v>11</v>
      </c>
      <c r="B11" s="42">
        <v>3500</v>
      </c>
      <c r="C11" s="43">
        <v>1</v>
      </c>
      <c r="D11" s="44" t="e">
        <f ca="1">_xll.RiskPoisson(C11)</f>
        <v>#NAME?</v>
      </c>
      <c r="F11" s="13"/>
      <c r="G11" s="34">
        <v>1</v>
      </c>
      <c r="H11" s="35">
        <v>0.2</v>
      </c>
      <c r="I11" s="34">
        <v>0</v>
      </c>
      <c r="J11" s="31">
        <v>300</v>
      </c>
      <c r="K11" s="34">
        <v>0</v>
      </c>
      <c r="L11" s="31">
        <v>250</v>
      </c>
      <c r="M11" s="34">
        <v>0</v>
      </c>
      <c r="N11" s="33">
        <v>250</v>
      </c>
      <c r="O11" s="24"/>
      <c r="P11" s="34">
        <v>1</v>
      </c>
      <c r="Q11" s="35">
        <v>0.15</v>
      </c>
      <c r="R11" s="34">
        <v>1</v>
      </c>
      <c r="S11" s="35">
        <v>0.05</v>
      </c>
      <c r="T11" s="60">
        <v>1</v>
      </c>
      <c r="U11" s="66">
        <f t="shared" si="0"/>
        <v>7.857142857142857E-2</v>
      </c>
      <c r="V11" s="34">
        <v>1</v>
      </c>
      <c r="W11" s="35">
        <v>0.15</v>
      </c>
      <c r="X11" s="34">
        <v>1</v>
      </c>
      <c r="Y11" s="35">
        <v>0.2</v>
      </c>
      <c r="AA11" s="1" t="str">
        <f>X2</f>
        <v>Aetna N6 (CDHP)</v>
      </c>
      <c r="AB11" s="10">
        <v>1</v>
      </c>
      <c r="AC11" t="s">
        <v>86</v>
      </c>
      <c r="AD11" t="s">
        <v>85</v>
      </c>
      <c r="AE11" s="1">
        <v>3370</v>
      </c>
      <c r="AF11" t="s">
        <v>95</v>
      </c>
      <c r="AG11" t="s">
        <v>92</v>
      </c>
    </row>
    <row r="12" spans="1:34" x14ac:dyDescent="0.2">
      <c r="A12" s="9" t="s">
        <v>12</v>
      </c>
      <c r="B12" s="42">
        <v>200</v>
      </c>
      <c r="C12" s="43">
        <v>1</v>
      </c>
      <c r="D12" s="44" t="e">
        <f ca="1">_xll.RiskPoisson(C12)</f>
        <v>#NAME?</v>
      </c>
      <c r="F12" s="13"/>
      <c r="G12" s="34">
        <v>1</v>
      </c>
      <c r="H12" s="35">
        <v>0.2</v>
      </c>
      <c r="I12" s="34">
        <v>1</v>
      </c>
      <c r="J12" s="35">
        <v>0.3</v>
      </c>
      <c r="K12" s="34">
        <v>1</v>
      </c>
      <c r="L12" s="35">
        <v>0.2</v>
      </c>
      <c r="M12" s="34">
        <v>1</v>
      </c>
      <c r="N12" s="35">
        <v>0.2</v>
      </c>
      <c r="O12" s="24"/>
      <c r="P12" s="34">
        <v>1</v>
      </c>
      <c r="Q12" s="35">
        <v>0.15</v>
      </c>
      <c r="R12" s="34">
        <v>1</v>
      </c>
      <c r="S12" s="35">
        <v>0.05</v>
      </c>
      <c r="T12" s="60">
        <v>1</v>
      </c>
      <c r="U12" s="66">
        <f t="shared" si="0"/>
        <v>0.15</v>
      </c>
      <c r="V12" s="34">
        <v>1</v>
      </c>
      <c r="W12" s="35">
        <v>0.15</v>
      </c>
      <c r="X12" s="34">
        <v>1</v>
      </c>
      <c r="Y12" s="35">
        <v>0.2</v>
      </c>
    </row>
    <row r="13" spans="1:34" x14ac:dyDescent="0.2">
      <c r="A13" s="9" t="s">
        <v>43</v>
      </c>
      <c r="B13" s="42">
        <v>25000</v>
      </c>
      <c r="C13" s="46">
        <v>0.5</v>
      </c>
      <c r="D13" s="44" t="e">
        <f ca="1">_xll.RiskBernoulli(C13)</f>
        <v>#NAME?</v>
      </c>
      <c r="F13" s="13"/>
      <c r="G13" s="34">
        <v>1</v>
      </c>
      <c r="H13" s="35">
        <v>0.2</v>
      </c>
      <c r="I13" s="34">
        <v>1</v>
      </c>
      <c r="J13" s="35">
        <v>0.3</v>
      </c>
      <c r="K13" s="34">
        <v>1</v>
      </c>
      <c r="L13" s="35">
        <v>0.2</v>
      </c>
      <c r="M13" s="34">
        <v>1</v>
      </c>
      <c r="N13" s="35">
        <v>0.2</v>
      </c>
      <c r="O13" s="24"/>
      <c r="P13" s="64">
        <v>0</v>
      </c>
      <c r="Q13" s="65">
        <v>0</v>
      </c>
      <c r="R13" s="58">
        <v>1</v>
      </c>
      <c r="S13" s="59">
        <v>0</v>
      </c>
      <c r="T13" s="34">
        <v>1</v>
      </c>
      <c r="U13" s="35">
        <v>0.2</v>
      </c>
      <c r="V13" s="64">
        <v>0</v>
      </c>
      <c r="W13" s="65">
        <v>0</v>
      </c>
      <c r="X13" s="58">
        <v>1</v>
      </c>
      <c r="Y13" s="59">
        <v>0</v>
      </c>
    </row>
    <row r="14" spans="1:34" x14ac:dyDescent="0.2">
      <c r="A14" s="9" t="s">
        <v>13</v>
      </c>
      <c r="B14" s="42">
        <v>50000</v>
      </c>
      <c r="C14" s="47">
        <v>0.01</v>
      </c>
      <c r="D14" s="44" t="e">
        <f ca="1">_xll.RiskBernoulli(C14)</f>
        <v>#NAME?</v>
      </c>
      <c r="F14" s="13"/>
      <c r="G14" s="34">
        <v>1</v>
      </c>
      <c r="H14" s="35">
        <v>0.2</v>
      </c>
      <c r="I14" s="34">
        <v>1</v>
      </c>
      <c r="J14" s="35">
        <v>0.3</v>
      </c>
      <c r="K14" s="34">
        <v>1</v>
      </c>
      <c r="L14" s="35">
        <v>0.2</v>
      </c>
      <c r="M14" s="34">
        <v>1</v>
      </c>
      <c r="N14" s="35">
        <v>0.2</v>
      </c>
      <c r="O14" s="24"/>
      <c r="P14" s="34">
        <v>1</v>
      </c>
      <c r="Q14" s="35">
        <v>0.15</v>
      </c>
      <c r="R14" s="34">
        <v>1</v>
      </c>
      <c r="S14" s="35">
        <v>0.05</v>
      </c>
      <c r="T14" s="34">
        <v>1</v>
      </c>
      <c r="U14" s="35">
        <v>0.2</v>
      </c>
      <c r="V14" s="34">
        <v>1</v>
      </c>
      <c r="W14" s="35">
        <v>0.15</v>
      </c>
      <c r="X14" s="34">
        <v>1</v>
      </c>
      <c r="Y14" s="35">
        <v>0.2</v>
      </c>
    </row>
    <row r="15" spans="1:34" x14ac:dyDescent="0.2">
      <c r="A15" s="11" t="s">
        <v>14</v>
      </c>
      <c r="B15" s="48">
        <v>15000</v>
      </c>
      <c r="C15" s="21">
        <v>0.1</v>
      </c>
      <c r="D15" s="45" t="e">
        <f ca="1">_xll.RiskOutput("Surgery, Poisson Distro")+_xll.RiskPoisson(C15)</f>
        <v>#NAME?</v>
      </c>
      <c r="F15" s="13"/>
      <c r="G15" s="34">
        <v>1</v>
      </c>
      <c r="H15" s="35">
        <v>0.2</v>
      </c>
      <c r="I15" s="34">
        <v>1</v>
      </c>
      <c r="J15" s="35">
        <v>0.3</v>
      </c>
      <c r="K15" s="34">
        <v>1</v>
      </c>
      <c r="L15" s="35">
        <v>0.2</v>
      </c>
      <c r="M15" s="34">
        <v>1</v>
      </c>
      <c r="N15" s="35">
        <v>0.2</v>
      </c>
      <c r="O15" s="24"/>
      <c r="P15" s="34">
        <v>1</v>
      </c>
      <c r="Q15" s="35">
        <v>0.15</v>
      </c>
      <c r="R15" s="34">
        <v>1</v>
      </c>
      <c r="S15" s="35">
        <v>0.05</v>
      </c>
      <c r="T15" s="34">
        <v>1</v>
      </c>
      <c r="U15" s="35">
        <v>0.2</v>
      </c>
      <c r="V15" s="34">
        <v>1</v>
      </c>
      <c r="W15" s="35">
        <v>0.15</v>
      </c>
      <c r="X15" s="34">
        <v>1</v>
      </c>
      <c r="Y15" s="35">
        <v>0.2</v>
      </c>
    </row>
    <row r="16" spans="1:34" x14ac:dyDescent="0.2">
      <c r="F16" s="13"/>
      <c r="G16" s="67"/>
      <c r="H16" s="67"/>
      <c r="I16" s="23"/>
      <c r="J16" s="23"/>
      <c r="K16" s="23"/>
      <c r="M16" s="67"/>
      <c r="N16" s="67"/>
      <c r="O16" s="23"/>
      <c r="P16" s="23"/>
      <c r="Q16" s="23"/>
      <c r="R16" s="67"/>
      <c r="S16" s="67"/>
      <c r="T16" s="23"/>
      <c r="U16" s="23"/>
      <c r="V16" s="67"/>
      <c r="W16" s="67"/>
      <c r="X16" s="23"/>
      <c r="Y16" s="23"/>
    </row>
    <row r="17" spans="1:31" x14ac:dyDescent="0.2">
      <c r="A17" t="str">
        <f>F17</f>
        <v>Premium (Annual)</v>
      </c>
      <c r="F17" s="13" t="s">
        <v>21</v>
      </c>
      <c r="G17" s="67"/>
      <c r="H17" s="31">
        <f>150*12</f>
        <v>1800</v>
      </c>
      <c r="I17" s="23"/>
      <c r="J17" s="32">
        <f>222*12</f>
        <v>2664</v>
      </c>
      <c r="K17" s="23"/>
      <c r="L17" s="32">
        <f>315*12</f>
        <v>3780</v>
      </c>
      <c r="M17" s="67"/>
      <c r="N17" s="32">
        <f>462*12</f>
        <v>5544</v>
      </c>
      <c r="O17" s="23"/>
      <c r="P17" s="23"/>
      <c r="Q17" s="32">
        <f>150.83*26</f>
        <v>3921.5800000000004</v>
      </c>
      <c r="R17" s="67"/>
      <c r="S17" s="32">
        <f>153.62*26</f>
        <v>3994.12</v>
      </c>
      <c r="T17" s="23"/>
      <c r="U17" s="32">
        <f>194.09*26</f>
        <v>5046.34</v>
      </c>
      <c r="V17" s="67"/>
      <c r="W17" s="32">
        <f>166.88*26</f>
        <v>4338.88</v>
      </c>
      <c r="X17" s="23"/>
      <c r="Y17" s="32">
        <f>162.76*26</f>
        <v>4231.76</v>
      </c>
    </row>
    <row r="18" spans="1:31" x14ac:dyDescent="0.2">
      <c r="A18" s="13" t="s">
        <v>54</v>
      </c>
      <c r="F18" s="13" t="s">
        <v>54</v>
      </c>
      <c r="G18" s="67"/>
      <c r="H18" s="31">
        <f>(1-$E$2)*H17</f>
        <v>1170</v>
      </c>
      <c r="I18" s="23"/>
      <c r="J18" s="31">
        <f>(1-$E$2)*J17</f>
        <v>1731.6000000000001</v>
      </c>
      <c r="K18" s="23"/>
      <c r="L18" s="31">
        <f>(1-$E$2)*L17</f>
        <v>2457</v>
      </c>
      <c r="M18" s="67"/>
      <c r="N18" s="31">
        <f>(1-$E$2)*N17</f>
        <v>3603.6</v>
      </c>
      <c r="O18" s="23"/>
      <c r="P18" s="23"/>
      <c r="Q18" s="31">
        <f>(1-$E$2)*Q17</f>
        <v>2549.0270000000005</v>
      </c>
      <c r="R18" s="67"/>
      <c r="S18" s="31">
        <f>(1-$E$2)*S17</f>
        <v>2596.1779999999999</v>
      </c>
      <c r="T18" s="23"/>
      <c r="U18" s="31">
        <f>(1-$E$2)*U17</f>
        <v>3280.1210000000001</v>
      </c>
      <c r="V18" s="67"/>
      <c r="W18" s="31">
        <f>(1-$E$2)*W17</f>
        <v>2820.2720000000004</v>
      </c>
      <c r="X18" s="23"/>
      <c r="Y18" s="31">
        <f>(1-$E$2)*Y17</f>
        <v>2750.6440000000002</v>
      </c>
      <c r="Z18" s="31"/>
      <c r="AA18" s="31"/>
      <c r="AB18" s="120" t="s">
        <v>101</v>
      </c>
      <c r="AC18" s="120"/>
      <c r="AD18" s="120"/>
      <c r="AE18" s="120"/>
    </row>
    <row r="19" spans="1:31" x14ac:dyDescent="0.2">
      <c r="A19" t="str">
        <f t="shared" ref="A19:A20" si="1">F19</f>
        <v>Deductible (Fam)</v>
      </c>
      <c r="F19" s="13" t="s">
        <v>22</v>
      </c>
      <c r="G19" s="67"/>
      <c r="H19" s="32">
        <v>6400</v>
      </c>
      <c r="I19" s="23"/>
      <c r="J19" s="32">
        <v>11000</v>
      </c>
      <c r="K19" s="23"/>
      <c r="L19" s="32">
        <v>4500</v>
      </c>
      <c r="M19" s="67"/>
      <c r="N19" s="32">
        <v>1000</v>
      </c>
      <c r="O19" s="23"/>
      <c r="P19" s="23"/>
      <c r="Q19" s="32">
        <v>700</v>
      </c>
      <c r="R19" s="67"/>
      <c r="S19" s="32">
        <v>3200</v>
      </c>
      <c r="T19" s="23"/>
      <c r="U19" s="32">
        <v>4000</v>
      </c>
      <c r="V19" s="67"/>
      <c r="W19" s="32">
        <v>4400</v>
      </c>
      <c r="X19" s="23"/>
      <c r="Y19" s="32">
        <v>3200</v>
      </c>
      <c r="Z19" s="32"/>
      <c r="AA19" s="32"/>
      <c r="AD19" s="119" t="s">
        <v>96</v>
      </c>
      <c r="AE19" s="119"/>
    </row>
    <row r="20" spans="1:31" x14ac:dyDescent="0.2">
      <c r="A20" t="str">
        <f t="shared" si="1"/>
        <v>Max OOP</v>
      </c>
      <c r="F20" s="13" t="s">
        <v>23</v>
      </c>
      <c r="G20" s="67"/>
      <c r="H20" s="32">
        <v>12000</v>
      </c>
      <c r="I20" s="23"/>
      <c r="J20" s="32">
        <v>14000</v>
      </c>
      <c r="K20" s="23"/>
      <c r="L20" s="32">
        <v>12000</v>
      </c>
      <c r="M20" s="67"/>
      <c r="N20" s="32">
        <v>3000</v>
      </c>
      <c r="O20" s="23"/>
      <c r="P20" s="23"/>
      <c r="Q20" s="32">
        <v>13000</v>
      </c>
      <c r="R20" s="67"/>
      <c r="S20" s="32">
        <v>12000</v>
      </c>
      <c r="T20" s="23"/>
      <c r="U20" s="32">
        <v>12000</v>
      </c>
      <c r="V20" s="67"/>
      <c r="W20" s="32">
        <v>13000</v>
      </c>
      <c r="X20" s="23"/>
      <c r="Y20" s="32">
        <v>12000</v>
      </c>
      <c r="Z20" s="32"/>
      <c r="AA20" s="32"/>
      <c r="AD20" s="34">
        <v>1</v>
      </c>
      <c r="AE20" s="31">
        <v>15</v>
      </c>
    </row>
    <row r="21" spans="1:31" x14ac:dyDescent="0.2">
      <c r="F21" s="13"/>
      <c r="G21" s="67"/>
      <c r="H21" s="67"/>
      <c r="I21" s="23"/>
      <c r="J21" s="23"/>
      <c r="K21" s="23"/>
      <c r="M21" s="67"/>
      <c r="N21" s="67"/>
      <c r="O21" s="23"/>
      <c r="P21" s="23"/>
      <c r="Q21" s="23"/>
      <c r="R21" s="67"/>
      <c r="S21" s="67"/>
      <c r="T21" s="23"/>
      <c r="U21" s="23"/>
      <c r="V21" s="67"/>
      <c r="W21" s="67"/>
      <c r="X21" s="23"/>
      <c r="Y21" s="23"/>
      <c r="Z21" s="23"/>
      <c r="AA21" s="23"/>
      <c r="AD21" s="34">
        <v>1</v>
      </c>
      <c r="AE21" s="31">
        <v>30</v>
      </c>
    </row>
    <row r="22" spans="1:31" x14ac:dyDescent="0.2">
      <c r="A22" s="2" t="s">
        <v>38</v>
      </c>
      <c r="B22" s="3" t="s">
        <v>39</v>
      </c>
      <c r="C22" s="3" t="s">
        <v>40</v>
      </c>
      <c r="D22" s="4" t="s">
        <v>41</v>
      </c>
      <c r="F22" s="13" t="s">
        <v>25</v>
      </c>
      <c r="G22" s="67"/>
      <c r="H22" s="38">
        <v>0</v>
      </c>
      <c r="I22" s="36"/>
      <c r="J22" s="37" t="e">
        <f ca="1">SUMPRODUCT(J3:J11,$D3:$D11)</f>
        <v>#NAME?</v>
      </c>
      <c r="K22" s="41"/>
      <c r="L22" s="37" t="e">
        <f ca="1">SUMPRODUCT(L3:L11,$D3:$D11)</f>
        <v>#NAME?</v>
      </c>
      <c r="M22" s="67"/>
      <c r="N22" s="37" t="e">
        <f ca="1">SUMPRODUCT(N3:N11,$D3:$D11)</f>
        <v>#NAME?</v>
      </c>
      <c r="O22" s="23"/>
      <c r="P22" s="23"/>
      <c r="Q22" s="37" t="e">
        <f ca="1">SUMPRODUCT(Q3:Q7,$D3:$D7)+SUMPRODUCT(Q8:Q9,$D8:$D9,$B8:$B9)+SUMPRODUCT(Q10,D10)</f>
        <v>#NAME?</v>
      </c>
      <c r="R22" s="67"/>
      <c r="S22" s="37">
        <f>0</f>
        <v>0</v>
      </c>
      <c r="T22" s="23"/>
      <c r="U22" s="37">
        <f>0</f>
        <v>0</v>
      </c>
      <c r="V22" s="67"/>
      <c r="W22" s="68">
        <f>0</f>
        <v>0</v>
      </c>
      <c r="X22" s="23"/>
      <c r="Y22" s="37">
        <f>0</f>
        <v>0</v>
      </c>
      <c r="Z22" s="37"/>
      <c r="AA22" s="37"/>
      <c r="AD22" s="34">
        <v>1</v>
      </c>
      <c r="AE22" s="31">
        <v>30</v>
      </c>
    </row>
    <row r="23" spans="1:31" x14ac:dyDescent="0.2">
      <c r="A23" s="5" t="str">
        <f>G2</f>
        <v>OAP HDHPQ</v>
      </c>
      <c r="B23" s="25" t="e">
        <f ca="1">B5*D5</f>
        <v>#NAME?</v>
      </c>
      <c r="C23" s="25" t="e">
        <f ca="1">IF(B23&gt;3000,3000+(B23-3000)*H5,B23)</f>
        <v>#NAME?</v>
      </c>
      <c r="D23" s="28" t="e">
        <f ca="1">C23+H17-MAX(7100-C23,0)*$E$2-H35</f>
        <v>#NAME?</v>
      </c>
      <c r="E23" s="6"/>
      <c r="F23" s="13" t="s">
        <v>24</v>
      </c>
      <c r="G23" s="67"/>
      <c r="H23" s="37" t="e">
        <f ca="1">SUMPRODUCT($B3:$B15,$D3:$D15,G3:G15)</f>
        <v>#NAME?</v>
      </c>
      <c r="I23" s="36"/>
      <c r="J23" s="37" t="e">
        <f ca="1">SUMPRODUCT($B3:$B15,$D3:$D15,I3:I15)</f>
        <v>#NAME?</v>
      </c>
      <c r="K23" s="50"/>
      <c r="L23" s="37" t="e">
        <f ca="1">SUMPRODUCT($B3:$B15,$D3:$D15,K3:K15)</f>
        <v>#NAME?</v>
      </c>
      <c r="M23" s="69"/>
      <c r="N23" s="37" t="e">
        <f ca="1">SUMPRODUCT($B3:$B15,$D3:$D15,M3:M15)</f>
        <v>#NAME?</v>
      </c>
      <c r="O23" s="23"/>
      <c r="P23" s="23"/>
      <c r="Q23" s="37" t="e">
        <f ca="1">SUMPRODUCT($B3:$B15,$D3:$D15,P3:P15)</f>
        <v>#NAME?</v>
      </c>
      <c r="R23" s="67"/>
      <c r="S23" s="37" t="e">
        <f ca="1">SUMPRODUCT($B3:$B15,$D3:$D15,R3:R15)</f>
        <v>#NAME?</v>
      </c>
      <c r="T23" s="23"/>
      <c r="U23" s="37" t="e">
        <f ca="1">SUMPRODUCT($B3:$B15,$D3:$D15,T3:T15)</f>
        <v>#NAME?</v>
      </c>
      <c r="V23" s="67"/>
      <c r="W23" s="37" t="e">
        <f ca="1">SUMPRODUCT($B3:$B15,$D3:$D15,V3:V15)</f>
        <v>#NAME?</v>
      </c>
      <c r="X23" s="23"/>
      <c r="Y23" s="37" t="e">
        <f ca="1">SUMPRODUCT($B3:$B15,$D3:$D15,X3:X15)</f>
        <v>#NAME?</v>
      </c>
      <c r="Z23" s="37"/>
      <c r="AA23" s="37"/>
      <c r="AD23" s="34">
        <v>1</v>
      </c>
      <c r="AE23" s="35">
        <v>0.2</v>
      </c>
    </row>
    <row r="24" spans="1:31" x14ac:dyDescent="0.2">
      <c r="A24" s="5" t="str">
        <f>K2</f>
        <v>OAP 1500</v>
      </c>
      <c r="B24" s="25"/>
      <c r="C24" s="25"/>
      <c r="D24" s="28"/>
      <c r="E24" s="6"/>
      <c r="F24" s="13" t="s">
        <v>26</v>
      </c>
      <c r="G24" s="67"/>
      <c r="H24" s="36" t="e">
        <f ca="1">H23&gt;H19</f>
        <v>#NAME?</v>
      </c>
      <c r="I24" s="36"/>
      <c r="J24" s="36" t="e">
        <f ca="1">J23&gt;J19</f>
        <v>#NAME?</v>
      </c>
      <c r="K24" s="36"/>
      <c r="L24" s="36" t="e">
        <f ca="1">L23&gt;L19</f>
        <v>#NAME?</v>
      </c>
      <c r="M24" s="69"/>
      <c r="N24" s="36" t="e">
        <f ca="1">N23&gt;N19</f>
        <v>#NAME?</v>
      </c>
      <c r="O24" s="23"/>
      <c r="P24" s="23"/>
      <c r="Q24" s="36" t="e">
        <f ca="1">Q23&gt;Q19</f>
        <v>#NAME?</v>
      </c>
      <c r="R24" s="67"/>
      <c r="S24" s="36" t="e">
        <f ca="1">S23&gt;S19</f>
        <v>#NAME?</v>
      </c>
      <c r="T24" s="23"/>
      <c r="U24" s="36" t="e">
        <f ca="1">U23&gt;U19</f>
        <v>#NAME?</v>
      </c>
      <c r="V24" s="67"/>
      <c r="W24" s="36" t="e">
        <f ca="1">W23&gt;W19</f>
        <v>#NAME?</v>
      </c>
      <c r="X24" s="23"/>
      <c r="Y24" s="36" t="e">
        <f ca="1">Y23&gt;Y19</f>
        <v>#NAME?</v>
      </c>
      <c r="Z24" s="36"/>
      <c r="AA24" s="36"/>
      <c r="AD24" s="34">
        <v>1</v>
      </c>
      <c r="AE24" s="31">
        <v>85</v>
      </c>
    </row>
    <row r="25" spans="1:31" x14ac:dyDescent="0.2">
      <c r="A25" s="7" t="str">
        <f>I2</f>
        <v>OAP Base</v>
      </c>
      <c r="B25" s="25"/>
      <c r="C25" s="25"/>
      <c r="D25" s="28"/>
      <c r="E25" s="6"/>
      <c r="F25" s="13" t="s">
        <v>27</v>
      </c>
      <c r="G25" s="67"/>
      <c r="H25" s="39" t="e">
        <f ca="1">MAX(H23-H19,0)</f>
        <v>#NAME?</v>
      </c>
      <c r="I25" s="36"/>
      <c r="J25" s="39" t="e">
        <f ca="1">MAX(J23-J19,0)</f>
        <v>#NAME?</v>
      </c>
      <c r="K25" s="36"/>
      <c r="L25" s="39" t="e">
        <f ca="1">MAX(L23-L19,0)</f>
        <v>#NAME?</v>
      </c>
      <c r="M25" s="69"/>
      <c r="N25" s="39" t="e">
        <f ca="1">MAX(N23-N19,0)</f>
        <v>#NAME?</v>
      </c>
      <c r="O25" s="23"/>
      <c r="P25" s="23"/>
      <c r="Q25" s="39" t="e">
        <f ca="1">MAX(Q23-Q19,0)</f>
        <v>#NAME?</v>
      </c>
      <c r="R25" s="67"/>
      <c r="S25" s="39" t="e">
        <f ca="1">MAX(S23-S19,0)</f>
        <v>#NAME?</v>
      </c>
      <c r="T25" s="23"/>
      <c r="U25" s="39" t="e">
        <f ca="1">MAX(U23-U19,0)</f>
        <v>#NAME?</v>
      </c>
      <c r="V25" s="67"/>
      <c r="W25" s="39" t="e">
        <f ca="1">MAX(W23-W19,0)</f>
        <v>#NAME?</v>
      </c>
      <c r="X25" s="23"/>
      <c r="Y25" s="39" t="e">
        <f ca="1">MAX(Y23-Y19,0)</f>
        <v>#NAME?</v>
      </c>
      <c r="Z25" s="39"/>
      <c r="AA25" s="39"/>
      <c r="AD25" s="34">
        <v>1</v>
      </c>
      <c r="AE25" s="63">
        <v>212.5</v>
      </c>
    </row>
    <row r="26" spans="1:31" x14ac:dyDescent="0.2">
      <c r="A26" s="7" t="str">
        <f>M2</f>
        <v>OAP 500</v>
      </c>
      <c r="B26" s="25" t="e">
        <f ca="1">N5*D5</f>
        <v>#NAME?</v>
      </c>
      <c r="C26" s="25" t="e">
        <f ca="1">B26</f>
        <v>#NAME?</v>
      </c>
      <c r="D26" s="28" t="e">
        <f ca="1">C26+N17</f>
        <v>#NAME?</v>
      </c>
      <c r="E26" s="6"/>
      <c r="F26" s="13" t="s">
        <v>28</v>
      </c>
      <c r="G26" s="67"/>
      <c r="H26" s="51" t="e">
        <f ca="1">SUMPRODUCT(D3:D15,H3:H15)/SUM(D3:D15)</f>
        <v>#NAME?</v>
      </c>
      <c r="I26" s="36"/>
      <c r="J26" s="51">
        <f ca="1">IFERROR(SUMPRODUCT($D12:$D15,J12:J15)/SUM($D12:$D15),0)</f>
        <v>0</v>
      </c>
      <c r="K26" s="36"/>
      <c r="L26" s="51">
        <f ca="1">IFERROR(SUMPRODUCT($D12:$D15,L12:L15)/SUM($D12:$D15),0)</f>
        <v>0</v>
      </c>
      <c r="M26" s="69"/>
      <c r="N26" s="51">
        <f ca="1">IFERROR(SUMPRODUCT($D12:$D15,N12:N15)/SUM($D12:$D15),0)</f>
        <v>0</v>
      </c>
      <c r="O26" s="23"/>
      <c r="P26" s="23"/>
      <c r="Q26" s="51">
        <f ca="1">IFERROR((SUMPRODUCT($D14:$D15,Q14:Q15)+SUMPRODUCT($D12,Q12))/SUM($D12,$D14:$D15),0)</f>
        <v>0</v>
      </c>
      <c r="R26" s="67"/>
      <c r="S26" s="51">
        <f ca="1">IFERROR((SUMPRODUCT($D14:$D15,S14:S15)+SUMPRODUCT($D12,S12))/SUM($D12,$D14:$D15),0)</f>
        <v>0</v>
      </c>
      <c r="T26" s="23"/>
      <c r="U26" s="51">
        <f ca="1">IFERROR((SUMPRODUCT($D3:$D15,U3:U15)/SUM($D3:$D15)),0)</f>
        <v>0</v>
      </c>
      <c r="V26" s="67"/>
      <c r="W26" s="51">
        <f ca="1">IFERROR((SUMPRODUCT($D14:$D15,W14:W15)+SUMPRODUCT($D12,W12))/SUM($D12,$D14:$D15),0)</f>
        <v>0</v>
      </c>
      <c r="X26" s="23"/>
      <c r="Y26" s="51">
        <f ca="1">IFERROR((SUMPRODUCT($D14:$D15,Y14:Y15)+SUMPRODUCT($D10:$D12,Y10:Y12))/SUM($D10:$D12,$D14:$D15),0)</f>
        <v>0</v>
      </c>
      <c r="Z26" s="51"/>
      <c r="AA26" s="51"/>
      <c r="AD26" s="34">
        <v>1</v>
      </c>
      <c r="AE26" s="31">
        <v>350</v>
      </c>
    </row>
    <row r="27" spans="1:31" x14ac:dyDescent="0.2">
      <c r="A27" s="5" t="str">
        <f>P2</f>
        <v>GEHA Standard</v>
      </c>
      <c r="B27" s="25" t="e">
        <f ca="1">B5*D5</f>
        <v>#NAME?</v>
      </c>
      <c r="C27" s="25" t="e">
        <f ca="1">IF(B27&gt;Q19,Q19+(B27-Q19)*Q5,B27)</f>
        <v>#NAME?</v>
      </c>
      <c r="D27" s="28" t="e">
        <f ca="1">C27+Q17-MAX(7100-C27,0)*$E$2</f>
        <v>#NAME?</v>
      </c>
      <c r="E27" s="6"/>
      <c r="F27" s="13" t="s">
        <v>29</v>
      </c>
      <c r="G27" s="67"/>
      <c r="H27" s="39" t="e">
        <f ca="1">H26*H25</f>
        <v>#NAME?</v>
      </c>
      <c r="I27" s="36"/>
      <c r="J27" s="39" t="e">
        <f ca="1">J26*J25</f>
        <v>#NAME?</v>
      </c>
      <c r="K27" s="36"/>
      <c r="L27" s="39" t="e">
        <f ca="1">L26*L25</f>
        <v>#NAME?</v>
      </c>
      <c r="M27" s="69"/>
      <c r="N27" s="39" t="e">
        <f ca="1">N26*N25</f>
        <v>#NAME?</v>
      </c>
      <c r="O27" s="23"/>
      <c r="P27" s="23"/>
      <c r="Q27" s="39" t="e">
        <f ca="1">Q26*Q25</f>
        <v>#NAME?</v>
      </c>
      <c r="R27" s="67"/>
      <c r="S27" s="39" t="e">
        <f ca="1">S26*S25</f>
        <v>#NAME?</v>
      </c>
      <c r="T27" s="23"/>
      <c r="U27" s="39" t="e">
        <f ca="1">U26*U25</f>
        <v>#NAME?</v>
      </c>
      <c r="V27" s="67"/>
      <c r="W27" s="39" t="e">
        <f ca="1">W26*W25</f>
        <v>#NAME?</v>
      </c>
      <c r="X27" s="23"/>
      <c r="Y27" s="39" t="e">
        <f ca="1">Y26*Y25</f>
        <v>#NAME?</v>
      </c>
      <c r="Z27" s="39"/>
      <c r="AA27" s="39"/>
      <c r="AD27" s="34">
        <v>1</v>
      </c>
      <c r="AE27" s="31">
        <v>35</v>
      </c>
    </row>
    <row r="28" spans="1:31" x14ac:dyDescent="0.2">
      <c r="A28" s="7" t="str">
        <f>V2</f>
        <v>APWU CDHP</v>
      </c>
      <c r="B28" s="25" t="e">
        <f ca="1">B5*D5</f>
        <v>#NAME?</v>
      </c>
      <c r="C28" s="25" t="e">
        <f ca="1">IF(B28&gt;W19,(B28-W19)/B5*W5+W19,B28)</f>
        <v>#NAME?</v>
      </c>
      <c r="D28" s="28" t="e">
        <f ca="1">C28+W17-MAX(7100-C28,0)*$E$2</f>
        <v>#NAME?</v>
      </c>
      <c r="E28" s="6"/>
      <c r="F28" s="13" t="s">
        <v>30</v>
      </c>
      <c r="G28" s="67"/>
      <c r="H28" s="39" t="e">
        <f ca="1">H25-H27</f>
        <v>#NAME?</v>
      </c>
      <c r="I28" s="36"/>
      <c r="J28" s="39" t="e">
        <f ca="1">J25-J27</f>
        <v>#NAME?</v>
      </c>
      <c r="K28" s="36"/>
      <c r="L28" s="39" t="e">
        <f ca="1">L25-L27</f>
        <v>#NAME?</v>
      </c>
      <c r="M28" s="69"/>
      <c r="N28" s="39" t="e">
        <f ca="1">N25-N27</f>
        <v>#NAME?</v>
      </c>
      <c r="O28" s="23"/>
      <c r="P28" s="23"/>
      <c r="Q28" s="39" t="e">
        <f ca="1">Q25-Q27</f>
        <v>#NAME?</v>
      </c>
      <c r="R28" s="67"/>
      <c r="S28" s="39" t="e">
        <f ca="1">S25-S27</f>
        <v>#NAME?</v>
      </c>
      <c r="T28" s="23"/>
      <c r="U28" s="39" t="e">
        <f ca="1">U25-U27</f>
        <v>#NAME?</v>
      </c>
      <c r="V28" s="67"/>
      <c r="W28" s="39" t="e">
        <f ca="1">W25-W27</f>
        <v>#NAME?</v>
      </c>
      <c r="X28" s="23"/>
      <c r="Y28" s="39" t="e">
        <f ca="1">Y25-Y27</f>
        <v>#NAME?</v>
      </c>
      <c r="Z28" s="39"/>
      <c r="AA28" s="39"/>
      <c r="AD28" s="34">
        <v>1</v>
      </c>
      <c r="AE28" s="31">
        <v>275</v>
      </c>
    </row>
    <row r="29" spans="1:31" x14ac:dyDescent="0.2">
      <c r="A29" s="8" t="str">
        <f>X2</f>
        <v>Aetna N6 (CDHP)</v>
      </c>
      <c r="B29" s="29" t="e">
        <f ca="1">B5*D5</f>
        <v>#NAME?</v>
      </c>
      <c r="C29" s="29" t="e">
        <f ca="1">IF(B29&gt;Y19,(B29-Y19)/B5*Y5+Y19,B29)</f>
        <v>#NAME?</v>
      </c>
      <c r="D29" s="30" t="e">
        <f ca="1">C29+Y17-MAX(7100-C29,0)*$E$2</f>
        <v>#NAME?</v>
      </c>
      <c r="F29" s="14" t="s">
        <v>31</v>
      </c>
      <c r="G29" s="67"/>
      <c r="H29" s="36" t="e">
        <f ca="1">IF(NOT(H24),0,H23-H27-H28-H19)+_xll.RiskOutput("Checksum 1")</f>
        <v>#NAME?</v>
      </c>
      <c r="I29" s="36"/>
      <c r="J29" s="36" t="e">
        <f ca="1">IF(NOT(J24),0,J23-J27-J28-J19)+_xll.RiskOutput("Checksum 2")</f>
        <v>#NAME?</v>
      </c>
      <c r="K29" s="36"/>
      <c r="L29" s="36" t="e">
        <f ca="1">IF(NOT(L24),0,L23-L27-L28-L19)+_xll.RiskOutput("Checksum 2")</f>
        <v>#NAME?</v>
      </c>
      <c r="M29" s="69"/>
      <c r="N29" s="36" t="e">
        <f ca="1">IF(NOT(N24),0,N23-N27-N28-N19)+_xll.RiskOutput("Checksum 3")</f>
        <v>#NAME?</v>
      </c>
      <c r="O29" s="23"/>
      <c r="P29" s="23"/>
      <c r="Q29" s="36" t="e">
        <f ca="1">IF(NOT(Q24),0,Q23-Q27-Q28-Q19)+_xll.RiskOutput("Checksum 3")</f>
        <v>#NAME?</v>
      </c>
      <c r="R29" s="67"/>
      <c r="S29" s="36" t="e">
        <f ca="1">IF(NOT(S24),0,S23-S27-S28-S19)+_xll.RiskOutput("Checksum 3")</f>
        <v>#NAME?</v>
      </c>
      <c r="T29" s="23"/>
      <c r="U29" s="36" t="e">
        <f ca="1">IF(NOT(U24),0,U23-U27-U28-U19)+_xll.RiskOutput("Checksum 3")</f>
        <v>#NAME?</v>
      </c>
      <c r="V29" s="67"/>
      <c r="W29" s="36" t="e">
        <f ca="1">IF(NOT(W24),0,W23-W27-W28-W19)+_xll.RiskOutput("Checksum 3")</f>
        <v>#NAME?</v>
      </c>
      <c r="X29" s="23"/>
      <c r="Y29" s="36" t="e">
        <f ca="1">IF(NOT(Y24),0,Y23-Y27-Y28-Y19)+_xll.RiskOutput("Checksum 3")</f>
        <v>#NAME?</v>
      </c>
      <c r="Z29" s="36"/>
      <c r="AA29" s="36"/>
      <c r="AD29" s="34">
        <v>1</v>
      </c>
      <c r="AE29" s="31">
        <v>30</v>
      </c>
    </row>
    <row r="30" spans="1:31" x14ac:dyDescent="0.2">
      <c r="A30" s="1"/>
      <c r="F30" s="13"/>
      <c r="G30" s="67"/>
      <c r="H30" s="67"/>
      <c r="I30" s="23"/>
      <c r="J30" s="23"/>
      <c r="K30" s="23"/>
      <c r="M30" s="67"/>
      <c r="N30" s="67"/>
      <c r="O30" s="23"/>
      <c r="P30" s="23"/>
      <c r="Q30" s="23"/>
      <c r="R30" s="67"/>
      <c r="S30" s="67"/>
      <c r="T30" s="23"/>
      <c r="U30" s="23"/>
      <c r="V30" s="67"/>
      <c r="W30" s="67"/>
      <c r="X30" s="23"/>
      <c r="Y30" s="23"/>
      <c r="Z30" s="23"/>
      <c r="AA30" s="23"/>
      <c r="AD30" s="56">
        <v>1</v>
      </c>
      <c r="AE30" s="57">
        <v>0.2</v>
      </c>
    </row>
    <row r="31" spans="1:31" x14ac:dyDescent="0.2">
      <c r="A31" s="2" t="s">
        <v>38</v>
      </c>
      <c r="B31" s="3" t="s">
        <v>39</v>
      </c>
      <c r="C31" s="3" t="s">
        <v>40</v>
      </c>
      <c r="D31" s="4" t="s">
        <v>41</v>
      </c>
      <c r="F31" s="13" t="s">
        <v>32</v>
      </c>
      <c r="G31" s="67"/>
      <c r="H31" s="39" t="e">
        <f ca="1">IF(H24,H19+H27,H23)+H22</f>
        <v>#NAME?</v>
      </c>
      <c r="I31" s="39"/>
      <c r="J31" s="39" t="e">
        <f ca="1">IF(J24,J19+J27,J23)+J22</f>
        <v>#NAME?</v>
      </c>
      <c r="K31" s="36"/>
      <c r="L31" s="39" t="e">
        <f ca="1">IF(L24,L19+L27,L23)+L22</f>
        <v>#NAME?</v>
      </c>
      <c r="M31" s="70"/>
      <c r="N31" s="39" t="e">
        <f ca="1">IF(N24,N19+N27,N23)+N22</f>
        <v>#NAME?</v>
      </c>
      <c r="O31" s="26"/>
      <c r="P31" s="26"/>
      <c r="Q31" s="39" t="e">
        <f ca="1">IF(Q24,Q19+Q27,Q23)+Q22</f>
        <v>#NAME?</v>
      </c>
      <c r="R31" s="71"/>
      <c r="S31" s="39" t="e">
        <f ca="1">IF(S24,S19+S27,S23)+S22</f>
        <v>#NAME?</v>
      </c>
      <c r="T31" s="26"/>
      <c r="U31" s="39" t="e">
        <f ca="1">IF(U24,U19+U27,U23)+U22</f>
        <v>#NAME?</v>
      </c>
      <c r="V31" s="71"/>
      <c r="W31" s="39" t="e">
        <f ca="1">IF(W24,W19+W27,W23)+W22</f>
        <v>#NAME?</v>
      </c>
      <c r="X31" s="26"/>
      <c r="Y31" s="39" t="e">
        <f ca="1">IF(Y24,Y19+Y27,Y23)+Y22</f>
        <v>#NAME?</v>
      </c>
      <c r="Z31" s="39"/>
      <c r="AA31" s="39"/>
      <c r="AD31" s="34">
        <v>1</v>
      </c>
      <c r="AE31" s="35">
        <v>0.2</v>
      </c>
    </row>
    <row r="32" spans="1:31" x14ac:dyDescent="0.2">
      <c r="A32" s="5" t="str">
        <f>G2</f>
        <v>OAP HDHPQ</v>
      </c>
      <c r="B32" s="25" t="e">
        <f ca="1">B13*D13</f>
        <v>#NAME?</v>
      </c>
      <c r="C32" s="25" t="e">
        <f ca="1">IF(B32&gt;3000,3000+(B32-3000)*H13,B32)</f>
        <v>#NAME?</v>
      </c>
      <c r="D32" s="28" t="e">
        <f ca="1">C32+H26-MAX(7100-C32,0)*$E$2-H43</f>
        <v>#NAME?</v>
      </c>
      <c r="F32" s="13" t="s">
        <v>33</v>
      </c>
      <c r="G32" s="67"/>
      <c r="H32" s="36" t="e">
        <f ca="1">H31&gt;H20</f>
        <v>#NAME?</v>
      </c>
      <c r="I32" s="36"/>
      <c r="J32" s="36" t="e">
        <f ca="1">J31&gt;J20</f>
        <v>#NAME?</v>
      </c>
      <c r="K32" s="36"/>
      <c r="L32" s="36" t="e">
        <f ca="1">L31&gt;L20</f>
        <v>#NAME?</v>
      </c>
      <c r="M32" s="69"/>
      <c r="N32" s="36" t="e">
        <f ca="1">N31&gt;N20</f>
        <v>#NAME?</v>
      </c>
      <c r="O32" s="23"/>
      <c r="P32" s="23"/>
      <c r="Q32" s="36" t="e">
        <f ca="1">Q31&gt;Q20</f>
        <v>#NAME?</v>
      </c>
      <c r="R32" s="67"/>
      <c r="S32" s="36" t="e">
        <f ca="1">S31&gt;S20</f>
        <v>#NAME?</v>
      </c>
      <c r="T32" s="23"/>
      <c r="U32" s="36" t="e">
        <f ca="1">U31&gt;U20</f>
        <v>#NAME?</v>
      </c>
      <c r="V32" s="67"/>
      <c r="W32" s="36" t="e">
        <f ca="1">W31&gt;W20</f>
        <v>#NAME?</v>
      </c>
      <c r="X32" s="23"/>
      <c r="Y32" s="36" t="e">
        <f ca="1">Y31&gt;Y20</f>
        <v>#NAME?</v>
      </c>
      <c r="Z32" s="36"/>
      <c r="AA32" s="36"/>
      <c r="AD32" s="34">
        <v>1</v>
      </c>
      <c r="AE32" s="35">
        <v>0.2</v>
      </c>
    </row>
    <row r="33" spans="1:27" x14ac:dyDescent="0.2">
      <c r="A33" s="7"/>
      <c r="B33" s="25"/>
      <c r="C33" s="25"/>
      <c r="D33" s="28"/>
      <c r="F33" s="13" t="s">
        <v>34</v>
      </c>
      <c r="G33" s="67"/>
      <c r="H33" s="39" t="e">
        <f ca="1">IF(H32,H20,H31)</f>
        <v>#NAME?</v>
      </c>
      <c r="I33" s="39"/>
      <c r="J33" s="39" t="e">
        <f ca="1">IF(J32,J20,J31)</f>
        <v>#NAME?</v>
      </c>
      <c r="K33" s="36"/>
      <c r="L33" s="39" t="e">
        <f ca="1">IF(L32,L20,L31)</f>
        <v>#NAME?</v>
      </c>
      <c r="M33" s="70"/>
      <c r="N33" s="39" t="e">
        <f ca="1">IF(N32,N20,N31)</f>
        <v>#NAME?</v>
      </c>
      <c r="O33" s="26"/>
      <c r="P33" s="26"/>
      <c r="Q33" s="39" t="e">
        <f ca="1">IF(Q32,Q20,Q31)</f>
        <v>#NAME?</v>
      </c>
      <c r="R33" s="71"/>
      <c r="S33" s="39" t="e">
        <f ca="1">IF(S32,S20,S31)</f>
        <v>#NAME?</v>
      </c>
      <c r="T33" s="26"/>
      <c r="U33" s="39" t="e">
        <f ca="1">IF(U32,U20,U31)</f>
        <v>#NAME?</v>
      </c>
      <c r="V33" s="71"/>
      <c r="W33" s="39" t="e">
        <f ca="1">IF(W32,W20,W31)</f>
        <v>#NAME?</v>
      </c>
      <c r="X33" s="26"/>
      <c r="Y33" s="39" t="e">
        <f ca="1">IF(Y32,Y20,Y31)</f>
        <v>#NAME?</v>
      </c>
      <c r="Z33" s="39"/>
      <c r="AA33" s="39"/>
    </row>
    <row r="34" spans="1:27" x14ac:dyDescent="0.2">
      <c r="A34" s="7"/>
      <c r="B34" s="25"/>
      <c r="C34" s="25"/>
      <c r="D34" s="28"/>
      <c r="F34" s="13" t="s">
        <v>35</v>
      </c>
      <c r="G34" s="36" t="s">
        <v>19</v>
      </c>
      <c r="H34" s="37">
        <f>IF(G34="Y",(8300-H35)*$E$2,0)</f>
        <v>1645</v>
      </c>
      <c r="I34" s="37" t="s">
        <v>20</v>
      </c>
      <c r="J34" s="37">
        <f>IF(I34="Y",(8300-J35)*$E$2,0)</f>
        <v>0</v>
      </c>
      <c r="K34" s="37" t="s">
        <v>20</v>
      </c>
      <c r="L34" s="37">
        <f>IF(K34="Y",(8300-L35)*$E$2,0)</f>
        <v>0</v>
      </c>
      <c r="M34" s="37" t="s">
        <v>20</v>
      </c>
      <c r="N34" s="37">
        <f>IF(M34="Y",(8300-N35)*$E$2,0)</f>
        <v>0</v>
      </c>
      <c r="O34" s="25"/>
      <c r="P34" s="37" t="s">
        <v>20</v>
      </c>
      <c r="Q34" s="37">
        <f>IF(P34="Y",(8300-Q35)*$E$2,0)</f>
        <v>0</v>
      </c>
      <c r="R34" s="61" t="s">
        <v>19</v>
      </c>
      <c r="S34" s="61">
        <f>IF(R34="Y",(8300-S35)*$E$2,0)</f>
        <v>2205.0279999999998</v>
      </c>
      <c r="T34" s="61" t="s">
        <v>19</v>
      </c>
      <c r="U34" s="37">
        <f>IF(T34="Y",(8300-U35)*$E$2,0)</f>
        <v>2380</v>
      </c>
      <c r="V34" s="37" t="s">
        <v>20</v>
      </c>
      <c r="W34" s="37">
        <f>IF(V34="Y",(8300-W35)*$E$2,0)</f>
        <v>0</v>
      </c>
      <c r="X34" s="37" t="s">
        <v>20</v>
      </c>
      <c r="Y34" s="37">
        <f>IF(X34="Y",(8300-Y35)*$E$2,0)</f>
        <v>0</v>
      </c>
      <c r="Z34" s="37"/>
      <c r="AA34" s="37"/>
    </row>
    <row r="35" spans="1:27" x14ac:dyDescent="0.2">
      <c r="A35" s="5"/>
      <c r="B35" s="25"/>
      <c r="C35" s="25"/>
      <c r="D35" s="28"/>
      <c r="F35" s="13" t="s">
        <v>36</v>
      </c>
      <c r="G35" s="67"/>
      <c r="H35" s="37">
        <f>125*12+2100</f>
        <v>3600</v>
      </c>
      <c r="I35" s="25"/>
      <c r="J35" s="25"/>
      <c r="K35" s="41"/>
      <c r="L35" s="37"/>
      <c r="M35" s="77"/>
      <c r="N35" s="77"/>
      <c r="O35" s="25"/>
      <c r="P35" s="25"/>
      <c r="Q35" s="61"/>
      <c r="R35" s="72"/>
      <c r="S35" s="61">
        <f>166.66*12</f>
        <v>1999.92</v>
      </c>
      <c r="T35" s="62"/>
      <c r="U35" s="61">
        <f>125*12</f>
        <v>1500</v>
      </c>
      <c r="V35" s="77"/>
      <c r="W35" s="37">
        <v>2400</v>
      </c>
      <c r="X35" s="25"/>
      <c r="Y35" s="37">
        <v>1800</v>
      </c>
      <c r="Z35" s="37"/>
      <c r="AA35" s="37"/>
    </row>
    <row r="36" spans="1:27" x14ac:dyDescent="0.2">
      <c r="A36" s="7"/>
      <c r="B36" s="25"/>
      <c r="C36" s="25"/>
      <c r="D36" s="28"/>
      <c r="F36" s="13" t="s">
        <v>84</v>
      </c>
      <c r="G36" s="67"/>
      <c r="H36" s="67"/>
      <c r="I36" s="23"/>
      <c r="J36" s="23"/>
      <c r="K36" s="23"/>
      <c r="M36" s="67"/>
      <c r="N36" s="67"/>
      <c r="O36" s="23"/>
      <c r="P36" s="23"/>
      <c r="Q36" s="39" t="e">
        <f ca="1">Q33+Q18-Q34-Q35</f>
        <v>#NAME?</v>
      </c>
      <c r="R36" s="67"/>
      <c r="S36" s="39" t="e">
        <f ca="1">S33+S18-S34-S35</f>
        <v>#NAME?</v>
      </c>
      <c r="T36" s="23"/>
      <c r="U36" s="39" t="e">
        <f ca="1">U33+U18-U34-U35</f>
        <v>#NAME?</v>
      </c>
      <c r="V36" s="67"/>
      <c r="W36" s="39" t="e">
        <f ca="1">W33+W18-W34-W35</f>
        <v>#NAME?</v>
      </c>
      <c r="X36" s="23"/>
      <c r="Y36" s="39" t="e">
        <f ca="1">Y33+Y18-Y34-Y35</f>
        <v>#NAME?</v>
      </c>
    </row>
    <row r="37" spans="1:27" ht="16" thickBot="1" x14ac:dyDescent="0.25">
      <c r="A37" s="8"/>
      <c r="B37" s="29"/>
      <c r="C37" s="29"/>
      <c r="D37" s="30"/>
      <c r="F37" s="15" t="s">
        <v>37</v>
      </c>
      <c r="G37" s="73"/>
      <c r="H37" s="40" t="e">
        <f ca="1">H33+H18-H34-H35+_xll.RiskOutput(G2)</f>
        <v>#NAME?</v>
      </c>
      <c r="I37" s="52"/>
      <c r="J37" s="40" t="e">
        <f ca="1">J33+J18-J34-J35+_xll.RiskOutput(I2)</f>
        <v>#NAME?</v>
      </c>
      <c r="K37" s="52"/>
      <c r="L37" s="40" t="e">
        <f ca="1">L33+L18-L34-L35+_xll.RiskOutput(K2)</f>
        <v>#NAME?</v>
      </c>
      <c r="M37" s="79"/>
      <c r="N37" s="40" t="e">
        <f ca="1">N33+N18-N34-N35+_xll.RiskOutput(M2)</f>
        <v>#NAME?</v>
      </c>
      <c r="O37" s="27"/>
      <c r="P37" s="27"/>
      <c r="Q37" s="40" t="e">
        <f ca="1">IF(P34="N",MAX(Q18,Q36),Q36)+_xll.RiskOutput(P2)</f>
        <v>#NAME?</v>
      </c>
      <c r="R37" s="73"/>
      <c r="S37" s="40" t="e">
        <f ca="1">IF(R34="N",MAX(S18,S36),S36)+_xll.RiskOutput(R2)</f>
        <v>#NAME?</v>
      </c>
      <c r="T37" s="27"/>
      <c r="U37" s="40" t="e">
        <f ca="1">IF(T34="N",MAX(U18,U36),U36)+_xll.RiskOutput(T2)</f>
        <v>#NAME?</v>
      </c>
      <c r="V37" s="73"/>
      <c r="W37" s="40" t="e">
        <f ca="1">IF(V34="N",MAX(W18,W36),W36)+_xll.RiskOutput(V2)</f>
        <v>#NAME?</v>
      </c>
      <c r="X37" s="27"/>
      <c r="Y37" s="40" t="e">
        <f ca="1">IF(X34="N",MAX(Y18,Y36),Y36)+_xll.RiskOutput(X2)</f>
        <v>#NAME?</v>
      </c>
    </row>
    <row r="38" spans="1:27" x14ac:dyDescent="0.2">
      <c r="G38" s="22" t="str">
        <f>G2</f>
        <v>OAP HDHPQ</v>
      </c>
      <c r="H38" s="74"/>
      <c r="I38" s="22" t="str">
        <f>I2</f>
        <v>OAP Base</v>
      </c>
      <c r="K38" s="22" t="str">
        <f>K2</f>
        <v>OAP 1500</v>
      </c>
      <c r="M38" s="22" t="str">
        <f>M2</f>
        <v>OAP 500</v>
      </c>
      <c r="N38" s="74"/>
      <c r="P38" s="22" t="str">
        <f>P2</f>
        <v>GEHA Standard</v>
      </c>
      <c r="R38" s="22" t="str">
        <f>R2</f>
        <v>GEHA HDHP</v>
      </c>
      <c r="T38" s="22" t="str">
        <f>T2</f>
        <v>UHC LU3</v>
      </c>
      <c r="V38" s="22" t="str">
        <f>V2</f>
        <v>APWU CDHP</v>
      </c>
      <c r="X38" s="22" t="str">
        <f>X2</f>
        <v>Aetna N6 (CDHP)</v>
      </c>
    </row>
  </sheetData>
  <mergeCells count="14">
    <mergeCell ref="AD19:AE19"/>
    <mergeCell ref="AB18:AE18"/>
    <mergeCell ref="X2:Y2"/>
    <mergeCell ref="A1:D1"/>
    <mergeCell ref="P1:Y1"/>
    <mergeCell ref="G1:N1"/>
    <mergeCell ref="G2:H2"/>
    <mergeCell ref="I2:J2"/>
    <mergeCell ref="M2:N2"/>
    <mergeCell ref="P2:Q2"/>
    <mergeCell ref="V2:W2"/>
    <mergeCell ref="K2:L2"/>
    <mergeCell ref="T2:U2"/>
    <mergeCell ref="R2:S2"/>
  </mergeCells>
  <conditionalFormatting sqref="D23:D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L37 H37 N37 Y37 W37 U37 S37 Q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errorStyle="warning" allowBlank="1" showErrorMessage="1" errorTitle="Invalid Data" sqref="K3:K15 G3:G15 X3:X15 M3:M15 I3:I15 V3:V15 P3:P15 T3:T15 R3:R15 AD20:AD32" xr:uid="{0C2B619C-AD5C-0C41-8D14-4706E9532BBF}">
      <formula1>"0,1"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6EE5-1A08-4A65-9159-7D1607EB5A8C}">
  <dimension ref="A1:X10"/>
  <sheetViews>
    <sheetView workbookViewId="0"/>
  </sheetViews>
  <sheetFormatPr baseColWidth="10" defaultColWidth="25.6640625" defaultRowHeight="15" x14ac:dyDescent="0.2"/>
  <sheetData>
    <row r="1" spans="1:24" x14ac:dyDescent="0.2">
      <c r="A1" t="s">
        <v>60</v>
      </c>
      <c r="B1" t="s">
        <v>189</v>
      </c>
    </row>
    <row r="2" spans="1:24" x14ac:dyDescent="0.2">
      <c r="A2" t="s">
        <v>61</v>
      </c>
      <c r="B2">
        <v>4</v>
      </c>
    </row>
    <row r="3" spans="1:24" x14ac:dyDescent="0.2">
      <c r="A3" t="s">
        <v>62</v>
      </c>
      <c r="B3">
        <v>0</v>
      </c>
    </row>
    <row r="5" spans="1:24" x14ac:dyDescent="0.2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J5" t="s">
        <v>69</v>
      </c>
      <c r="K5" t="s">
        <v>70</v>
      </c>
      <c r="L5" t="s">
        <v>71</v>
      </c>
      <c r="N5" t="s">
        <v>72</v>
      </c>
      <c r="O5" t="s">
        <v>73</v>
      </c>
      <c r="P5" t="s">
        <v>74</v>
      </c>
      <c r="R5" t="s">
        <v>75</v>
      </c>
      <c r="S5" t="s">
        <v>76</v>
      </c>
      <c r="T5" t="s">
        <v>77</v>
      </c>
      <c r="V5" t="s">
        <v>78</v>
      </c>
      <c r="W5" t="s">
        <v>79</v>
      </c>
      <c r="X5" t="s">
        <v>80</v>
      </c>
    </row>
    <row r="6" spans="1:24" x14ac:dyDescent="0.2">
      <c r="A6" t="e">
        <f ca="1">ModelRef(IndDeduct!$D$6,2,0,0)</f>
        <v>#NAME?</v>
      </c>
      <c r="B6">
        <v>0</v>
      </c>
      <c r="C6">
        <v>3</v>
      </c>
      <c r="F6">
        <v>0</v>
      </c>
      <c r="J6" t="b">
        <v>1</v>
      </c>
      <c r="K6" t="s">
        <v>214</v>
      </c>
      <c r="L6" t="e">
        <f ca="1">ModelRef(IndDeduct!$D$6,2,0,0)+ModelRef(IndDeduct!$D$6,3,0,-1)</f>
        <v>#NAME?</v>
      </c>
    </row>
    <row r="7" spans="1:24" x14ac:dyDescent="0.2">
      <c r="A7" t="e">
        <f ca="1">ModelRef(FamDeduct!$D$14,2,0,0)</f>
        <v>#NAME?</v>
      </c>
      <c r="B7">
        <v>0</v>
      </c>
      <c r="C7">
        <v>3</v>
      </c>
      <c r="F7">
        <v>0</v>
      </c>
      <c r="J7" t="b">
        <v>1</v>
      </c>
      <c r="K7" t="s">
        <v>213</v>
      </c>
      <c r="L7" t="e">
        <f ca="1">ModelRef(FamDeduct!$D$14,2,0,0)+ModelRef(FamDeduct!$D$14,3,0,-1)</f>
        <v>#NAME?</v>
      </c>
    </row>
    <row r="8" spans="1:24" x14ac:dyDescent="0.2">
      <c r="A8" t="e">
        <f ca="1">ModelRef(IndDeduct!$D$14,2,0,0)</f>
        <v>#NAME?</v>
      </c>
      <c r="B8">
        <v>0</v>
      </c>
      <c r="C8">
        <v>3</v>
      </c>
      <c r="F8">
        <v>0</v>
      </c>
      <c r="J8" t="b">
        <v>1</v>
      </c>
      <c r="K8" t="s">
        <v>212</v>
      </c>
      <c r="L8" t="e">
        <f ca="1">ModelRef(IndDeduct!$D$14,2,0,0)+ModelRef(IndDeduct!$D$14,3,0,-1)</f>
        <v>#NAME?</v>
      </c>
    </row>
    <row r="9" spans="1:24" x14ac:dyDescent="0.2">
      <c r="A9" t="e">
        <f ca="1">ModelRef('-old-famDeduct-'!$S$37,1,0,0)</f>
        <v>#NAME?</v>
      </c>
      <c r="B9">
        <v>0</v>
      </c>
      <c r="C9">
        <v>3</v>
      </c>
      <c r="F9">
        <v>0</v>
      </c>
      <c r="K9" t="s">
        <v>115</v>
      </c>
      <c r="L9" t="e">
        <f ca="1">ModelRef('-old-famDeduct-'!$S$37,1,0,0)</f>
        <v>#NAME?</v>
      </c>
    </row>
    <row r="10" spans="1:24" x14ac:dyDescent="0.2">
      <c r="A10" t="e">
        <f ca="1">ModelRef('-old-famDeduct-'!$D$14,2,0,0)</f>
        <v>#NAME?</v>
      </c>
      <c r="B10">
        <v>0</v>
      </c>
      <c r="C10">
        <v>3</v>
      </c>
      <c r="F10">
        <v>0</v>
      </c>
      <c r="K10" t="s">
        <v>109</v>
      </c>
      <c r="L10" t="e">
        <f ca="1">ModelRef('-old-famDeduct-'!$D$14,2,0,0)+ModelRef('-old-famDeduct-'!$D$14,3,0,-1)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ED57-94DD-47EC-BEFF-D65157A26F3C}">
  <sheetPr>
    <outlinePr summaryBelow="0"/>
    <pageSetUpPr fitToPage="1"/>
  </sheetPr>
  <dimension ref="A1:O9"/>
  <sheetViews>
    <sheetView showGridLines="0" tabSelected="1" zoomScale="115" zoomScaleNormal="115" workbookViewId="0">
      <selection activeCell="J12" sqref="J12"/>
    </sheetView>
  </sheetViews>
  <sheetFormatPr baseColWidth="10" defaultColWidth="8.83203125" defaultRowHeight="15" x14ac:dyDescent="0.2"/>
  <cols>
    <col min="1" max="1" width="10.33203125" customWidth="1"/>
    <col min="2" max="2" width="2.6640625" customWidth="1"/>
    <col min="3" max="3" width="0.6640625" customWidth="1"/>
    <col min="4" max="4" width="12.33203125" customWidth="1"/>
    <col min="5" max="5" width="6.6640625" customWidth="1"/>
    <col min="6" max="6" width="6.5" customWidth="1"/>
    <col min="7" max="10" width="13" customWidth="1"/>
    <col min="11" max="11" width="3.33203125" customWidth="1"/>
    <col min="12" max="12" width="0.1640625" customWidth="1"/>
    <col min="13" max="13" width="1.5" customWidth="1"/>
    <col min="14" max="14" width="8.33203125" customWidth="1"/>
    <col min="15" max="15" width="13" customWidth="1"/>
  </cols>
  <sheetData>
    <row r="1" spans="1:15" ht="13.5" customHeight="1" x14ac:dyDescent="0.2">
      <c r="A1" s="155" t="s">
        <v>167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</row>
    <row r="2" spans="1:15" ht="23.25" customHeight="1" x14ac:dyDescent="0.2">
      <c r="A2" s="156" t="s">
        <v>168</v>
      </c>
      <c r="B2" s="156"/>
      <c r="C2" s="157" t="s">
        <v>50</v>
      </c>
      <c r="D2" s="157"/>
      <c r="E2" s="157" t="s">
        <v>192</v>
      </c>
      <c r="F2" s="157"/>
      <c r="G2" s="107" t="s">
        <v>190</v>
      </c>
      <c r="H2" s="107" t="s">
        <v>44</v>
      </c>
      <c r="I2" s="107" t="s">
        <v>137</v>
      </c>
      <c r="J2" s="107" t="s">
        <v>138</v>
      </c>
      <c r="K2" s="157" t="s">
        <v>139</v>
      </c>
      <c r="L2" s="157"/>
      <c r="M2" s="157"/>
      <c r="N2" s="157"/>
      <c r="O2" s="107" t="s">
        <v>135</v>
      </c>
    </row>
    <row r="3" spans="1:15" ht="11.25" customHeight="1" x14ac:dyDescent="0.2">
      <c r="A3" s="149" t="s">
        <v>169</v>
      </c>
      <c r="B3" s="149"/>
      <c r="C3" s="153" t="s">
        <v>204</v>
      </c>
      <c r="D3" s="153"/>
      <c r="E3" s="153" t="s">
        <v>205</v>
      </c>
      <c r="F3" s="153"/>
      <c r="G3" s="108" t="s">
        <v>206</v>
      </c>
      <c r="H3" s="108" t="s">
        <v>207</v>
      </c>
      <c r="I3" s="108" t="s">
        <v>208</v>
      </c>
      <c r="J3" s="108" t="s">
        <v>209</v>
      </c>
      <c r="K3" s="153" t="s">
        <v>210</v>
      </c>
      <c r="L3" s="153"/>
      <c r="M3" s="153"/>
      <c r="N3" s="153"/>
      <c r="O3" s="108" t="s">
        <v>211</v>
      </c>
    </row>
    <row r="4" spans="1:15" ht="11.25" customHeight="1" x14ac:dyDescent="0.2">
      <c r="A4" s="149" t="s">
        <v>178</v>
      </c>
      <c r="B4" s="149"/>
      <c r="C4" s="147">
        <f>$B$8*IndNoPregYesMental!C12+$B$9*IndNoPregNoMental!C12</f>
        <v>4376.3521739130438</v>
      </c>
      <c r="D4" s="147"/>
      <c r="E4" s="147">
        <f>$B$8*IndNoPregYesMental!E12+$B$9*IndNoPregNoMental!E12</f>
        <v>15182.2</v>
      </c>
      <c r="F4" s="147"/>
      <c r="G4" s="117">
        <f>$B$8*IndNoPregYesMental!G12+$B$9*IndNoPregNoMental!G12</f>
        <v>17471.7</v>
      </c>
      <c r="H4" s="117">
        <f>$B$8*IndNoPregYesMental!H12+$B$9*IndNoPregNoMental!H12</f>
        <v>19988.400000000001</v>
      </c>
      <c r="I4" s="117">
        <f>$B$8*IndNoPregYesMental!I12+$B$9*IndNoPregNoMental!I12</f>
        <v>23313.097020000001</v>
      </c>
      <c r="J4" s="117">
        <f>$B$8*IndNoPregYesMental!J12+$B$9*IndNoPregNoMental!J12</f>
        <v>22797.573100000001</v>
      </c>
      <c r="K4" s="147">
        <v>17471.7</v>
      </c>
      <c r="L4" s="147"/>
      <c r="M4" s="147"/>
      <c r="N4" s="147"/>
      <c r="O4" s="117">
        <f>$B$8*IndNoPregYesMental!O12+$B$9*IndNoPregNoMental!O12</f>
        <v>13161.920693170734</v>
      </c>
    </row>
    <row r="5" spans="1:15" ht="10.5" customHeight="1" x14ac:dyDescent="0.2">
      <c r="A5" s="149" t="s">
        <v>179</v>
      </c>
      <c r="B5" s="149"/>
      <c r="C5" s="147">
        <f>$B$8*IndNoPregYesMental!C13+$B$9*IndNoPregNoMental!C13</f>
        <v>15673.199999999999</v>
      </c>
      <c r="D5" s="147"/>
      <c r="E5" s="147">
        <f>$B$8*IndNoPregYesMental!E13+$B$9*IndNoPregNoMental!E13</f>
        <v>28792.199999999997</v>
      </c>
      <c r="F5" s="147"/>
      <c r="G5" s="117">
        <f>$B$8*IndNoPregYesMental!G13+$B$9*IndNoPregNoMental!G13</f>
        <v>29419.199999999997</v>
      </c>
      <c r="H5" s="117">
        <f>$B$8*IndNoPregYesMental!H13+$B$9*IndNoPregNoMental!H13</f>
        <v>22658.400000000001</v>
      </c>
      <c r="I5" s="117">
        <f>$B$8*IndNoPregYesMental!I13+$B$9*IndNoPregNoMental!I13</f>
        <v>29097.097020000001</v>
      </c>
      <c r="J5" s="117">
        <f>$B$8*IndNoPregYesMental!J13+$B$9*IndNoPregNoMental!J13</f>
        <v>42640.073100000001</v>
      </c>
      <c r="K5" s="147">
        <v>17471.7</v>
      </c>
      <c r="L5" s="147"/>
      <c r="M5" s="147"/>
      <c r="N5" s="147"/>
      <c r="O5" s="117">
        <f>$B$8*IndNoPregYesMental!O13+$B$9*IndNoPregNoMental!O13</f>
        <v>23032.103620000002</v>
      </c>
    </row>
    <row r="6" spans="1:15" ht="11.25" customHeight="1" x14ac:dyDescent="0.2">
      <c r="A6" s="149" t="s">
        <v>180</v>
      </c>
      <c r="B6" s="149"/>
      <c r="C6" s="147">
        <f>$B$8*IndNoPregYesMental!C14+$B$9*IndNoPregNoMental!C14</f>
        <v>11260.310280031761</v>
      </c>
      <c r="D6" s="147"/>
      <c r="E6" s="147">
        <f>$B$8*IndNoPregYesMental!E14+$B$9*IndNoPregNoMental!E14</f>
        <v>17731.429999999036</v>
      </c>
      <c r="F6" s="147"/>
      <c r="G6" s="117">
        <f>$B$8*IndNoPregYesMental!G14+$B$9*IndNoPregNoMental!G14</f>
        <v>20097.192499998418</v>
      </c>
      <c r="H6" s="117">
        <f>$B$8*IndNoPregYesMental!H14+$B$9*IndNoPregNoMental!H14</f>
        <v>21817.286000000771</v>
      </c>
      <c r="I6" s="117">
        <f>$B$8*IndNoPregYesMental!I14+$B$9*IndNoPregNoMental!I14</f>
        <v>25005.078777142884</v>
      </c>
      <c r="J6" s="117">
        <f>$B$8*IndNoPregYesMental!J14+$B$9*IndNoPregNoMental!J14</f>
        <v>26167.351957534032</v>
      </c>
      <c r="K6" s="147">
        <v>17471.7</v>
      </c>
      <c r="L6" s="147"/>
      <c r="M6" s="147"/>
      <c r="N6" s="147"/>
      <c r="O6" s="117">
        <f>$B$8*IndNoPregYesMental!O14+$B$9*IndNoPregNoMental!O14</f>
        <v>21598.507613005931</v>
      </c>
    </row>
    <row r="8" spans="1:15" x14ac:dyDescent="0.2">
      <c r="A8" t="s">
        <v>215</v>
      </c>
      <c r="B8">
        <v>1</v>
      </c>
    </row>
    <row r="9" spans="1:15" x14ac:dyDescent="0.2">
      <c r="A9" t="s">
        <v>216</v>
      </c>
      <c r="B9">
        <v>2</v>
      </c>
    </row>
  </sheetData>
  <mergeCells count="21">
    <mergeCell ref="A1:O1"/>
    <mergeCell ref="A2:B2"/>
    <mergeCell ref="C2:D2"/>
    <mergeCell ref="E2:F2"/>
    <mergeCell ref="K2:N2"/>
    <mergeCell ref="A3:B3"/>
    <mergeCell ref="C3:D3"/>
    <mergeCell ref="E3:F3"/>
    <mergeCell ref="K3:N3"/>
    <mergeCell ref="A4:B4"/>
    <mergeCell ref="C4:D4"/>
    <mergeCell ref="E4:F4"/>
    <mergeCell ref="K4:N4"/>
    <mergeCell ref="A5:B5"/>
    <mergeCell ref="C5:D5"/>
    <mergeCell ref="E5:F5"/>
    <mergeCell ref="K5:N5"/>
    <mergeCell ref="A6:B6"/>
    <mergeCell ref="C6:D6"/>
    <mergeCell ref="E6:F6"/>
    <mergeCell ref="K6:N6"/>
  </mergeCells>
  <conditionalFormatting sqref="C4:O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O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O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75" header="0.3" footer="0.3"/>
  <pageSetup paperSize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B2DB-5F4A-4003-97C3-7376155F5F62}">
  <dimension ref="A1:E13"/>
  <sheetViews>
    <sheetView workbookViewId="0">
      <selection activeCell="E13" sqref="E13"/>
    </sheetView>
  </sheetViews>
  <sheetFormatPr baseColWidth="10" defaultColWidth="8.83203125" defaultRowHeight="15" x14ac:dyDescent="0.2"/>
  <cols>
    <col min="3" max="3" width="12.1640625" bestFit="1" customWidth="1"/>
  </cols>
  <sheetData>
    <row r="1" spans="1:5" x14ac:dyDescent="0.2">
      <c r="A1" t="s">
        <v>133</v>
      </c>
      <c r="D1" t="s">
        <v>132</v>
      </c>
      <c r="E1" t="s">
        <v>131</v>
      </c>
    </row>
    <row r="2" spans="1:5" x14ac:dyDescent="0.2">
      <c r="A2" t="s">
        <v>130</v>
      </c>
      <c r="B2" s="1">
        <v>220</v>
      </c>
      <c r="C2" t="s">
        <v>129</v>
      </c>
      <c r="D2" s="1">
        <v>150</v>
      </c>
      <c r="E2" s="1">
        <v>150</v>
      </c>
    </row>
    <row r="3" spans="1:5" x14ac:dyDescent="0.2">
      <c r="A3" t="s">
        <v>128</v>
      </c>
      <c r="B3">
        <v>20</v>
      </c>
      <c r="C3" t="s">
        <v>127</v>
      </c>
      <c r="D3">
        <v>6400</v>
      </c>
      <c r="E3">
        <v>3200</v>
      </c>
    </row>
    <row r="4" spans="1:5" x14ac:dyDescent="0.2">
      <c r="A4" t="s">
        <v>126</v>
      </c>
      <c r="B4" s="1">
        <f>B3*B2</f>
        <v>4400</v>
      </c>
      <c r="C4" t="s">
        <v>125</v>
      </c>
      <c r="D4" s="10">
        <v>0.4</v>
      </c>
      <c r="E4" s="10">
        <v>0.25</v>
      </c>
    </row>
    <row r="5" spans="1:5" x14ac:dyDescent="0.2">
      <c r="C5" t="s">
        <v>124</v>
      </c>
      <c r="D5" t="b">
        <f>D3&lt;$B$4</f>
        <v>0</v>
      </c>
      <c r="E5" t="b">
        <f>E3&lt;$B$4</f>
        <v>1</v>
      </c>
    </row>
    <row r="6" spans="1:5" x14ac:dyDescent="0.2">
      <c r="C6" t="s">
        <v>123</v>
      </c>
      <c r="D6">
        <f>IF(D5,$B$4-D3,0)</f>
        <v>0</v>
      </c>
      <c r="E6">
        <f>IF(E5,$B$4-E3,0)</f>
        <v>1200</v>
      </c>
    </row>
    <row r="7" spans="1:5" x14ac:dyDescent="0.2">
      <c r="C7" t="s">
        <v>122</v>
      </c>
      <c r="D7">
        <f>ROUND(D6/$B$2,0)</f>
        <v>0</v>
      </c>
      <c r="E7">
        <f>ROUND(E6/$B$2,0)</f>
        <v>5</v>
      </c>
    </row>
    <row r="8" spans="1:5" x14ac:dyDescent="0.2">
      <c r="C8" t="s">
        <v>121</v>
      </c>
      <c r="D8" s="1">
        <f>D7*D2</f>
        <v>0</v>
      </c>
      <c r="E8" s="1">
        <f>E7*E2</f>
        <v>750</v>
      </c>
    </row>
    <row r="9" spans="1:5" x14ac:dyDescent="0.2">
      <c r="C9" t="s">
        <v>120</v>
      </c>
      <c r="D9" s="1">
        <f>D8*D4</f>
        <v>0</v>
      </c>
      <c r="E9" s="1">
        <f>E8*E4</f>
        <v>187.5</v>
      </c>
    </row>
    <row r="10" spans="1:5" x14ac:dyDescent="0.2">
      <c r="C10" t="s">
        <v>119</v>
      </c>
      <c r="D10" s="1">
        <f>(1-D4)*D8</f>
        <v>0</v>
      </c>
      <c r="E10" s="1">
        <f>(1-E4)*E8</f>
        <v>562.5</v>
      </c>
    </row>
    <row r="11" spans="1:5" x14ac:dyDescent="0.2">
      <c r="C11" t="s">
        <v>118</v>
      </c>
      <c r="D11" s="1">
        <f>D10+D9-D8</f>
        <v>0</v>
      </c>
      <c r="E11" s="1">
        <f>E10+E9-E8</f>
        <v>0</v>
      </c>
    </row>
    <row r="12" spans="1:5" x14ac:dyDescent="0.2">
      <c r="C12" t="s">
        <v>117</v>
      </c>
      <c r="D12" s="1">
        <f>$B$4-D10</f>
        <v>4400</v>
      </c>
      <c r="E12" s="1">
        <f>$B$4-E10</f>
        <v>3837.5</v>
      </c>
    </row>
    <row r="13" spans="1:5" x14ac:dyDescent="0.2">
      <c r="C13" t="s">
        <v>116</v>
      </c>
      <c r="D13" s="1">
        <f>D12-E12</f>
        <v>562.5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9AAD-EA12-47EC-A03A-B667A74DD1A7}">
  <sheetPr>
    <outlinePr summaryBelow="0"/>
    <pageSetUpPr fitToPage="1"/>
  </sheetPr>
  <dimension ref="A1:O33"/>
  <sheetViews>
    <sheetView showGridLines="0" topLeftCell="A10" zoomScale="115" zoomScaleNormal="115" workbookViewId="0">
      <selection activeCell="S7" sqref="S7"/>
    </sheetView>
  </sheetViews>
  <sheetFormatPr baseColWidth="10" defaultColWidth="8.83203125" defaultRowHeight="15" x14ac:dyDescent="0.2"/>
  <cols>
    <col min="1" max="1" width="10.33203125" customWidth="1"/>
    <col min="2" max="2" width="2.6640625" customWidth="1"/>
    <col min="3" max="3" width="0.6640625" customWidth="1"/>
    <col min="4" max="4" width="12.33203125" customWidth="1"/>
    <col min="5" max="5" width="6.6640625" customWidth="1"/>
    <col min="6" max="6" width="6.5" customWidth="1"/>
    <col min="7" max="10" width="13" customWidth="1"/>
    <col min="11" max="11" width="3.33203125" customWidth="1"/>
    <col min="12" max="12" width="0.1640625" customWidth="1"/>
    <col min="13" max="13" width="1.5" customWidth="1"/>
    <col min="14" max="14" width="8.33203125" customWidth="1"/>
    <col min="15" max="15" width="13" customWidth="1"/>
  </cols>
  <sheetData>
    <row r="1" spans="1:15" ht="17.25" customHeight="1" x14ac:dyDescent="0.2">
      <c r="D1" s="129" t="s">
        <v>160</v>
      </c>
      <c r="E1" s="129"/>
      <c r="F1" s="129"/>
      <c r="G1" s="129"/>
      <c r="H1" s="129"/>
      <c r="I1" s="129"/>
      <c r="J1" s="129"/>
      <c r="K1" s="129"/>
      <c r="L1" s="129"/>
      <c r="M1" s="129"/>
    </row>
    <row r="2" spans="1:15" ht="12.75" customHeight="1" x14ac:dyDescent="0.2">
      <c r="D2" s="130" t="s">
        <v>161</v>
      </c>
      <c r="E2" s="130"/>
      <c r="F2" s="131" t="s">
        <v>162</v>
      </c>
      <c r="G2" s="131"/>
      <c r="H2" s="131"/>
      <c r="I2" s="131"/>
      <c r="J2" s="131"/>
      <c r="K2" s="131"/>
      <c r="L2" s="132"/>
      <c r="M2" s="132"/>
    </row>
    <row r="3" spans="1:15" ht="12" customHeight="1" x14ac:dyDescent="0.2">
      <c r="D3" s="130" t="s">
        <v>163</v>
      </c>
      <c r="E3" s="130"/>
      <c r="F3" s="131" t="s">
        <v>164</v>
      </c>
      <c r="G3" s="131"/>
      <c r="H3" s="131"/>
      <c r="I3" s="131"/>
      <c r="J3" s="131"/>
      <c r="K3" s="131"/>
      <c r="L3" s="132"/>
      <c r="M3" s="132"/>
    </row>
    <row r="4" spans="1:15" ht="12" customHeight="1" x14ac:dyDescent="0.2">
      <c r="D4" s="130" t="s">
        <v>165</v>
      </c>
      <c r="E4" s="130"/>
      <c r="F4" s="131" t="s">
        <v>166</v>
      </c>
      <c r="G4" s="131"/>
      <c r="H4" s="131"/>
      <c r="I4" s="131"/>
      <c r="J4" s="131"/>
      <c r="K4" s="131"/>
      <c r="L4" s="132"/>
      <c r="M4" s="132"/>
    </row>
    <row r="5" spans="1:15" ht="4.5" customHeight="1" x14ac:dyDescent="0.2"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1:15" ht="7.5" customHeight="1" x14ac:dyDescent="0.2"/>
    <row r="7" spans="1:15" ht="288" customHeight="1" x14ac:dyDescent="0.2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</row>
    <row r="8" spans="1:15" ht="18" customHeight="1" x14ac:dyDescent="0.2"/>
    <row r="9" spans="1:15" ht="13.5" customHeight="1" x14ac:dyDescent="0.2">
      <c r="A9" s="134" t="s">
        <v>167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15" ht="23.25" customHeight="1" x14ac:dyDescent="0.2">
      <c r="A10" s="135" t="s">
        <v>168</v>
      </c>
      <c r="B10" s="135"/>
      <c r="C10" s="136" t="s">
        <v>50</v>
      </c>
      <c r="D10" s="136"/>
      <c r="E10" s="136" t="s">
        <v>51</v>
      </c>
      <c r="F10" s="136"/>
      <c r="G10" s="98" t="s">
        <v>52</v>
      </c>
      <c r="H10" s="98" t="s">
        <v>44</v>
      </c>
      <c r="I10" s="98" t="s">
        <v>137</v>
      </c>
      <c r="J10" s="98" t="s">
        <v>138</v>
      </c>
      <c r="K10" s="136" t="s">
        <v>139</v>
      </c>
      <c r="L10" s="136"/>
      <c r="M10" s="136"/>
      <c r="N10" s="136"/>
      <c r="O10" s="98" t="s">
        <v>135</v>
      </c>
    </row>
    <row r="11" spans="1:15" ht="11.25" customHeight="1" x14ac:dyDescent="0.2">
      <c r="A11" s="139" t="s">
        <v>169</v>
      </c>
      <c r="B11" s="139"/>
      <c r="C11" s="140" t="s">
        <v>170</v>
      </c>
      <c r="D11" s="140"/>
      <c r="E11" s="140" t="s">
        <v>171</v>
      </c>
      <c r="F11" s="140"/>
      <c r="G11" s="99" t="s">
        <v>172</v>
      </c>
      <c r="H11" s="99" t="s">
        <v>173</v>
      </c>
      <c r="I11" s="99" t="s">
        <v>174</v>
      </c>
      <c r="J11" s="99" t="s">
        <v>175</v>
      </c>
      <c r="K11" s="140" t="s">
        <v>176</v>
      </c>
      <c r="L11" s="140"/>
      <c r="M11" s="140"/>
      <c r="N11" s="140"/>
      <c r="O11" s="99" t="s">
        <v>177</v>
      </c>
    </row>
    <row r="12" spans="1:15" ht="11.25" customHeight="1" x14ac:dyDescent="0.2">
      <c r="A12" s="137" t="s">
        <v>178</v>
      </c>
      <c r="B12" s="137"/>
      <c r="C12" s="138">
        <v>565</v>
      </c>
      <c r="D12" s="138"/>
      <c r="E12" s="138">
        <v>2973</v>
      </c>
      <c r="F12" s="138"/>
      <c r="G12" s="97">
        <v>3835.4</v>
      </c>
      <c r="H12" s="97">
        <v>5540</v>
      </c>
      <c r="I12" s="97">
        <v>6380.0293999999985</v>
      </c>
      <c r="J12" s="97">
        <v>5698.5069999999996</v>
      </c>
      <c r="K12" s="138">
        <v>4595.0123999999996</v>
      </c>
      <c r="L12" s="138"/>
      <c r="M12" s="138"/>
      <c r="N12" s="138"/>
      <c r="O12" s="97">
        <v>2705.0313999999998</v>
      </c>
    </row>
    <row r="13" spans="1:15" ht="10.5" customHeight="1" x14ac:dyDescent="0.2">
      <c r="A13" s="137" t="s">
        <v>179</v>
      </c>
      <c r="B13" s="137"/>
      <c r="C13" s="138">
        <v>11045</v>
      </c>
      <c r="D13" s="138"/>
      <c r="E13" s="138">
        <v>16418</v>
      </c>
      <c r="F13" s="138"/>
      <c r="G13" s="97">
        <v>15455.4</v>
      </c>
      <c r="H13" s="97">
        <v>8070</v>
      </c>
      <c r="I13" s="97">
        <v>12090.029399999999</v>
      </c>
      <c r="J13" s="97">
        <v>22248.506999999998</v>
      </c>
      <c r="K13" s="138">
        <v>21080.0124</v>
      </c>
      <c r="L13" s="138"/>
      <c r="M13" s="138"/>
      <c r="N13" s="138"/>
      <c r="O13" s="97">
        <v>10885.0314</v>
      </c>
    </row>
    <row r="14" spans="1:15" ht="11.25" customHeight="1" x14ac:dyDescent="0.2">
      <c r="A14" s="137" t="s">
        <v>180</v>
      </c>
      <c r="B14" s="137"/>
      <c r="C14" s="138">
        <v>8178.1167999999998</v>
      </c>
      <c r="D14" s="138"/>
      <c r="E14" s="138">
        <v>10863.992</v>
      </c>
      <c r="F14" s="138"/>
      <c r="G14" s="97">
        <v>9347.3839999991324</v>
      </c>
      <c r="H14" s="97">
        <v>7376.58</v>
      </c>
      <c r="I14" s="97">
        <v>8938.5622928563116</v>
      </c>
      <c r="J14" s="97">
        <v>10596.713011904212</v>
      </c>
      <c r="K14" s="138">
        <v>13146.588939683415</v>
      </c>
      <c r="L14" s="138"/>
      <c r="M14" s="138"/>
      <c r="N14" s="138"/>
      <c r="O14" s="97">
        <v>9823.5394000004962</v>
      </c>
    </row>
    <row r="15" spans="1:15" ht="11.25" customHeight="1" x14ac:dyDescent="0.2">
      <c r="A15" s="139" t="s">
        <v>181</v>
      </c>
      <c r="B15" s="139"/>
      <c r="C15" s="142">
        <v>2792.1773594883257</v>
      </c>
      <c r="D15" s="142"/>
      <c r="E15" s="142">
        <v>6130.2704352302999</v>
      </c>
      <c r="F15" s="142"/>
      <c r="G15" s="100">
        <v>4379.5604269893147</v>
      </c>
      <c r="H15" s="100">
        <v>815.39255368401712</v>
      </c>
      <c r="I15" s="100">
        <v>1599.4813384966715</v>
      </c>
      <c r="J15" s="100">
        <v>3533.3457032221677</v>
      </c>
      <c r="K15" s="142">
        <v>6668.1138137500802</v>
      </c>
      <c r="L15" s="142"/>
      <c r="M15" s="142"/>
      <c r="N15" s="142"/>
      <c r="O15" s="100">
        <v>1899.1337382415618</v>
      </c>
    </row>
    <row r="16" spans="1:15" ht="10.5" customHeight="1" x14ac:dyDescent="0.2">
      <c r="A16" s="139" t="s">
        <v>182</v>
      </c>
      <c r="B16" s="139"/>
      <c r="C16" s="143">
        <v>7796254.4068391984</v>
      </c>
      <c r="D16" s="143"/>
      <c r="E16" s="143">
        <v>37580215.609058686</v>
      </c>
      <c r="F16" s="143"/>
      <c r="G16" s="101">
        <v>19180549.53365083</v>
      </c>
      <c r="H16" s="101">
        <v>664865.01660334272</v>
      </c>
      <c r="I16" s="101">
        <v>2558340.5521991039</v>
      </c>
      <c r="J16" s="101">
        <v>12484531.858478555</v>
      </c>
      <c r="K16" s="143">
        <v>44463741.833124645</v>
      </c>
      <c r="L16" s="143"/>
      <c r="M16" s="143"/>
      <c r="N16" s="143"/>
      <c r="O16" s="101">
        <v>3606708.9557273691</v>
      </c>
    </row>
    <row r="17" spans="1:15" ht="11.25" customHeight="1" x14ac:dyDescent="0.2">
      <c r="A17" s="139" t="s">
        <v>183</v>
      </c>
      <c r="B17" s="139"/>
      <c r="C17" s="141">
        <v>-0.48091930591549875</v>
      </c>
      <c r="D17" s="141"/>
      <c r="E17" s="141">
        <v>-0.21540367101224137</v>
      </c>
      <c r="F17" s="141"/>
      <c r="G17" s="102">
        <v>-0.13045238659317596</v>
      </c>
      <c r="H17" s="102">
        <v>-0.49915997609941293</v>
      </c>
      <c r="I17" s="102">
        <v>-5.4086666978802454E-2</v>
      </c>
      <c r="J17" s="102">
        <v>9.5050886903170068E-2</v>
      </c>
      <c r="K17" s="141">
        <v>-0.15857668020558552</v>
      </c>
      <c r="L17" s="141"/>
      <c r="M17" s="141"/>
      <c r="N17" s="141"/>
      <c r="O17" s="102">
        <v>-1.6251005044668181</v>
      </c>
    </row>
    <row r="18" spans="1:15" ht="11.25" customHeight="1" x14ac:dyDescent="0.2">
      <c r="A18" s="139" t="s">
        <v>184</v>
      </c>
      <c r="B18" s="139"/>
      <c r="C18" s="141">
        <v>1.8059477426976989</v>
      </c>
      <c r="D18" s="141"/>
      <c r="E18" s="141">
        <v>1.0565162792366847</v>
      </c>
      <c r="F18" s="141"/>
      <c r="G18" s="102">
        <v>1.1427295646640525</v>
      </c>
      <c r="H18" s="102">
        <v>1.5439855163920158</v>
      </c>
      <c r="I18" s="102">
        <v>1.3991473779306429</v>
      </c>
      <c r="J18" s="102">
        <v>1.7654094972764942</v>
      </c>
      <c r="K18" s="141">
        <v>1.0982487357636539</v>
      </c>
      <c r="L18" s="141"/>
      <c r="M18" s="141"/>
      <c r="N18" s="141"/>
      <c r="O18" s="102">
        <v>4.2204477029886904</v>
      </c>
    </row>
    <row r="19" spans="1:15" ht="10.5" customHeight="1" x14ac:dyDescent="0.2">
      <c r="A19" s="139" t="s">
        <v>185</v>
      </c>
      <c r="B19" s="139"/>
      <c r="C19" s="142">
        <v>9789</v>
      </c>
      <c r="D19" s="142"/>
      <c r="E19" s="142">
        <v>16418</v>
      </c>
      <c r="F19" s="142"/>
      <c r="G19" s="100">
        <v>12580.4</v>
      </c>
      <c r="H19" s="100">
        <v>8070</v>
      </c>
      <c r="I19" s="100">
        <v>9838.0293999999994</v>
      </c>
      <c r="J19" s="100">
        <v>12818.507000000001</v>
      </c>
      <c r="K19" s="142">
        <v>18355.0124</v>
      </c>
      <c r="L19" s="142"/>
      <c r="M19" s="142"/>
      <c r="N19" s="142"/>
      <c r="O19" s="100">
        <v>10885.0314</v>
      </c>
    </row>
    <row r="20" spans="1:15" ht="11.25" customHeight="1" x14ac:dyDescent="0.2">
      <c r="A20" s="139" t="s">
        <v>186</v>
      </c>
      <c r="B20" s="139"/>
      <c r="C20" s="142">
        <v>11045</v>
      </c>
      <c r="D20" s="142"/>
      <c r="E20" s="142">
        <v>16418</v>
      </c>
      <c r="F20" s="142"/>
      <c r="G20" s="100">
        <v>15455.4</v>
      </c>
      <c r="H20" s="100">
        <v>8070</v>
      </c>
      <c r="I20" s="100">
        <v>12090.029399999999</v>
      </c>
      <c r="J20" s="100">
        <v>6638.5069999999996</v>
      </c>
      <c r="K20" s="142">
        <v>21080.0124</v>
      </c>
      <c r="L20" s="142"/>
      <c r="M20" s="142"/>
      <c r="N20" s="142"/>
      <c r="O20" s="100">
        <v>10885.0314</v>
      </c>
    </row>
    <row r="21" spans="1:15" ht="11.25" customHeight="1" x14ac:dyDescent="0.2">
      <c r="A21" s="144">
        <v>0.01</v>
      </c>
      <c r="B21" s="144"/>
      <c r="C21" s="142">
        <v>2305</v>
      </c>
      <c r="D21" s="142"/>
      <c r="E21" s="142">
        <v>3278</v>
      </c>
      <c r="F21" s="142"/>
      <c r="G21" s="100">
        <v>4050.4</v>
      </c>
      <c r="H21" s="100">
        <v>5810</v>
      </c>
      <c r="I21" s="100">
        <v>6588.0293999999985</v>
      </c>
      <c r="J21" s="100">
        <v>6058.5069999999996</v>
      </c>
      <c r="K21" s="142">
        <v>4925.0123999999996</v>
      </c>
      <c r="L21" s="142"/>
      <c r="M21" s="142"/>
      <c r="N21" s="142"/>
      <c r="O21" s="100">
        <v>4445.0313999999998</v>
      </c>
    </row>
    <row r="22" spans="1:15" ht="10.5" customHeight="1" x14ac:dyDescent="0.2">
      <c r="A22" s="145">
        <v>2.5000000000000001E-2</v>
      </c>
      <c r="B22" s="145"/>
      <c r="C22" s="142">
        <v>2705</v>
      </c>
      <c r="D22" s="142"/>
      <c r="E22" s="142">
        <v>3383</v>
      </c>
      <c r="F22" s="142"/>
      <c r="G22" s="100">
        <v>4115.3999999999996</v>
      </c>
      <c r="H22" s="100">
        <v>5915</v>
      </c>
      <c r="I22" s="100">
        <v>6696.0293999999985</v>
      </c>
      <c r="J22" s="100">
        <v>6178.5069999999996</v>
      </c>
      <c r="K22" s="142">
        <v>5055.0123999999996</v>
      </c>
      <c r="L22" s="142"/>
      <c r="M22" s="142"/>
      <c r="N22" s="142"/>
      <c r="O22" s="100">
        <v>4845.0313999999998</v>
      </c>
    </row>
    <row r="23" spans="1:15" ht="11.25" customHeight="1" x14ac:dyDescent="0.2">
      <c r="A23" s="144">
        <v>0.05</v>
      </c>
      <c r="B23" s="144"/>
      <c r="C23" s="142">
        <v>3245</v>
      </c>
      <c r="D23" s="142"/>
      <c r="E23" s="142">
        <v>3533</v>
      </c>
      <c r="F23" s="142"/>
      <c r="G23" s="100">
        <v>4205.3999999999996</v>
      </c>
      <c r="H23" s="100">
        <v>6035</v>
      </c>
      <c r="I23" s="100">
        <v>6808.0293999999985</v>
      </c>
      <c r="J23" s="100">
        <v>6318.5069999999996</v>
      </c>
      <c r="K23" s="142">
        <v>5230.0123999999996</v>
      </c>
      <c r="L23" s="142"/>
      <c r="M23" s="142"/>
      <c r="N23" s="142"/>
      <c r="O23" s="100">
        <v>5385.0313999999998</v>
      </c>
    </row>
    <row r="24" spans="1:15" ht="11.25" customHeight="1" x14ac:dyDescent="0.2">
      <c r="A24" s="144">
        <v>0.1</v>
      </c>
      <c r="B24" s="144"/>
      <c r="C24" s="142">
        <v>4005</v>
      </c>
      <c r="D24" s="142"/>
      <c r="E24" s="142">
        <v>3718</v>
      </c>
      <c r="F24" s="142"/>
      <c r="G24" s="100">
        <v>4320.3999999999996</v>
      </c>
      <c r="H24" s="100">
        <v>6215</v>
      </c>
      <c r="I24" s="100">
        <v>6954.0293999999985</v>
      </c>
      <c r="J24" s="100">
        <v>6508.5069999999996</v>
      </c>
      <c r="K24" s="142">
        <v>5420.0123999999996</v>
      </c>
      <c r="L24" s="142"/>
      <c r="M24" s="142"/>
      <c r="N24" s="142"/>
      <c r="O24" s="100">
        <v>6145.0313999999998</v>
      </c>
    </row>
    <row r="25" spans="1:15" ht="10.5" customHeight="1" x14ac:dyDescent="0.2">
      <c r="A25" s="144">
        <v>0.2</v>
      </c>
      <c r="B25" s="144"/>
      <c r="C25" s="142">
        <v>5645</v>
      </c>
      <c r="D25" s="142"/>
      <c r="E25" s="142">
        <v>3973</v>
      </c>
      <c r="F25" s="142"/>
      <c r="G25" s="100">
        <v>4490.3999999999996</v>
      </c>
      <c r="H25" s="100">
        <v>6435</v>
      </c>
      <c r="I25" s="100">
        <v>7176.0293999999985</v>
      </c>
      <c r="J25" s="100">
        <v>6768.5069999999996</v>
      </c>
      <c r="K25" s="142">
        <v>5710.0123999999996</v>
      </c>
      <c r="L25" s="142"/>
      <c r="M25" s="142"/>
      <c r="N25" s="142"/>
      <c r="O25" s="100">
        <v>8585.0313999999998</v>
      </c>
    </row>
    <row r="26" spans="1:15" ht="11.25" customHeight="1" x14ac:dyDescent="0.2">
      <c r="A26" s="144">
        <v>0.25</v>
      </c>
      <c r="B26" s="144"/>
      <c r="C26" s="142">
        <v>5813</v>
      </c>
      <c r="D26" s="142"/>
      <c r="E26" s="142">
        <v>4098</v>
      </c>
      <c r="F26" s="142"/>
      <c r="G26" s="100">
        <v>4575.3999999999996</v>
      </c>
      <c r="H26" s="100">
        <v>6555</v>
      </c>
      <c r="I26" s="100">
        <v>7284.0293999999985</v>
      </c>
      <c r="J26" s="100">
        <v>6888.5069999999996</v>
      </c>
      <c r="K26" s="142">
        <v>5860.0123999999996</v>
      </c>
      <c r="L26" s="142"/>
      <c r="M26" s="142"/>
      <c r="N26" s="142"/>
      <c r="O26" s="100">
        <v>9425.0313999999998</v>
      </c>
    </row>
    <row r="27" spans="1:15" ht="11.25" customHeight="1" x14ac:dyDescent="0.2">
      <c r="A27" s="144">
        <v>0.5</v>
      </c>
      <c r="B27" s="144"/>
      <c r="C27" s="142">
        <v>9789</v>
      </c>
      <c r="D27" s="142"/>
      <c r="E27" s="142">
        <v>16418</v>
      </c>
      <c r="F27" s="142"/>
      <c r="G27" s="100">
        <v>12580.4</v>
      </c>
      <c r="H27" s="100">
        <v>8070</v>
      </c>
      <c r="I27" s="100">
        <v>9838.0293999999994</v>
      </c>
      <c r="J27" s="100">
        <v>12818.507000000001</v>
      </c>
      <c r="K27" s="142">
        <v>18355.0124</v>
      </c>
      <c r="L27" s="142"/>
      <c r="M27" s="142"/>
      <c r="N27" s="142"/>
      <c r="O27" s="100">
        <v>10885.0314</v>
      </c>
    </row>
    <row r="28" spans="1:15" ht="11.25" customHeight="1" x14ac:dyDescent="0.2">
      <c r="A28" s="144">
        <v>0.75</v>
      </c>
      <c r="B28" s="144"/>
      <c r="C28" s="142">
        <v>10837</v>
      </c>
      <c r="D28" s="142"/>
      <c r="E28" s="142">
        <v>16418</v>
      </c>
      <c r="F28" s="142"/>
      <c r="G28" s="100">
        <v>13190.4</v>
      </c>
      <c r="H28" s="100">
        <v>8070</v>
      </c>
      <c r="I28" s="100">
        <v>10318.029399999999</v>
      </c>
      <c r="J28" s="100">
        <v>13578.507</v>
      </c>
      <c r="K28" s="142">
        <v>19240.0124</v>
      </c>
      <c r="L28" s="142"/>
      <c r="M28" s="142"/>
      <c r="N28" s="142"/>
      <c r="O28" s="100">
        <v>10885.0314</v>
      </c>
    </row>
    <row r="29" spans="1:15" ht="10.5" customHeight="1" x14ac:dyDescent="0.2">
      <c r="A29" s="144">
        <v>0.8</v>
      </c>
      <c r="B29" s="144"/>
      <c r="C29" s="142">
        <v>11041.000000000002</v>
      </c>
      <c r="D29" s="142"/>
      <c r="E29" s="142">
        <v>16418</v>
      </c>
      <c r="F29" s="142"/>
      <c r="G29" s="100">
        <v>13285.4</v>
      </c>
      <c r="H29" s="100">
        <v>8070</v>
      </c>
      <c r="I29" s="100">
        <v>10402.029399999999</v>
      </c>
      <c r="J29" s="100">
        <v>13698.507</v>
      </c>
      <c r="K29" s="142">
        <v>19390.0124</v>
      </c>
      <c r="L29" s="142"/>
      <c r="M29" s="142"/>
      <c r="N29" s="142"/>
      <c r="O29" s="100">
        <v>10885.0314</v>
      </c>
    </row>
    <row r="30" spans="1:15" ht="11.25" customHeight="1" x14ac:dyDescent="0.2">
      <c r="A30" s="144">
        <v>0.9</v>
      </c>
      <c r="B30" s="144"/>
      <c r="C30" s="142">
        <v>11045</v>
      </c>
      <c r="D30" s="142"/>
      <c r="E30" s="142">
        <v>16418</v>
      </c>
      <c r="F30" s="142"/>
      <c r="G30" s="100">
        <v>13600.4</v>
      </c>
      <c r="H30" s="100">
        <v>8070</v>
      </c>
      <c r="I30" s="100">
        <v>10676.029399999999</v>
      </c>
      <c r="J30" s="100">
        <v>14068.507</v>
      </c>
      <c r="K30" s="142">
        <v>19860.0124</v>
      </c>
      <c r="L30" s="142"/>
      <c r="M30" s="142"/>
      <c r="N30" s="142"/>
      <c r="O30" s="100">
        <v>10885.0314</v>
      </c>
    </row>
    <row r="31" spans="1:15" ht="11.25" customHeight="1" x14ac:dyDescent="0.2">
      <c r="A31" s="144">
        <v>0.95</v>
      </c>
      <c r="B31" s="144"/>
      <c r="C31" s="142">
        <v>11045</v>
      </c>
      <c r="D31" s="142"/>
      <c r="E31" s="142">
        <v>16418</v>
      </c>
      <c r="F31" s="142"/>
      <c r="G31" s="100">
        <v>15455.4</v>
      </c>
      <c r="H31" s="100">
        <v>8070</v>
      </c>
      <c r="I31" s="100">
        <v>11037.529399999999</v>
      </c>
      <c r="J31" s="100">
        <v>14981.840333333332</v>
      </c>
      <c r="K31" s="142">
        <v>21080.0124</v>
      </c>
      <c r="L31" s="142"/>
      <c r="M31" s="142"/>
      <c r="N31" s="142"/>
      <c r="O31" s="100">
        <v>10885.0314</v>
      </c>
    </row>
    <row r="32" spans="1:15" ht="10.5" customHeight="1" x14ac:dyDescent="0.2">
      <c r="A32" s="145">
        <v>0.97499999999999998</v>
      </c>
      <c r="B32" s="145"/>
      <c r="C32" s="142">
        <v>11045</v>
      </c>
      <c r="D32" s="142"/>
      <c r="E32" s="142">
        <v>16418</v>
      </c>
      <c r="F32" s="142"/>
      <c r="G32" s="100">
        <v>15455.4</v>
      </c>
      <c r="H32" s="100">
        <v>8070</v>
      </c>
      <c r="I32" s="100">
        <v>11397.529399999999</v>
      </c>
      <c r="J32" s="100">
        <v>15756.507</v>
      </c>
      <c r="K32" s="142">
        <v>21080.0124</v>
      </c>
      <c r="L32" s="142"/>
      <c r="M32" s="142"/>
      <c r="N32" s="142"/>
      <c r="O32" s="100">
        <v>10885.0314</v>
      </c>
    </row>
    <row r="33" spans="1:15" ht="11.25" customHeight="1" x14ac:dyDescent="0.2">
      <c r="A33" s="144">
        <v>0.99</v>
      </c>
      <c r="B33" s="144"/>
      <c r="C33" s="142">
        <v>11045</v>
      </c>
      <c r="D33" s="142"/>
      <c r="E33" s="142">
        <v>16418</v>
      </c>
      <c r="F33" s="142"/>
      <c r="G33" s="100">
        <v>15455.4</v>
      </c>
      <c r="H33" s="100">
        <v>8070</v>
      </c>
      <c r="I33" s="100">
        <v>12090.029399999999</v>
      </c>
      <c r="J33" s="100">
        <v>17992.506999999998</v>
      </c>
      <c r="K33" s="142">
        <v>21080.0124</v>
      </c>
      <c r="L33" s="142"/>
      <c r="M33" s="142"/>
      <c r="N33" s="142"/>
      <c r="O33" s="100">
        <v>10885.0314</v>
      </c>
    </row>
  </sheetData>
  <mergeCells count="111">
    <mergeCell ref="A33:B33"/>
    <mergeCell ref="C33:D33"/>
    <mergeCell ref="E33:F33"/>
    <mergeCell ref="K33:N33"/>
    <mergeCell ref="A31:B31"/>
    <mergeCell ref="C31:D31"/>
    <mergeCell ref="E31:F31"/>
    <mergeCell ref="K31:N31"/>
    <mergeCell ref="A32:B32"/>
    <mergeCell ref="C32:D32"/>
    <mergeCell ref="E32:F32"/>
    <mergeCell ref="K32:N32"/>
    <mergeCell ref="A29:B29"/>
    <mergeCell ref="C29:D29"/>
    <mergeCell ref="E29:F29"/>
    <mergeCell ref="K29:N29"/>
    <mergeCell ref="A30:B30"/>
    <mergeCell ref="C30:D30"/>
    <mergeCell ref="E30:F30"/>
    <mergeCell ref="K30:N30"/>
    <mergeCell ref="A27:B27"/>
    <mergeCell ref="C27:D27"/>
    <mergeCell ref="E27:F27"/>
    <mergeCell ref="K27:N27"/>
    <mergeCell ref="A28:B28"/>
    <mergeCell ref="C28:D28"/>
    <mergeCell ref="E28:F28"/>
    <mergeCell ref="K28:N28"/>
    <mergeCell ref="A25:B25"/>
    <mergeCell ref="C25:D25"/>
    <mergeCell ref="E25:F25"/>
    <mergeCell ref="K25:N25"/>
    <mergeCell ref="A26:B26"/>
    <mergeCell ref="C26:D26"/>
    <mergeCell ref="E26:F26"/>
    <mergeCell ref="K26:N26"/>
    <mergeCell ref="A23:B23"/>
    <mergeCell ref="C23:D23"/>
    <mergeCell ref="E23:F23"/>
    <mergeCell ref="K23:N23"/>
    <mergeCell ref="A24:B24"/>
    <mergeCell ref="C24:D24"/>
    <mergeCell ref="E24:F24"/>
    <mergeCell ref="K24:N24"/>
    <mergeCell ref="A21:B21"/>
    <mergeCell ref="C21:D21"/>
    <mergeCell ref="E21:F21"/>
    <mergeCell ref="K21:N21"/>
    <mergeCell ref="A22:B22"/>
    <mergeCell ref="C22:D22"/>
    <mergeCell ref="E22:F22"/>
    <mergeCell ref="K22:N22"/>
    <mergeCell ref="A19:B19"/>
    <mergeCell ref="C19:D19"/>
    <mergeCell ref="E19:F19"/>
    <mergeCell ref="K19:N19"/>
    <mergeCell ref="A20:B20"/>
    <mergeCell ref="C20:D20"/>
    <mergeCell ref="E20:F20"/>
    <mergeCell ref="K20:N20"/>
    <mergeCell ref="A17:B17"/>
    <mergeCell ref="C17:D17"/>
    <mergeCell ref="E17:F17"/>
    <mergeCell ref="K17:N17"/>
    <mergeCell ref="A18:B18"/>
    <mergeCell ref="C18:D18"/>
    <mergeCell ref="E18:F18"/>
    <mergeCell ref="K18:N18"/>
    <mergeCell ref="A15:B15"/>
    <mergeCell ref="C15:D15"/>
    <mergeCell ref="E15:F15"/>
    <mergeCell ref="K15:N15"/>
    <mergeCell ref="A16:B16"/>
    <mergeCell ref="C16:D16"/>
    <mergeCell ref="E16:F16"/>
    <mergeCell ref="K16:N16"/>
    <mergeCell ref="A13:B13"/>
    <mergeCell ref="C13:D13"/>
    <mergeCell ref="E13:F13"/>
    <mergeCell ref="K13:N13"/>
    <mergeCell ref="A14:B14"/>
    <mergeCell ref="C14:D14"/>
    <mergeCell ref="E14:F14"/>
    <mergeCell ref="K14:N14"/>
    <mergeCell ref="A11:B11"/>
    <mergeCell ref="C11:D11"/>
    <mergeCell ref="E11:F11"/>
    <mergeCell ref="K11:N11"/>
    <mergeCell ref="A12:B12"/>
    <mergeCell ref="C12:D12"/>
    <mergeCell ref="E12:F12"/>
    <mergeCell ref="K12:N12"/>
    <mergeCell ref="A10:B10"/>
    <mergeCell ref="C10:D10"/>
    <mergeCell ref="E10:F10"/>
    <mergeCell ref="K10:N10"/>
    <mergeCell ref="D4:E4"/>
    <mergeCell ref="F4:K4"/>
    <mergeCell ref="L4:M4"/>
    <mergeCell ref="D5:E5"/>
    <mergeCell ref="F5:K5"/>
    <mergeCell ref="L5:M5"/>
    <mergeCell ref="D1:M1"/>
    <mergeCell ref="D2:E2"/>
    <mergeCell ref="F2:K2"/>
    <mergeCell ref="L2:M2"/>
    <mergeCell ref="D3:E3"/>
    <mergeCell ref="F3:K3"/>
    <mergeCell ref="L3:M3"/>
    <mergeCell ref="A7:L7"/>
    <mergeCell ref="A9:O9"/>
  </mergeCells>
  <conditionalFormatting sqref="C12:O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O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O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75" header="0.3" footer="0.3"/>
  <pageSetup paperSize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CD1C-93BD-43CF-8838-2803BD48ACF3}">
  <dimension ref="A1:N2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.1640625" bestFit="1" customWidth="1"/>
    <col min="2" max="2" width="11" bestFit="1" customWidth="1"/>
    <col min="3" max="5" width="9.1640625" bestFit="1" customWidth="1"/>
    <col min="6" max="6" width="11.33203125" customWidth="1"/>
    <col min="7" max="10" width="9.1640625" bestFit="1" customWidth="1"/>
    <col min="12" max="12" width="14" bestFit="1" customWidth="1"/>
    <col min="13" max="14" width="12.1640625" bestFit="1" customWidth="1"/>
  </cols>
  <sheetData>
    <row r="1" spans="1:14" x14ac:dyDescent="0.2">
      <c r="A1" t="s">
        <v>141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L1" t="s">
        <v>142</v>
      </c>
      <c r="M1" t="s">
        <v>143</v>
      </c>
      <c r="N1" t="s">
        <v>144</v>
      </c>
    </row>
    <row r="2" spans="1:14" x14ac:dyDescent="0.2">
      <c r="A2" t="s">
        <v>148</v>
      </c>
      <c r="B2" s="1" t="e">
        <f>#REF!</f>
        <v>#REF!</v>
      </c>
      <c r="C2" s="1" t="e">
        <f>#REF!</f>
        <v>#REF!</v>
      </c>
      <c r="D2" s="1" t="e">
        <f>#REF!</f>
        <v>#REF!</v>
      </c>
      <c r="E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L2" t="s">
        <v>145</v>
      </c>
      <c r="M2">
        <v>210</v>
      </c>
      <c r="N2">
        <v>245</v>
      </c>
    </row>
    <row r="3" spans="1:14" x14ac:dyDescent="0.2">
      <c r="A3" t="s">
        <v>140</v>
      </c>
      <c r="B3" s="95">
        <v>6400</v>
      </c>
      <c r="C3" s="95">
        <v>11000</v>
      </c>
      <c r="D3" s="95">
        <v>3000</v>
      </c>
      <c r="E3" s="95">
        <v>1000</v>
      </c>
      <c r="F3" s="96"/>
      <c r="G3" s="95">
        <v>3000</v>
      </c>
      <c r="H3" s="95">
        <v>5000</v>
      </c>
      <c r="I3" s="95">
        <v>5000</v>
      </c>
      <c r="J3" s="95">
        <v>10000</v>
      </c>
      <c r="L3" t="s">
        <v>146</v>
      </c>
      <c r="M3">
        <v>59.25</v>
      </c>
      <c r="N3">
        <v>93.5</v>
      </c>
    </row>
    <row r="4" spans="1:14" x14ac:dyDescent="0.2">
      <c r="A4" t="s">
        <v>149</v>
      </c>
      <c r="B4" s="95">
        <v>12000</v>
      </c>
      <c r="C4" s="95">
        <v>21000</v>
      </c>
      <c r="D4" s="95">
        <v>18000</v>
      </c>
      <c r="E4" s="95">
        <v>3000</v>
      </c>
      <c r="F4" s="96"/>
      <c r="G4" s="95">
        <v>10000</v>
      </c>
      <c r="H4" s="95">
        <v>10000</v>
      </c>
      <c r="I4" s="95">
        <v>10000</v>
      </c>
      <c r="J4" s="95">
        <v>20000</v>
      </c>
      <c r="L4" t="s">
        <v>147</v>
      </c>
      <c r="M4">
        <v>2</v>
      </c>
      <c r="N4">
        <v>3</v>
      </c>
    </row>
    <row r="5" spans="1:14" x14ac:dyDescent="0.2">
      <c r="A5" t="s">
        <v>153</v>
      </c>
      <c r="B5" s="86">
        <f>$N$7-B3</f>
        <v>3680</v>
      </c>
      <c r="C5" s="86">
        <f>$N$7-C3</f>
        <v>-920</v>
      </c>
      <c r="D5" s="86">
        <f>$N$7-D3</f>
        <v>7080</v>
      </c>
      <c r="E5" s="86">
        <f>$N$7-E3</f>
        <v>9080</v>
      </c>
      <c r="G5" s="86">
        <f>$N$7-G3</f>
        <v>7080</v>
      </c>
      <c r="H5" s="86">
        <f>$N$7-H3</f>
        <v>5080</v>
      </c>
      <c r="I5" s="86">
        <f>$N$7-I3</f>
        <v>5080</v>
      </c>
      <c r="J5" s="86">
        <f>$N$7-J3</f>
        <v>80</v>
      </c>
      <c r="L5" t="s">
        <v>151</v>
      </c>
      <c r="M5">
        <v>3</v>
      </c>
      <c r="N5">
        <v>12</v>
      </c>
    </row>
    <row r="6" spans="1:14" x14ac:dyDescent="0.2">
      <c r="A6" t="s">
        <v>159</v>
      </c>
      <c r="B6" s="91">
        <v>0.4</v>
      </c>
      <c r="C6" s="91">
        <v>0.5</v>
      </c>
      <c r="D6" s="91">
        <v>0.5</v>
      </c>
      <c r="E6" s="91">
        <v>0.5</v>
      </c>
      <c r="G6" s="91">
        <v>0.5</v>
      </c>
      <c r="H6" s="91">
        <v>0.5</v>
      </c>
      <c r="I6" s="91">
        <v>0.5</v>
      </c>
      <c r="J6" s="91">
        <v>0.5</v>
      </c>
      <c r="L6" t="s">
        <v>150</v>
      </c>
      <c r="M6" s="84">
        <f>M4*M2*M5</f>
        <v>1260</v>
      </c>
      <c r="N6" s="84">
        <f>N4*N2*N5</f>
        <v>8820</v>
      </c>
    </row>
    <row r="7" spans="1:14" x14ac:dyDescent="0.2">
      <c r="A7" t="s">
        <v>154</v>
      </c>
      <c r="B7" s="87">
        <f>(1-B6)*B5</f>
        <v>2208</v>
      </c>
      <c r="C7" s="87">
        <f>(1-C6)*C5</f>
        <v>-460</v>
      </c>
      <c r="D7" s="87">
        <f>(1-D6)*D5</f>
        <v>3540</v>
      </c>
      <c r="E7" s="87">
        <f>(1-E6)*E5</f>
        <v>4540</v>
      </c>
      <c r="G7" s="87">
        <f>(1-G6)*G5</f>
        <v>3540</v>
      </c>
      <c r="H7" s="87">
        <f>(1-H6)*H5</f>
        <v>2540</v>
      </c>
      <c r="I7" s="87">
        <f>(1-I6)*I5</f>
        <v>2540</v>
      </c>
      <c r="J7" s="87">
        <f>(1-J6)*J5</f>
        <v>40</v>
      </c>
      <c r="M7" s="85" t="s">
        <v>152</v>
      </c>
      <c r="N7" s="86">
        <f>SUM(M6:N6)</f>
        <v>10080</v>
      </c>
    </row>
    <row r="8" spans="1:14" x14ac:dyDescent="0.2">
      <c r="A8" t="s">
        <v>155</v>
      </c>
      <c r="B8" s="87">
        <f>B6*B5</f>
        <v>1472</v>
      </c>
      <c r="C8" s="87">
        <f>C6*C5</f>
        <v>-460</v>
      </c>
      <c r="D8" s="87">
        <f>D6*D5</f>
        <v>3540</v>
      </c>
      <c r="E8" s="87">
        <f>E6*E5</f>
        <v>4540</v>
      </c>
      <c r="G8" s="87">
        <f>G6*G5</f>
        <v>3540</v>
      </c>
      <c r="H8" s="87">
        <f>H6*H5</f>
        <v>2540</v>
      </c>
      <c r="I8" s="87">
        <f>I6*I5</f>
        <v>2540</v>
      </c>
      <c r="J8" s="87">
        <f>J6*J5</f>
        <v>40</v>
      </c>
    </row>
    <row r="9" spans="1:14" x14ac:dyDescent="0.2">
      <c r="A9" t="s">
        <v>156</v>
      </c>
      <c r="B9" s="87">
        <f>SUM(B7:B8)-B5</f>
        <v>0</v>
      </c>
      <c r="C9" s="87">
        <f>SUM(C7:C8)-C5</f>
        <v>0</v>
      </c>
      <c r="D9" s="87">
        <f>SUM(D7:D8)-D5</f>
        <v>0</v>
      </c>
      <c r="E9" s="87">
        <f>SUM(E7:E8)-E5</f>
        <v>0</v>
      </c>
      <c r="G9" s="87">
        <f>SUM(G7:G8)-G5</f>
        <v>0</v>
      </c>
      <c r="H9" s="87">
        <f>SUM(H7:H8)-H5</f>
        <v>0</v>
      </c>
      <c r="I9" s="87">
        <f>SUM(I7:I8)-I5</f>
        <v>0</v>
      </c>
      <c r="J9" s="87">
        <f>SUM(J7:J8)-J5</f>
        <v>0</v>
      </c>
    </row>
    <row r="10" spans="1:14" x14ac:dyDescent="0.2">
      <c r="A10" t="s">
        <v>157</v>
      </c>
      <c r="B10" t="b">
        <f>(B7+B3)&gt;B4</f>
        <v>0</v>
      </c>
      <c r="C10" t="b">
        <f>(C7+C3)&gt;C4</f>
        <v>0</v>
      </c>
      <c r="D10" t="b">
        <f>(D7+D3)&gt;D4</f>
        <v>0</v>
      </c>
      <c r="E10" t="b">
        <f>(E7+E3)&gt;E4</f>
        <v>1</v>
      </c>
      <c r="G10" t="b">
        <f>(G7+G3)&gt;G4</f>
        <v>0</v>
      </c>
      <c r="H10" t="b">
        <f>(H7+H3)&gt;H4</f>
        <v>0</v>
      </c>
      <c r="I10" t="b">
        <f>(I7+I3)&gt;I4</f>
        <v>0</v>
      </c>
      <c r="J10" t="b">
        <f>(J7+J3)&gt;J4</f>
        <v>0</v>
      </c>
    </row>
    <row r="11" spans="1:14" x14ac:dyDescent="0.2">
      <c r="A11" t="s">
        <v>32</v>
      </c>
      <c r="B11" s="1">
        <f>IF(B10,B4,B3+B7)</f>
        <v>8608</v>
      </c>
      <c r="C11" s="1">
        <f>IF(C10,C4,C3+C7)</f>
        <v>10540</v>
      </c>
      <c r="D11" s="1">
        <f>IF(D10,D4,D3+D7)</f>
        <v>6540</v>
      </c>
      <c r="E11" s="1">
        <f>IF(E10,E4,E3+E7)</f>
        <v>3000</v>
      </c>
      <c r="G11" s="1">
        <f>IF(G10,G4,G3+G7)</f>
        <v>6540</v>
      </c>
      <c r="H11" s="1">
        <f>IF(H10,H4,H3+H7)</f>
        <v>7540</v>
      </c>
      <c r="I11" s="1">
        <f>IF(I10,I4,I3+I7)</f>
        <v>7540</v>
      </c>
      <c r="J11" s="1">
        <f>IF(J10,J4,J3+J7)</f>
        <v>10040</v>
      </c>
    </row>
    <row r="12" spans="1:14" x14ac:dyDescent="0.2">
      <c r="A12" t="s">
        <v>187</v>
      </c>
      <c r="B12" s="1" t="e">
        <f>#REF!</f>
        <v>#REF!</v>
      </c>
      <c r="C12" s="1" t="e">
        <f>#REF!</f>
        <v>#REF!</v>
      </c>
      <c r="D12" s="1" t="e">
        <f>#REF!</f>
        <v>#REF!</v>
      </c>
      <c r="E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 t="e">
        <f>#REF!</f>
        <v>#REF!</v>
      </c>
    </row>
    <row r="13" spans="1:14" x14ac:dyDescent="0.2">
      <c r="A13" t="s">
        <v>158</v>
      </c>
      <c r="B13" s="1" t="e">
        <f>SUM(B11,B2)-B12</f>
        <v>#REF!</v>
      </c>
      <c r="C13" s="1" t="e">
        <f>SUM(C11,C2)-C12</f>
        <v>#REF!</v>
      </c>
      <c r="D13" s="1" t="e">
        <f>SUM(D11,D2)-D12</f>
        <v>#REF!</v>
      </c>
      <c r="E13" s="1" t="e">
        <f>SUM(E11,E2)-E12</f>
        <v>#REF!</v>
      </c>
      <c r="G13" s="1" t="e">
        <f>SUM(G11,G2)-G12</f>
        <v>#REF!</v>
      </c>
      <c r="H13" s="1" t="e">
        <f>SUM(H11,H2)-H12</f>
        <v>#REF!</v>
      </c>
      <c r="I13" s="1" t="e">
        <f>SUM(I11,I2)-I12</f>
        <v>#REF!</v>
      </c>
      <c r="J13" s="1" t="e">
        <f>SUM(J11,J2)-J12</f>
        <v>#REF!</v>
      </c>
    </row>
    <row r="14" spans="1:14" x14ac:dyDescent="0.2">
      <c r="G14" s="83"/>
      <c r="H14" s="83"/>
      <c r="I14" s="83"/>
    </row>
    <row r="15" spans="1:14" x14ac:dyDescent="0.2">
      <c r="G15" s="83"/>
      <c r="H15" s="83"/>
      <c r="I15" s="83"/>
    </row>
    <row r="16" spans="1:14" x14ac:dyDescent="0.2">
      <c r="G16" s="83"/>
      <c r="H16" s="83"/>
      <c r="I16" s="83"/>
    </row>
    <row r="18" spans="7:9" x14ac:dyDescent="0.2">
      <c r="G18" s="83"/>
      <c r="H18" s="83"/>
      <c r="I18" s="83"/>
    </row>
    <row r="19" spans="7:9" x14ac:dyDescent="0.2">
      <c r="G19" s="83"/>
      <c r="H19" s="83"/>
      <c r="I19" s="83"/>
    </row>
    <row r="20" spans="7:9" x14ac:dyDescent="0.2">
      <c r="G20" s="83"/>
      <c r="H20" s="83"/>
      <c r="I20" s="83"/>
    </row>
  </sheetData>
  <conditionalFormatting sqref="B13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BF3E-917C-41C8-B41D-6BEB00066342}">
  <dimension ref="A1:AE38"/>
  <sheetViews>
    <sheetView topLeftCell="A16" zoomScale="115" zoomScaleNormal="115" workbookViewId="0">
      <pane xSplit="1" topLeftCell="G1" activePane="topRight" state="frozen"/>
      <selection pane="topRight" activeCell="D14" sqref="D14"/>
    </sheetView>
  </sheetViews>
  <sheetFormatPr baseColWidth="10" defaultColWidth="8.83203125" defaultRowHeight="15" x14ac:dyDescent="0.2"/>
  <cols>
    <col min="1" max="1" width="20.33203125" bestFit="1" customWidth="1"/>
    <col min="2" max="2" width="11" customWidth="1"/>
    <col min="3" max="3" width="11.33203125" bestFit="1" customWidth="1"/>
    <col min="4" max="4" width="11" customWidth="1"/>
    <col min="5" max="5" width="6.6640625" customWidth="1"/>
    <col min="6" max="6" width="30" customWidth="1"/>
    <col min="7" max="7" width="7.83203125" bestFit="1" customWidth="1"/>
    <col min="8" max="8" width="9.83203125" customWidth="1"/>
    <col min="9" max="9" width="2.1640625" bestFit="1" customWidth="1"/>
    <col min="10" max="10" width="10.33203125" customWidth="1"/>
    <col min="11" max="11" width="2.1640625" bestFit="1" customWidth="1"/>
    <col min="12" max="12" width="9.33203125" style="36" customWidth="1"/>
    <col min="13" max="13" width="2.1640625" bestFit="1" customWidth="1"/>
    <col min="14" max="14" width="9.6640625" customWidth="1"/>
    <col min="16" max="16" width="2.1640625" bestFit="1" customWidth="1"/>
    <col min="17" max="17" width="10.33203125" bestFit="1" customWidth="1"/>
    <col min="18" max="18" width="2.1640625" bestFit="1" customWidth="1"/>
    <col min="19" max="19" width="12.1640625" customWidth="1"/>
    <col min="20" max="20" width="2.1640625" bestFit="1" customWidth="1"/>
    <col min="21" max="21" width="12.1640625" customWidth="1"/>
    <col min="22" max="22" width="2.1640625" bestFit="1" customWidth="1"/>
    <col min="23" max="23" width="12.1640625" customWidth="1"/>
    <col min="30" max="30" width="32.83203125" bestFit="1" customWidth="1"/>
    <col min="31" max="31" width="32.83203125" customWidth="1"/>
  </cols>
  <sheetData>
    <row r="1" spans="1:31" x14ac:dyDescent="0.2">
      <c r="A1" s="122" t="s">
        <v>16</v>
      </c>
      <c r="B1" s="123"/>
      <c r="C1" s="123"/>
      <c r="D1" s="124"/>
      <c r="E1" s="16" t="s">
        <v>42</v>
      </c>
      <c r="F1" s="17"/>
      <c r="G1" s="125" t="s">
        <v>17</v>
      </c>
      <c r="H1" s="125"/>
      <c r="I1" s="125"/>
      <c r="J1" s="125"/>
      <c r="K1" s="125"/>
      <c r="L1" s="125"/>
      <c r="M1" s="125"/>
      <c r="N1" s="125"/>
      <c r="O1" s="12"/>
      <c r="P1" s="125" t="s">
        <v>134</v>
      </c>
      <c r="Q1" s="125"/>
      <c r="R1" s="125"/>
      <c r="S1" s="125"/>
      <c r="T1" s="125"/>
      <c r="U1" s="125"/>
      <c r="V1" s="125"/>
      <c r="W1" s="125"/>
      <c r="AE1" t="s">
        <v>93</v>
      </c>
    </row>
    <row r="2" spans="1:31" x14ac:dyDescent="0.2">
      <c r="A2" s="18" t="s">
        <v>0</v>
      </c>
      <c r="B2" s="19" t="s">
        <v>1</v>
      </c>
      <c r="C2" s="19" t="s">
        <v>2</v>
      </c>
      <c r="D2" s="20" t="s">
        <v>3</v>
      </c>
      <c r="E2" s="10">
        <v>0.35</v>
      </c>
      <c r="F2" s="13"/>
      <c r="G2" s="119" t="s">
        <v>50</v>
      </c>
      <c r="H2" s="119"/>
      <c r="I2" s="127" t="s">
        <v>192</v>
      </c>
      <c r="J2" s="127"/>
      <c r="K2" s="127" t="s">
        <v>190</v>
      </c>
      <c r="L2" s="127"/>
      <c r="M2" s="127" t="s">
        <v>44</v>
      </c>
      <c r="N2" s="127"/>
      <c r="O2" s="23"/>
      <c r="P2" s="119" t="s">
        <v>137</v>
      </c>
      <c r="Q2" s="119"/>
      <c r="R2" s="119" t="s">
        <v>138</v>
      </c>
      <c r="S2" s="119"/>
      <c r="T2" s="119" t="s">
        <v>139</v>
      </c>
      <c r="U2" s="119"/>
      <c r="V2" s="119" t="s">
        <v>135</v>
      </c>
      <c r="W2" s="119"/>
      <c r="Z2" t="s">
        <v>45</v>
      </c>
      <c r="AA2" t="s">
        <v>46</v>
      </c>
      <c r="AB2" t="s">
        <v>48</v>
      </c>
      <c r="AC2" t="s">
        <v>82</v>
      </c>
      <c r="AD2" t="s">
        <v>83</v>
      </c>
    </row>
    <row r="3" spans="1:31" x14ac:dyDescent="0.2">
      <c r="A3" s="9" t="s">
        <v>4</v>
      </c>
      <c r="B3" s="49">
        <v>200</v>
      </c>
      <c r="C3" s="43">
        <v>12</v>
      </c>
      <c r="D3" s="44" t="e">
        <f ca="1">_xll.RiskPoisson(C3)</f>
        <v>#NAME?</v>
      </c>
      <c r="F3" s="13"/>
      <c r="G3" s="34">
        <v>1</v>
      </c>
      <c r="H3" s="35">
        <v>0.2</v>
      </c>
      <c r="I3" s="34">
        <v>0</v>
      </c>
      <c r="J3" s="31">
        <v>30</v>
      </c>
      <c r="K3" s="34">
        <v>0</v>
      </c>
      <c r="L3" s="31">
        <v>25</v>
      </c>
      <c r="M3" s="34">
        <v>0</v>
      </c>
      <c r="N3" s="80">
        <v>25</v>
      </c>
      <c r="O3" s="24"/>
      <c r="P3" s="34">
        <v>0</v>
      </c>
      <c r="Q3" s="31">
        <v>20</v>
      </c>
      <c r="R3" s="34">
        <v>0</v>
      </c>
      <c r="S3" s="31">
        <v>40</v>
      </c>
      <c r="T3" s="34">
        <v>0</v>
      </c>
      <c r="U3" s="31">
        <v>40</v>
      </c>
      <c r="V3" s="34">
        <v>1</v>
      </c>
      <c r="W3" s="35">
        <v>0</v>
      </c>
      <c r="Y3" s="22" t="str">
        <f>G2</f>
        <v>OAP HDHPQ</v>
      </c>
      <c r="Z3" s="10">
        <v>1</v>
      </c>
      <c r="AA3" t="s">
        <v>86</v>
      </c>
      <c r="AB3" t="s">
        <v>49</v>
      </c>
      <c r="AC3" s="1">
        <v>5120</v>
      </c>
      <c r="AD3" t="s">
        <v>89</v>
      </c>
      <c r="AE3" t="s">
        <v>105</v>
      </c>
    </row>
    <row r="4" spans="1:31" x14ac:dyDescent="0.2">
      <c r="A4" s="9" t="s">
        <v>5</v>
      </c>
      <c r="B4" s="49">
        <v>400</v>
      </c>
      <c r="C4" s="43">
        <v>8</v>
      </c>
      <c r="D4" s="44" t="e">
        <f ca="1">_xll.RiskPoisson(C4)</f>
        <v>#NAME?</v>
      </c>
      <c r="F4" s="13"/>
      <c r="G4" s="34">
        <v>1</v>
      </c>
      <c r="H4" s="35">
        <v>0.2</v>
      </c>
      <c r="I4" s="34">
        <v>0</v>
      </c>
      <c r="J4" s="31">
        <v>60</v>
      </c>
      <c r="K4" s="34">
        <v>0</v>
      </c>
      <c r="L4" s="31">
        <v>50</v>
      </c>
      <c r="M4" s="34">
        <v>0</v>
      </c>
      <c r="N4" s="80">
        <v>50</v>
      </c>
      <c r="O4" s="24"/>
      <c r="P4" s="34">
        <v>0</v>
      </c>
      <c r="Q4" s="31">
        <v>30</v>
      </c>
      <c r="R4" s="34">
        <v>0</v>
      </c>
      <c r="S4" s="31">
        <v>60</v>
      </c>
      <c r="T4" s="34">
        <v>0</v>
      </c>
      <c r="U4" s="31">
        <v>60</v>
      </c>
      <c r="V4" s="34">
        <v>1</v>
      </c>
      <c r="W4" s="35">
        <v>0</v>
      </c>
      <c r="Y4" s="1" t="str">
        <f>I2</f>
        <v>OAP Low 5500</v>
      </c>
      <c r="Z4" s="10">
        <v>1</v>
      </c>
      <c r="AA4" t="s">
        <v>53</v>
      </c>
      <c r="AB4" t="s">
        <v>49</v>
      </c>
      <c r="AE4" t="s">
        <v>106</v>
      </c>
    </row>
    <row r="5" spans="1:31" x14ac:dyDescent="0.2">
      <c r="A5" s="9" t="s">
        <v>15</v>
      </c>
      <c r="B5" s="42">
        <v>235</v>
      </c>
      <c r="C5" s="46"/>
      <c r="D5" s="104">
        <v>39</v>
      </c>
      <c r="F5" s="13"/>
      <c r="G5" s="34">
        <v>1</v>
      </c>
      <c r="H5" s="35">
        <v>0.4</v>
      </c>
      <c r="I5" s="34">
        <v>1</v>
      </c>
      <c r="J5" s="35">
        <v>0.5</v>
      </c>
      <c r="K5" s="34">
        <v>1</v>
      </c>
      <c r="L5" s="35">
        <v>0.5</v>
      </c>
      <c r="M5" s="34">
        <v>1</v>
      </c>
      <c r="N5" s="35">
        <v>0.5</v>
      </c>
      <c r="O5" s="24"/>
      <c r="P5" s="34">
        <v>1</v>
      </c>
      <c r="Q5" s="35">
        <v>0.5</v>
      </c>
      <c r="R5" s="34">
        <v>1</v>
      </c>
      <c r="S5" s="35">
        <v>0.5</v>
      </c>
      <c r="T5" s="34">
        <v>1</v>
      </c>
      <c r="U5" s="35">
        <v>0.5</v>
      </c>
      <c r="V5" s="34">
        <v>1</v>
      </c>
      <c r="W5" s="35">
        <v>0.5</v>
      </c>
      <c r="Y5" s="1" t="str">
        <f>K2</f>
        <v>OAP MID (2000)</v>
      </c>
      <c r="Z5" s="10">
        <v>1</v>
      </c>
      <c r="AA5" t="s">
        <v>47</v>
      </c>
      <c r="AB5" t="s">
        <v>49</v>
      </c>
      <c r="AE5" t="s">
        <v>107</v>
      </c>
    </row>
    <row r="6" spans="1:31" x14ac:dyDescent="0.2">
      <c r="A6" s="9" t="s">
        <v>6</v>
      </c>
      <c r="B6" s="42">
        <v>120</v>
      </c>
      <c r="C6" s="43">
        <v>3</v>
      </c>
      <c r="D6" s="44" t="e">
        <f ca="1">_xll.RiskPoisson(C6)</f>
        <v>#NAME?</v>
      </c>
      <c r="F6" s="13"/>
      <c r="G6" s="34">
        <v>1</v>
      </c>
      <c r="H6" s="35">
        <v>0.2</v>
      </c>
      <c r="I6" s="34">
        <v>0</v>
      </c>
      <c r="J6" s="31">
        <v>60</v>
      </c>
      <c r="K6" s="34">
        <v>0</v>
      </c>
      <c r="L6" s="80">
        <v>50</v>
      </c>
      <c r="M6" s="34">
        <v>0</v>
      </c>
      <c r="N6" s="80">
        <v>50</v>
      </c>
      <c r="O6" s="24"/>
      <c r="P6" s="34">
        <v>0</v>
      </c>
      <c r="Q6" s="31">
        <v>30</v>
      </c>
      <c r="R6" s="34">
        <v>0</v>
      </c>
      <c r="S6" s="31">
        <v>60</v>
      </c>
      <c r="T6" s="34">
        <v>0</v>
      </c>
      <c r="U6" s="31">
        <v>60</v>
      </c>
      <c r="V6" s="34">
        <v>1</v>
      </c>
      <c r="W6" s="35">
        <v>0</v>
      </c>
      <c r="Y6" s="1" t="str">
        <f>M2</f>
        <v>OAP 500</v>
      </c>
      <c r="Z6" s="10">
        <v>1</v>
      </c>
      <c r="AA6" t="s">
        <v>47</v>
      </c>
      <c r="AB6" t="s">
        <v>49</v>
      </c>
      <c r="AE6" t="s">
        <v>108</v>
      </c>
    </row>
    <row r="7" spans="1:31" x14ac:dyDescent="0.2">
      <c r="A7" s="9" t="s">
        <v>7</v>
      </c>
      <c r="B7" s="42">
        <v>20</v>
      </c>
      <c r="C7" s="43">
        <v>6</v>
      </c>
      <c r="D7" s="44" t="e">
        <f ca="1">_xll.RiskPoisson(C7)</f>
        <v>#NAME?</v>
      </c>
      <c r="F7" s="13"/>
      <c r="G7" s="34">
        <v>1</v>
      </c>
      <c r="H7" s="35">
        <v>0.2</v>
      </c>
      <c r="I7" s="34">
        <v>0</v>
      </c>
      <c r="J7" s="80">
        <v>15</v>
      </c>
      <c r="K7" s="34">
        <v>0</v>
      </c>
      <c r="L7" s="80">
        <v>15</v>
      </c>
      <c r="M7" s="34">
        <v>0</v>
      </c>
      <c r="N7" s="80">
        <v>15</v>
      </c>
      <c r="O7" s="24"/>
      <c r="P7" s="34">
        <v>0</v>
      </c>
      <c r="Q7" s="31">
        <v>8</v>
      </c>
      <c r="R7" s="34">
        <v>0</v>
      </c>
      <c r="S7" s="31">
        <v>10</v>
      </c>
      <c r="T7" s="34">
        <v>0</v>
      </c>
      <c r="U7" s="31">
        <v>25</v>
      </c>
      <c r="V7" s="34">
        <v>1</v>
      </c>
      <c r="W7" s="35">
        <v>0</v>
      </c>
      <c r="Y7" s="22" t="s">
        <v>136</v>
      </c>
      <c r="Z7" s="10"/>
      <c r="AB7" t="s">
        <v>49</v>
      </c>
      <c r="AC7" s="1"/>
    </row>
    <row r="8" spans="1:31" x14ac:dyDescent="0.2">
      <c r="A8" s="9" t="s">
        <v>8</v>
      </c>
      <c r="B8" s="42">
        <v>100</v>
      </c>
      <c r="C8" s="43">
        <v>1</v>
      </c>
      <c r="D8" s="44" t="e">
        <f ca="1">_xll.RiskPoisson(C8)</f>
        <v>#NAME?</v>
      </c>
      <c r="F8" s="13"/>
      <c r="G8" s="34">
        <v>1</v>
      </c>
      <c r="H8" s="35">
        <v>0.2</v>
      </c>
      <c r="I8" s="34">
        <v>0</v>
      </c>
      <c r="J8" s="80">
        <v>45</v>
      </c>
      <c r="K8" s="34">
        <v>0</v>
      </c>
      <c r="L8" s="80">
        <v>45</v>
      </c>
      <c r="M8" s="34">
        <v>0</v>
      </c>
      <c r="N8" s="80">
        <v>45</v>
      </c>
      <c r="O8" s="24"/>
      <c r="P8" s="34">
        <v>0</v>
      </c>
      <c r="Q8" s="31">
        <v>30</v>
      </c>
      <c r="R8" s="34">
        <v>0</v>
      </c>
      <c r="S8" s="31">
        <v>50</v>
      </c>
      <c r="T8" s="34">
        <v>0</v>
      </c>
      <c r="U8" s="31">
        <v>60</v>
      </c>
      <c r="V8" s="34">
        <v>1</v>
      </c>
      <c r="W8" s="35">
        <v>0</v>
      </c>
      <c r="Y8" s="1"/>
      <c r="Z8" s="10"/>
      <c r="AC8" s="1"/>
    </row>
    <row r="9" spans="1:31" x14ac:dyDescent="0.2">
      <c r="A9" s="9" t="s">
        <v>9</v>
      </c>
      <c r="B9" s="42">
        <v>250</v>
      </c>
      <c r="C9" s="43">
        <v>0</v>
      </c>
      <c r="D9" s="44" t="e">
        <f ca="1">_xll.RiskPoisson(C9)</f>
        <v>#NAME?</v>
      </c>
      <c r="F9" s="13"/>
      <c r="G9" s="34">
        <v>1</v>
      </c>
      <c r="H9" s="35">
        <v>0.2</v>
      </c>
      <c r="I9" s="34">
        <v>0</v>
      </c>
      <c r="J9" s="80">
        <v>75</v>
      </c>
      <c r="K9" s="34">
        <v>0</v>
      </c>
      <c r="L9" s="80">
        <v>75</v>
      </c>
      <c r="M9" s="34">
        <v>0</v>
      </c>
      <c r="N9" s="80">
        <v>75</v>
      </c>
      <c r="O9" s="24"/>
      <c r="P9" s="34">
        <v>0</v>
      </c>
      <c r="Q9" s="35">
        <v>0.5</v>
      </c>
      <c r="R9" s="34">
        <v>0</v>
      </c>
      <c r="S9" s="35">
        <v>0.5</v>
      </c>
      <c r="T9" s="34">
        <v>0</v>
      </c>
      <c r="U9" s="35">
        <v>0.5</v>
      </c>
      <c r="V9" s="34">
        <v>1</v>
      </c>
      <c r="W9" s="35">
        <v>0</v>
      </c>
      <c r="Y9" s="22"/>
      <c r="Z9" s="10"/>
      <c r="AC9" s="1"/>
    </row>
    <row r="10" spans="1:31" x14ac:dyDescent="0.2">
      <c r="A10" s="9" t="s">
        <v>10</v>
      </c>
      <c r="B10" s="42">
        <v>300</v>
      </c>
      <c r="C10" s="43">
        <v>4</v>
      </c>
      <c r="D10" s="44" t="e">
        <f ca="1">_xll.RiskPoisson(C10)</f>
        <v>#NAME?</v>
      </c>
      <c r="F10" s="13"/>
      <c r="G10" s="34">
        <v>1</v>
      </c>
      <c r="H10" s="35">
        <v>0.2</v>
      </c>
      <c r="I10" s="34">
        <v>0</v>
      </c>
      <c r="J10" s="31">
        <v>60</v>
      </c>
      <c r="K10" s="34">
        <v>0</v>
      </c>
      <c r="L10" s="31">
        <v>50</v>
      </c>
      <c r="M10" s="34">
        <v>0</v>
      </c>
      <c r="N10" s="80">
        <v>50</v>
      </c>
      <c r="O10" s="24"/>
      <c r="P10" s="34">
        <v>0</v>
      </c>
      <c r="Q10" s="31">
        <v>30</v>
      </c>
      <c r="R10" s="34">
        <v>0</v>
      </c>
      <c r="S10" s="31">
        <v>60</v>
      </c>
      <c r="T10" s="34">
        <v>0</v>
      </c>
      <c r="U10" s="31">
        <v>60</v>
      </c>
      <c r="V10" s="34">
        <v>1</v>
      </c>
      <c r="W10" s="35">
        <v>0</v>
      </c>
      <c r="Y10" s="22"/>
      <c r="Z10" s="10"/>
      <c r="AC10" s="1"/>
      <c r="AD10" s="36"/>
      <c r="AE10" s="36"/>
    </row>
    <row r="11" spans="1:31" x14ac:dyDescent="0.2">
      <c r="A11" s="9" t="s">
        <v>11</v>
      </c>
      <c r="B11" s="42">
        <v>3500</v>
      </c>
      <c r="C11" s="43">
        <v>3</v>
      </c>
      <c r="D11" s="44" t="e">
        <f ca="1">_xll.RiskPoisson(C11)</f>
        <v>#NAME?</v>
      </c>
      <c r="F11" s="13"/>
      <c r="G11" s="34">
        <v>1</v>
      </c>
      <c r="H11" s="35">
        <v>0.2</v>
      </c>
      <c r="I11" s="34">
        <v>0</v>
      </c>
      <c r="J11" s="31">
        <v>300</v>
      </c>
      <c r="K11" s="34">
        <v>0</v>
      </c>
      <c r="L11" s="31">
        <v>300</v>
      </c>
      <c r="M11" s="34">
        <v>0</v>
      </c>
      <c r="N11" s="80">
        <v>250</v>
      </c>
      <c r="O11" s="24"/>
      <c r="P11" s="34">
        <v>0</v>
      </c>
      <c r="Q11" s="31">
        <v>250</v>
      </c>
      <c r="R11" s="34">
        <v>0</v>
      </c>
      <c r="S11" s="31">
        <v>300</v>
      </c>
      <c r="T11" s="34">
        <v>0</v>
      </c>
      <c r="U11" s="31">
        <v>400</v>
      </c>
      <c r="V11" s="34">
        <v>1</v>
      </c>
      <c r="W11" s="35">
        <v>0</v>
      </c>
      <c r="Y11" s="1"/>
      <c r="Z11" s="10"/>
      <c r="AC11" s="1"/>
    </row>
    <row r="12" spans="1:31" x14ac:dyDescent="0.2">
      <c r="A12" s="9" t="s">
        <v>12</v>
      </c>
      <c r="B12" s="42">
        <v>200</v>
      </c>
      <c r="C12" s="43">
        <v>2</v>
      </c>
      <c r="D12" s="44" t="e">
        <f ca="1">_xll.RiskPoisson(C12)</f>
        <v>#NAME?</v>
      </c>
      <c r="F12" s="13"/>
      <c r="G12" s="34">
        <v>1</v>
      </c>
      <c r="H12" s="35">
        <v>0.2</v>
      </c>
      <c r="I12" s="34">
        <v>1</v>
      </c>
      <c r="J12" s="35">
        <v>0.3</v>
      </c>
      <c r="K12" s="34">
        <v>1</v>
      </c>
      <c r="L12" s="35">
        <v>0.2</v>
      </c>
      <c r="M12" s="34">
        <v>1</v>
      </c>
      <c r="N12" s="35">
        <v>0.2</v>
      </c>
      <c r="O12" s="24"/>
      <c r="P12" s="34">
        <v>1</v>
      </c>
      <c r="Q12" s="35">
        <v>0.1</v>
      </c>
      <c r="R12" s="34">
        <v>1</v>
      </c>
      <c r="S12" s="35">
        <v>0.2</v>
      </c>
      <c r="T12" s="34">
        <v>1</v>
      </c>
      <c r="U12" s="82">
        <v>0.35</v>
      </c>
      <c r="V12" s="34">
        <v>1</v>
      </c>
      <c r="W12" s="35">
        <v>0</v>
      </c>
    </row>
    <row r="13" spans="1:31" x14ac:dyDescent="0.2">
      <c r="A13" s="9" t="s">
        <v>43</v>
      </c>
      <c r="B13" s="42">
        <v>25000</v>
      </c>
      <c r="C13" s="46"/>
      <c r="D13" s="104">
        <v>0</v>
      </c>
      <c r="F13" s="13"/>
      <c r="G13" s="34">
        <v>1</v>
      </c>
      <c r="H13" s="35">
        <v>0.2</v>
      </c>
      <c r="I13" s="34">
        <v>1</v>
      </c>
      <c r="J13" s="35">
        <v>0.3</v>
      </c>
      <c r="K13" s="34">
        <v>1</v>
      </c>
      <c r="L13" s="35">
        <v>0.2</v>
      </c>
      <c r="M13" s="34">
        <v>1</v>
      </c>
      <c r="N13" s="35">
        <v>0.2</v>
      </c>
      <c r="O13" s="24"/>
      <c r="P13" s="34">
        <v>1</v>
      </c>
      <c r="Q13" s="35">
        <v>0.1</v>
      </c>
      <c r="R13" s="34">
        <v>1</v>
      </c>
      <c r="S13" s="35">
        <v>0.2</v>
      </c>
      <c r="T13" s="34">
        <v>1</v>
      </c>
      <c r="U13" s="35">
        <v>0.35</v>
      </c>
      <c r="V13" s="34">
        <v>1</v>
      </c>
      <c r="W13" s="35">
        <v>0</v>
      </c>
    </row>
    <row r="14" spans="1:31" x14ac:dyDescent="0.2">
      <c r="A14" s="9" t="s">
        <v>13</v>
      </c>
      <c r="B14" s="42">
        <v>50000</v>
      </c>
      <c r="C14" s="47">
        <v>0.01</v>
      </c>
      <c r="D14" s="44" t="e">
        <f ca="1">_xll.RiskBernoulli(C14)</f>
        <v>#NAME?</v>
      </c>
      <c r="F14" s="13"/>
      <c r="G14" s="34">
        <v>1</v>
      </c>
      <c r="H14" s="35">
        <v>0.2</v>
      </c>
      <c r="I14" s="34">
        <v>1</v>
      </c>
      <c r="J14" s="35">
        <v>0.3</v>
      </c>
      <c r="K14" s="34">
        <v>1</v>
      </c>
      <c r="L14" s="35">
        <v>0.2</v>
      </c>
      <c r="M14" s="34">
        <v>1</v>
      </c>
      <c r="N14" s="35">
        <v>0.2</v>
      </c>
      <c r="O14" s="24"/>
      <c r="P14" s="34">
        <v>1</v>
      </c>
      <c r="Q14" s="35">
        <v>0.1</v>
      </c>
      <c r="R14" s="34">
        <v>1</v>
      </c>
      <c r="S14" s="35">
        <v>0.2</v>
      </c>
      <c r="T14" s="34">
        <v>1</v>
      </c>
      <c r="U14" s="35">
        <v>0.35</v>
      </c>
      <c r="V14" s="34">
        <v>1</v>
      </c>
      <c r="W14" s="35">
        <v>0</v>
      </c>
    </row>
    <row r="15" spans="1:31" x14ac:dyDescent="0.2">
      <c r="A15" s="11" t="s">
        <v>14</v>
      </c>
      <c r="B15" s="48">
        <v>15000</v>
      </c>
      <c r="C15" s="21">
        <v>0.1</v>
      </c>
      <c r="D15" s="45" t="e">
        <f ca="1">_xll.RiskOutput("Surgery, Poisson Distro")+_xll.RiskPoisson(C15)</f>
        <v>#NAME?</v>
      </c>
      <c r="F15" s="13"/>
      <c r="G15" s="34">
        <v>1</v>
      </c>
      <c r="H15" s="35">
        <v>0.2</v>
      </c>
      <c r="I15" s="34">
        <v>1</v>
      </c>
      <c r="J15" s="35">
        <v>0.3</v>
      </c>
      <c r="K15" s="34">
        <v>1</v>
      </c>
      <c r="L15" s="35">
        <v>0.2</v>
      </c>
      <c r="M15" s="34">
        <v>1</v>
      </c>
      <c r="N15" s="35">
        <v>0.2</v>
      </c>
      <c r="O15" s="24"/>
      <c r="P15" s="34">
        <v>1</v>
      </c>
      <c r="Q15" s="35">
        <v>0.05</v>
      </c>
      <c r="R15" s="34">
        <v>1</v>
      </c>
      <c r="S15" s="35">
        <v>0.1</v>
      </c>
      <c r="T15" s="34">
        <v>1</v>
      </c>
      <c r="U15" s="35">
        <v>0.25</v>
      </c>
      <c r="V15" s="34">
        <v>1</v>
      </c>
      <c r="W15" s="35">
        <v>0</v>
      </c>
    </row>
    <row r="16" spans="1:31" x14ac:dyDescent="0.2">
      <c r="F16" s="13"/>
      <c r="G16" s="23"/>
      <c r="H16" s="23"/>
      <c r="I16" s="23"/>
      <c r="J16" s="23"/>
      <c r="K16" s="23"/>
      <c r="M16" s="23"/>
      <c r="N16" s="23"/>
      <c r="O16" s="23"/>
      <c r="P16" s="23"/>
      <c r="Q16" s="23"/>
      <c r="R16" s="67"/>
      <c r="S16" s="67"/>
      <c r="T16" s="23"/>
      <c r="U16" s="23"/>
      <c r="V16" s="23"/>
      <c r="W16" s="23"/>
    </row>
    <row r="17" spans="1:25" x14ac:dyDescent="0.2">
      <c r="A17" t="str">
        <f>F17</f>
        <v>Premium (Annual)</v>
      </c>
      <c r="F17" s="13" t="s">
        <v>21</v>
      </c>
      <c r="G17" s="23"/>
      <c r="H17" s="31">
        <f>273*12</f>
        <v>3276</v>
      </c>
      <c r="I17" s="23"/>
      <c r="J17" s="32">
        <f>333*12</f>
        <v>3996</v>
      </c>
      <c r="K17" s="23"/>
      <c r="L17" s="32">
        <f>488*12</f>
        <v>5856</v>
      </c>
      <c r="M17" s="23"/>
      <c r="N17" s="32">
        <f>776*12</f>
        <v>9312</v>
      </c>
      <c r="O17" s="23"/>
      <c r="P17" s="23"/>
      <c r="Q17" s="32">
        <f>(1718.3-602.91)*0.7*12*1.1</f>
        <v>10306.203599999999</v>
      </c>
      <c r="R17" s="67"/>
      <c r="S17" s="32">
        <f>(1452.65-509.7)*0.7*12*1.1</f>
        <v>8712.8580000000002</v>
      </c>
      <c r="T17" s="23"/>
      <c r="U17" s="32">
        <f>(1122.96-394.02)*0.7*12*1.1</f>
        <v>6735.4056</v>
      </c>
      <c r="V17" s="23"/>
      <c r="W17" s="32">
        <f>(1154-404.91)*0.7*12*1.1</f>
        <v>6921.5916000000007</v>
      </c>
    </row>
    <row r="18" spans="1:25" x14ac:dyDescent="0.2">
      <c r="A18" s="13" t="s">
        <v>54</v>
      </c>
      <c r="F18" s="13" t="s">
        <v>54</v>
      </c>
      <c r="G18" s="23"/>
      <c r="H18" s="31">
        <f>(1-$E$2)*H17</f>
        <v>2129.4</v>
      </c>
      <c r="I18" s="23"/>
      <c r="J18" s="31">
        <f>(1-$E$2)*J17</f>
        <v>2597.4</v>
      </c>
      <c r="K18" s="23"/>
      <c r="L18" s="31">
        <f>(1-$E$2)*L17</f>
        <v>3806.4</v>
      </c>
      <c r="M18" s="23"/>
      <c r="N18" s="31">
        <f>(1-$E$2)*N17</f>
        <v>6052.8</v>
      </c>
      <c r="O18" s="23"/>
      <c r="P18" s="23"/>
      <c r="Q18" s="31">
        <f>(1-$E$2)*Q17</f>
        <v>6699.0323399999997</v>
      </c>
      <c r="R18" s="67"/>
      <c r="S18" s="31">
        <f>(1-$E$2)*S17</f>
        <v>5663.3577000000005</v>
      </c>
      <c r="T18" s="23"/>
      <c r="U18" s="31">
        <f>(1-$E$2)*U17</f>
        <v>4378.0136400000001</v>
      </c>
      <c r="V18" s="23"/>
      <c r="W18" s="31">
        <f>(1-$E$2)*W17</f>
        <v>4499.0345400000006</v>
      </c>
      <c r="X18" s="31"/>
      <c r="Y18" s="31"/>
    </row>
    <row r="19" spans="1:25" x14ac:dyDescent="0.2">
      <c r="A19" t="str">
        <f t="shared" ref="A19:A20" si="0">F19</f>
        <v>Deductible Fam</v>
      </c>
      <c r="F19" s="13" t="s">
        <v>188</v>
      </c>
      <c r="G19" s="23"/>
      <c r="H19" s="103">
        <v>6400</v>
      </c>
      <c r="I19" s="23"/>
      <c r="J19" s="32">
        <v>11000</v>
      </c>
      <c r="K19" s="23"/>
      <c r="L19" s="32">
        <v>6000</v>
      </c>
      <c r="M19" s="23"/>
      <c r="N19" s="32">
        <v>1000</v>
      </c>
      <c r="O19" s="93"/>
      <c r="P19" s="93"/>
      <c r="Q19" s="92">
        <v>1000</v>
      </c>
      <c r="R19" s="94"/>
      <c r="S19" s="92">
        <v>2500</v>
      </c>
      <c r="T19" s="93"/>
      <c r="U19" s="92">
        <v>7500</v>
      </c>
      <c r="V19" s="93"/>
      <c r="W19" s="92">
        <v>9700</v>
      </c>
      <c r="X19" s="32"/>
      <c r="Y19" s="32"/>
    </row>
    <row r="20" spans="1:25" x14ac:dyDescent="0.2">
      <c r="A20" t="str">
        <f t="shared" si="0"/>
        <v>Max OOP</v>
      </c>
      <c r="F20" s="13" t="s">
        <v>23</v>
      </c>
      <c r="G20" s="23"/>
      <c r="H20" s="103">
        <v>12000</v>
      </c>
      <c r="I20" s="23"/>
      <c r="J20" s="32">
        <v>14000</v>
      </c>
      <c r="K20" s="23"/>
      <c r="L20" s="32">
        <v>12000</v>
      </c>
      <c r="M20" s="23"/>
      <c r="N20" s="32">
        <v>3000</v>
      </c>
      <c r="O20" s="93"/>
      <c r="P20" s="93"/>
      <c r="Q20" s="92">
        <v>6000</v>
      </c>
      <c r="R20" s="94"/>
      <c r="S20" s="92">
        <v>17100</v>
      </c>
      <c r="T20" s="93"/>
      <c r="U20" s="92">
        <v>17100</v>
      </c>
      <c r="V20" s="93"/>
      <c r="W20" s="92">
        <v>9700</v>
      </c>
      <c r="X20" s="32"/>
      <c r="Y20" s="32"/>
    </row>
    <row r="21" spans="1:25" x14ac:dyDescent="0.2">
      <c r="F21" s="13"/>
      <c r="G21" s="23"/>
      <c r="H21" s="23"/>
      <c r="I21" s="23"/>
      <c r="J21" s="23"/>
      <c r="K21" s="23"/>
      <c r="M21" s="23"/>
      <c r="N21" s="23"/>
      <c r="O21" s="23"/>
      <c r="P21" s="23"/>
      <c r="Q21" s="23"/>
      <c r="R21" s="67"/>
      <c r="S21" s="67"/>
      <c r="T21" s="23"/>
      <c r="U21" s="23"/>
      <c r="V21" s="23"/>
      <c r="W21" s="23"/>
      <c r="X21" s="23"/>
      <c r="Y21" s="23"/>
    </row>
    <row r="22" spans="1:25" x14ac:dyDescent="0.2">
      <c r="A22" s="2" t="s">
        <v>38</v>
      </c>
      <c r="B22" s="3" t="s">
        <v>39</v>
      </c>
      <c r="C22" s="3" t="s">
        <v>40</v>
      </c>
      <c r="D22" s="4" t="s">
        <v>41</v>
      </c>
      <c r="F22" s="13" t="s">
        <v>25</v>
      </c>
      <c r="G22" s="23"/>
      <c r="H22" s="90">
        <v>0</v>
      </c>
      <c r="I22" s="36"/>
      <c r="J22" s="61" t="e">
        <f ca="1">SUMPRODUCT(J3:J4,$D3:$D4)+SUMPRODUCT(J6:J8,$D6:$D8)+SUMPRODUCT(J9:J11,$D$9:$D$11)</f>
        <v>#NAME?</v>
      </c>
      <c r="K22" s="88"/>
      <c r="L22" s="37" t="e">
        <f ca="1">SUMPRODUCT(L3:L4,$D3:$D4)+SUMPRODUCT(L6:L8,$D6:$D8)+SUMPRODUCT(L9:L11,$D$9:$D$11)</f>
        <v>#NAME?</v>
      </c>
      <c r="M22" s="23"/>
      <c r="N22" s="37" t="e">
        <f ca="1">SUMPRODUCT(N3:N4,$D3:$D4)+SUMPRODUCT(N6:N8,$D6:$D8)+SUMPRODUCT(N9:N11,$D$9:$D$11)</f>
        <v>#NAME?</v>
      </c>
      <c r="O22" s="23"/>
      <c r="P22" s="23"/>
      <c r="Q22" s="37" t="e">
        <f ca="1">SUMPRODUCT(Q3:Q4,$D3:$D4)+SUMPRODUCT(Q6:Q8,$D6:$D8)+SUMPRODUCT(Q10:Q11,$D$10:$D$11)+SUMPRODUCT(Q9,$D$9,$B$9)</f>
        <v>#NAME?</v>
      </c>
      <c r="R22" s="67"/>
      <c r="S22" s="61" t="e">
        <f ca="1">SUMPRODUCT(S3:S4,$D3:$D4)+SUMPRODUCT(S6:S8,$D6:$D8)+SUMPRODUCT(S10:S11,$D$10:$D$11)+SUMPRODUCT(S9,$D$9,$B$9)</f>
        <v>#NAME?</v>
      </c>
      <c r="T22" s="23"/>
      <c r="U22" s="61" t="e">
        <f ca="1">SUMPRODUCT(U3:U4,$D3:$D4)+SUMPRODUCT(U6:U8,$D6:$D8)+SUMPRODUCT(U10:U11,$D$10:$D$11)+SUMPRODUCT(U9,$D$9,$B$9)</f>
        <v>#NAME?</v>
      </c>
      <c r="V22" s="23"/>
      <c r="W22" s="37">
        <f>0</f>
        <v>0</v>
      </c>
      <c r="X22" s="37"/>
      <c r="Y22" s="37"/>
    </row>
    <row r="23" spans="1:25" x14ac:dyDescent="0.2">
      <c r="A23" s="5" t="str">
        <f>G2</f>
        <v>OAP HDHPQ</v>
      </c>
      <c r="B23" s="25">
        <f>B5*D5</f>
        <v>9165</v>
      </c>
      <c r="C23" s="25">
        <f>IF(B23&gt;3000,3000+(B23-3000)*H5,B23)</f>
        <v>5466</v>
      </c>
      <c r="D23" s="28">
        <f>C23+H17-MAX(7100-C23,0)*$E$2-H35</f>
        <v>8170.1</v>
      </c>
      <c r="E23" s="6"/>
      <c r="F23" s="13" t="s">
        <v>24</v>
      </c>
      <c r="G23" s="23"/>
      <c r="H23" s="61" t="e">
        <f ca="1">SUMPRODUCT($B3:$B15,$D3:$D15,G3:G15)</f>
        <v>#NAME?</v>
      </c>
      <c r="I23" s="36"/>
      <c r="J23" s="61" t="e">
        <f ca="1">SUMPRODUCT($B3:$B15,$D3:$D15,I3:I15)</f>
        <v>#NAME?</v>
      </c>
      <c r="K23" s="89"/>
      <c r="L23" s="61" t="e">
        <f ca="1">SUMPRODUCT($B3:$B15,$D3:$D15,K3:K15)</f>
        <v>#NAME?</v>
      </c>
      <c r="M23" s="36"/>
      <c r="N23" s="61" t="e">
        <f ca="1">SUMPRODUCT($B3:$B15,$D3:$D15,M3:M15)</f>
        <v>#NAME?</v>
      </c>
      <c r="O23" s="23"/>
      <c r="P23" s="23"/>
      <c r="Q23" s="37" t="e">
        <f ca="1">SUMPRODUCT($B3:$B15,$D3:$D15,P3:P15)</f>
        <v>#NAME?</v>
      </c>
      <c r="R23" s="67"/>
      <c r="S23" s="61" t="e">
        <f ca="1">SUMPRODUCT($B3:$B15,$D3:$D15,R3:R15)</f>
        <v>#NAME?</v>
      </c>
      <c r="T23" s="23"/>
      <c r="U23" s="37" t="e">
        <f ca="1">SUMPRODUCT($B3:$B15,$D3:$D15,T3:T15)</f>
        <v>#NAME?</v>
      </c>
      <c r="V23" s="23"/>
      <c r="W23" s="37" t="e">
        <f ca="1">SUMPRODUCT($B3:$B15,$D3:$D15,V3:V15)</f>
        <v>#NAME?</v>
      </c>
      <c r="X23" s="37"/>
      <c r="Y23" s="37"/>
    </row>
    <row r="24" spans="1:25" x14ac:dyDescent="0.2">
      <c r="A24" s="5" t="str">
        <f>K2</f>
        <v>OAP MID (2000)</v>
      </c>
      <c r="B24" s="25"/>
      <c r="C24" s="25"/>
      <c r="D24" s="28"/>
      <c r="E24" s="6"/>
      <c r="F24" s="13" t="s">
        <v>26</v>
      </c>
      <c r="G24" s="23"/>
      <c r="H24" s="36" t="e">
        <f ca="1">H23&gt;H19</f>
        <v>#NAME?</v>
      </c>
      <c r="I24" s="36"/>
      <c r="J24" s="36" t="e">
        <f ca="1">J23&gt;J19</f>
        <v>#NAME?</v>
      </c>
      <c r="K24" s="36"/>
      <c r="L24" s="36" t="e">
        <f ca="1">L23&gt;L19</f>
        <v>#NAME?</v>
      </c>
      <c r="M24" s="36"/>
      <c r="N24" s="36" t="e">
        <f ca="1">N23&gt;N19</f>
        <v>#NAME?</v>
      </c>
      <c r="O24" s="23"/>
      <c r="P24" s="23"/>
      <c r="Q24" s="36" t="e">
        <f ca="1">Q23&gt;Q19</f>
        <v>#NAME?</v>
      </c>
      <c r="R24" s="67"/>
      <c r="S24" s="36" t="e">
        <f ca="1">S23&gt;S19</f>
        <v>#NAME?</v>
      </c>
      <c r="T24" s="23"/>
      <c r="U24" s="36" t="e">
        <f ca="1">U23&gt;U19</f>
        <v>#NAME?</v>
      </c>
      <c r="V24" s="23"/>
      <c r="W24" s="36" t="e">
        <f ca="1">W23&gt;W19</f>
        <v>#NAME?</v>
      </c>
      <c r="X24" s="36"/>
      <c r="Y24" s="36"/>
    </row>
    <row r="25" spans="1:25" x14ac:dyDescent="0.2">
      <c r="A25" s="7" t="str">
        <f>I2</f>
        <v>OAP Low 5500</v>
      </c>
      <c r="B25" s="25"/>
      <c r="C25" s="25"/>
      <c r="D25" s="28"/>
      <c r="E25" s="6"/>
      <c r="F25" s="13" t="s">
        <v>27</v>
      </c>
      <c r="G25" s="23"/>
      <c r="H25" s="39" t="e">
        <f ca="1">MAX(H23-H19,0)</f>
        <v>#NAME?</v>
      </c>
      <c r="I25" s="36"/>
      <c r="J25" s="39" t="e">
        <f ca="1">MAX(J23-J19,0)</f>
        <v>#NAME?</v>
      </c>
      <c r="K25" s="36"/>
      <c r="L25" s="39" t="e">
        <f ca="1">MAX(L23-L19,0)</f>
        <v>#NAME?</v>
      </c>
      <c r="M25" s="36"/>
      <c r="N25" s="39" t="e">
        <f ca="1">MAX(N23-N19,0)</f>
        <v>#NAME?</v>
      </c>
      <c r="O25" s="23"/>
      <c r="P25" s="23"/>
      <c r="Q25" s="39" t="e">
        <f ca="1">MAX(Q23-Q19,0)</f>
        <v>#NAME?</v>
      </c>
      <c r="R25" s="67"/>
      <c r="S25" s="39" t="e">
        <f ca="1">MAX(S23-S19,0)</f>
        <v>#NAME?</v>
      </c>
      <c r="T25" s="23"/>
      <c r="U25" s="39" t="e">
        <f ca="1">MAX(U23-U19,0)</f>
        <v>#NAME?</v>
      </c>
      <c r="V25" s="23"/>
      <c r="W25" s="39" t="e">
        <f ca="1">MAX(W23-W19,0)</f>
        <v>#NAME?</v>
      </c>
      <c r="X25" s="39"/>
      <c r="Y25" s="39"/>
    </row>
    <row r="26" spans="1:25" x14ac:dyDescent="0.2">
      <c r="A26" s="7" t="str">
        <f>M2</f>
        <v>OAP 500</v>
      </c>
      <c r="B26" s="25">
        <f>N5*D5</f>
        <v>19.5</v>
      </c>
      <c r="C26" s="25">
        <f>B26</f>
        <v>19.5</v>
      </c>
      <c r="D26" s="28">
        <f>C26+N17</f>
        <v>9331.5</v>
      </c>
      <c r="E26" s="6"/>
      <c r="F26" s="13" t="s">
        <v>28</v>
      </c>
      <c r="G26" s="23"/>
      <c r="H26" s="81" t="e">
        <f ca="1">SUMPRODUCT(D3:D15,H3:H15)/SUM(D3:D15)</f>
        <v>#NAME?</v>
      </c>
      <c r="I26" s="36"/>
      <c r="J26" s="81">
        <f ca="1">IFERROR((SUMPRODUCT($D12:$D15,J12:J15)+$D5*J5)/SUM($D12:$D15,$D5),0)</f>
        <v>0</v>
      </c>
      <c r="K26" s="36"/>
      <c r="L26" s="51">
        <f ca="1">IFERROR((SUMPRODUCT($D13:$D15,L13:L15)+$D5*L5)/SUM($D13:$D15,$D5),0)</f>
        <v>0</v>
      </c>
      <c r="M26" s="36"/>
      <c r="N26" s="51">
        <f ca="1">IFERROR((SUMPRODUCT($D12:$D15,N12:N15)+$D5*N5)/SUM($D12:$D15,$D5),0)</f>
        <v>0</v>
      </c>
      <c r="O26" s="23"/>
      <c r="P26" s="23"/>
      <c r="Q26" s="51">
        <f ca="1">IFERROR((SUMPRODUCT($D12:$D15,Q12:Q15)+$D5*Q5)/SUM($D12:$D15,$D5),0)</f>
        <v>0</v>
      </c>
      <c r="R26" s="67"/>
      <c r="S26" s="51">
        <f ca="1">IFERROR((SUMPRODUCT($D12:$D15,S12:S15)+$D5*S5)/SUM($D12:$D15,$D5),0)</f>
        <v>0</v>
      </c>
      <c r="T26" s="23"/>
      <c r="U26" s="51">
        <f ca="1">IFERROR((SUMPRODUCT($D12:$D15,U12:U15)+$D5*U5)/SUM($D12:$D15,$D5),0)</f>
        <v>0</v>
      </c>
      <c r="V26" s="23"/>
      <c r="W26" s="51">
        <f ca="1">IFERROR((SUMPRODUCT($D12:$D15,W12:W15)+$D5*W5)/SUM($D12:$D15,$D5),0)</f>
        <v>0</v>
      </c>
      <c r="X26" s="51"/>
      <c r="Y26" s="51"/>
    </row>
    <row r="27" spans="1:25" x14ac:dyDescent="0.2">
      <c r="A27" s="5" t="str">
        <f>P2</f>
        <v>Platinum</v>
      </c>
      <c r="B27" s="25">
        <f>B5*D5</f>
        <v>9165</v>
      </c>
      <c r="C27" s="25">
        <f>IF(B27&gt;Q19,Q19+(B27-Q19)*Q5,B27)</f>
        <v>5082.5</v>
      </c>
      <c r="D27" s="28">
        <f>C27+Q17-MAX(7100-C27,0)*$E$2</f>
        <v>14682.578599999999</v>
      </c>
      <c r="E27" s="6"/>
      <c r="F27" s="13" t="s">
        <v>29</v>
      </c>
      <c r="G27" s="23"/>
      <c r="H27" s="39" t="e">
        <f ca="1">H26*H25</f>
        <v>#NAME?</v>
      </c>
      <c r="I27" s="36"/>
      <c r="J27" s="39" t="e">
        <f ca="1">J26*J25</f>
        <v>#NAME?</v>
      </c>
      <c r="K27" s="36"/>
      <c r="L27" s="39" t="e">
        <f ca="1">L26*L25</f>
        <v>#NAME?</v>
      </c>
      <c r="M27" s="36"/>
      <c r="N27" s="39" t="e">
        <f ca="1">N26*N25</f>
        <v>#NAME?</v>
      </c>
      <c r="O27" s="23"/>
      <c r="P27" s="23"/>
      <c r="Q27" s="39" t="e">
        <f ca="1">Q26*Q25</f>
        <v>#NAME?</v>
      </c>
      <c r="R27" s="67"/>
      <c r="S27" s="39" t="e">
        <f ca="1">S26*S25</f>
        <v>#NAME?</v>
      </c>
      <c r="T27" s="23"/>
      <c r="U27" s="39" t="e">
        <f ca="1">U26*U25</f>
        <v>#NAME?</v>
      </c>
      <c r="V27" s="23"/>
      <c r="W27" s="39" t="e">
        <f ca="1">W26*W25</f>
        <v>#NAME?</v>
      </c>
      <c r="X27" s="39"/>
      <c r="Y27" s="39"/>
    </row>
    <row r="28" spans="1:25" x14ac:dyDescent="0.2">
      <c r="A28" s="7" t="str">
        <f>V2</f>
        <v xml:space="preserve">HSA </v>
      </c>
      <c r="B28" s="25">
        <f>B5*D5</f>
        <v>9165</v>
      </c>
      <c r="C28" s="25">
        <f>IF(B28&gt;W19,(B28-W19)/B5*W5+W19,B28)</f>
        <v>9165</v>
      </c>
      <c r="D28" s="28">
        <f>C28+W17-MAX(7100-C28,0)*$E$2</f>
        <v>16086.5916</v>
      </c>
      <c r="E28" s="6"/>
      <c r="F28" s="13" t="s">
        <v>30</v>
      </c>
      <c r="G28" s="23"/>
      <c r="H28" s="39" t="e">
        <f ca="1">H25-H27</f>
        <v>#NAME?</v>
      </c>
      <c r="I28" s="36"/>
      <c r="J28" s="39" t="e">
        <f ca="1">J25-J27</f>
        <v>#NAME?</v>
      </c>
      <c r="K28" s="36"/>
      <c r="L28" s="39" t="e">
        <f ca="1">L25-L27</f>
        <v>#NAME?</v>
      </c>
      <c r="M28" s="36"/>
      <c r="N28" s="39" t="e">
        <f ca="1">N25-N27</f>
        <v>#NAME?</v>
      </c>
      <c r="O28" s="23"/>
      <c r="P28" s="23"/>
      <c r="Q28" s="39" t="e">
        <f ca="1">Q25-Q27</f>
        <v>#NAME?</v>
      </c>
      <c r="R28" s="67"/>
      <c r="S28" s="39" t="e">
        <f ca="1">S25-S27</f>
        <v>#NAME?</v>
      </c>
      <c r="T28" s="23"/>
      <c r="U28" s="39" t="e">
        <f ca="1">U25-U27</f>
        <v>#NAME?</v>
      </c>
      <c r="V28" s="23"/>
      <c r="W28" s="39" t="e">
        <f ca="1">W25-W27</f>
        <v>#NAME?</v>
      </c>
      <c r="X28" s="39"/>
      <c r="Y28" s="39"/>
    </row>
    <row r="29" spans="1:25" x14ac:dyDescent="0.2">
      <c r="A29" s="8" t="e">
        <f>#REF!</f>
        <v>#REF!</v>
      </c>
      <c r="B29" s="29">
        <f>B5*D5</f>
        <v>9165</v>
      </c>
      <c r="C29" s="29" t="e">
        <f>IF(B29&gt;#REF!,(B29-#REF!)/B5*#REF!+#REF!,B29)</f>
        <v>#REF!</v>
      </c>
      <c r="D29" s="30" t="e">
        <f>C29+#REF!-MAX(7100-C29,0)*$E$2</f>
        <v>#REF!</v>
      </c>
      <c r="F29" s="14" t="s">
        <v>31</v>
      </c>
      <c r="G29" s="23"/>
      <c r="H29" s="36" t="e">
        <f ca="1">IF(NOT(H24),0,H23-H27-H28-H19)+_xll.RiskOutput("Checksum 1")</f>
        <v>#NAME?</v>
      </c>
      <c r="I29" s="36"/>
      <c r="J29" s="36" t="e">
        <f ca="1">IF(NOT(J24),0,J23-J27-J28-J19)+_xll.RiskOutput("Checksum 2")</f>
        <v>#NAME?</v>
      </c>
      <c r="K29" s="36"/>
      <c r="L29" s="36" t="e">
        <f ca="1">IF(NOT(L24),0,L23-L27-L28-L19)+_xll.RiskOutput("Checksum 3")</f>
        <v>#NAME?</v>
      </c>
      <c r="M29" s="36"/>
      <c r="N29" s="36" t="e">
        <f ca="1">IF(NOT(N24),0,N23-N27-N28-N19)+_xll.RiskOutput("Checksum 3")</f>
        <v>#NAME?</v>
      </c>
      <c r="O29" s="23"/>
      <c r="P29" s="23"/>
      <c r="Q29" s="36" t="e">
        <f ca="1">IF(NOT(Q24),0,Q23-Q27-Q28-Q19)+_xll.RiskOutput("Checksum 3")</f>
        <v>#NAME?</v>
      </c>
      <c r="R29" s="67"/>
      <c r="S29" s="36" t="e">
        <f ca="1">IF(NOT(S24),0,S23-S27-S28-S19)+_xll.RiskOutput("Checksum 3")</f>
        <v>#NAME?</v>
      </c>
      <c r="T29" s="23"/>
      <c r="U29" s="36" t="e">
        <f ca="1">IF(NOT(U24),0,U23-U27-U28-U19)+_xll.RiskOutput("Checksum 3")</f>
        <v>#NAME?</v>
      </c>
      <c r="V29" s="23"/>
      <c r="W29" s="36" t="e">
        <f ca="1">IF(NOT(W24),0,W23-W27-W28-W19)+_xll.RiskOutput("Checksum 3")</f>
        <v>#NAME?</v>
      </c>
      <c r="X29" s="36"/>
      <c r="Y29" s="36"/>
    </row>
    <row r="30" spans="1:25" x14ac:dyDescent="0.2">
      <c r="A30" s="1"/>
      <c r="F30" s="1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67"/>
      <c r="S30" s="23"/>
      <c r="T30" s="23"/>
      <c r="U30" s="23"/>
      <c r="V30" s="23"/>
      <c r="W30" s="23"/>
      <c r="X30" s="23"/>
      <c r="Y30" s="23"/>
    </row>
    <row r="31" spans="1:25" x14ac:dyDescent="0.2">
      <c r="A31" s="2" t="s">
        <v>38</v>
      </c>
      <c r="B31" s="3" t="s">
        <v>39</v>
      </c>
      <c r="C31" s="3" t="s">
        <v>40</v>
      </c>
      <c r="D31" s="4" t="s">
        <v>41</v>
      </c>
      <c r="F31" s="13" t="s">
        <v>32</v>
      </c>
      <c r="G31" s="23"/>
      <c r="H31" s="39" t="e">
        <f ca="1">IF(H24,H19+H27,H23)+H22</f>
        <v>#NAME?</v>
      </c>
      <c r="I31" s="39"/>
      <c r="J31" s="39" t="e">
        <f ca="1">IF(J24,J19+J27,J23)+J22</f>
        <v>#NAME?</v>
      </c>
      <c r="K31" s="36"/>
      <c r="L31" s="39" t="e">
        <f ca="1">IF(L24,L19+L27,L23)+L22</f>
        <v>#NAME?</v>
      </c>
      <c r="M31" s="39"/>
      <c r="N31" s="39" t="e">
        <f ca="1">IF(N24,N19+N27,N23)+N22</f>
        <v>#NAME?</v>
      </c>
      <c r="O31" s="26"/>
      <c r="P31" s="26"/>
      <c r="Q31" s="39" t="e">
        <f ca="1">IF(Q24,Q19+Q27,Q23)+Q22</f>
        <v>#NAME?</v>
      </c>
      <c r="R31" s="71"/>
      <c r="S31" s="39" t="e">
        <f ca="1">IF(S24,S19+S27,S23)+S22</f>
        <v>#NAME?</v>
      </c>
      <c r="T31" s="26"/>
      <c r="U31" s="39" t="e">
        <f ca="1">IF(U24,U19+U27,U23)+U22</f>
        <v>#NAME?</v>
      </c>
      <c r="V31" s="26"/>
      <c r="W31" s="39" t="e">
        <f ca="1">IF(W24,W19+W27,W23)+W22</f>
        <v>#NAME?</v>
      </c>
      <c r="X31" s="39"/>
      <c r="Y31" s="39"/>
    </row>
    <row r="32" spans="1:25" x14ac:dyDescent="0.2">
      <c r="A32" s="5" t="str">
        <f>G2</f>
        <v>OAP HDHPQ</v>
      </c>
      <c r="B32" s="25">
        <f>B13*D13</f>
        <v>0</v>
      </c>
      <c r="C32" s="25">
        <f>IF(B32&gt;3000,3000+(B32-3000)*H13,B32)</f>
        <v>0</v>
      </c>
      <c r="D32" s="28" t="e">
        <f ca="1">C32+H26-MAX(7100-C32,0)*$E$2-H43</f>
        <v>#NAME?</v>
      </c>
      <c r="F32" s="13" t="s">
        <v>33</v>
      </c>
      <c r="G32" s="23"/>
      <c r="H32" s="36" t="e">
        <f ca="1">H31&gt;H20</f>
        <v>#NAME?</v>
      </c>
      <c r="I32" s="36"/>
      <c r="J32" s="36" t="e">
        <f ca="1">J31&gt;J20</f>
        <v>#NAME?</v>
      </c>
      <c r="K32" s="36"/>
      <c r="L32" s="36" t="e">
        <f ca="1">L31&gt;L20</f>
        <v>#NAME?</v>
      </c>
      <c r="M32" s="36"/>
      <c r="N32" s="36" t="e">
        <f ca="1">N31&gt;N20</f>
        <v>#NAME?</v>
      </c>
      <c r="O32" s="23"/>
      <c r="P32" s="23"/>
      <c r="Q32" s="36" t="e">
        <f ca="1">Q31&gt;Q20</f>
        <v>#NAME?</v>
      </c>
      <c r="R32" s="67"/>
      <c r="S32" s="36" t="e">
        <f ca="1">S31&gt;S20</f>
        <v>#NAME?</v>
      </c>
      <c r="T32" s="23"/>
      <c r="U32" s="36" t="e">
        <f ca="1">U31&gt;U20</f>
        <v>#NAME?</v>
      </c>
      <c r="V32" s="23"/>
      <c r="W32" s="36" t="e">
        <f ca="1">W31&gt;W20</f>
        <v>#NAME?</v>
      </c>
      <c r="X32" s="36"/>
      <c r="Y32" s="36"/>
    </row>
    <row r="33" spans="1:25" x14ac:dyDescent="0.2">
      <c r="A33" s="7"/>
      <c r="B33" s="25"/>
      <c r="C33" s="25"/>
      <c r="D33" s="28"/>
      <c r="F33" s="13" t="s">
        <v>34</v>
      </c>
      <c r="G33" s="23"/>
      <c r="H33" s="39" t="e">
        <f ca="1">IF(H32,H20,H31)</f>
        <v>#NAME?</v>
      </c>
      <c r="I33" s="39"/>
      <c r="J33" s="39" t="e">
        <f ca="1">IF(J32,J20,J31)</f>
        <v>#NAME?</v>
      </c>
      <c r="K33" s="36"/>
      <c r="L33" s="39" t="e">
        <f ca="1">IF(L32,L20,L31)</f>
        <v>#NAME?</v>
      </c>
      <c r="M33" s="39"/>
      <c r="N33" s="39" t="e">
        <f ca="1">IF(N32,N20,N31)</f>
        <v>#NAME?</v>
      </c>
      <c r="O33" s="26"/>
      <c r="P33" s="26"/>
      <c r="Q33" s="39" t="e">
        <f ca="1">IF(Q32,Q20,Q31)</f>
        <v>#NAME?</v>
      </c>
      <c r="R33" s="71"/>
      <c r="S33" s="39" t="e">
        <f ca="1">IF(S32,S20,S31)</f>
        <v>#NAME?</v>
      </c>
      <c r="T33" s="26"/>
      <c r="U33" s="39" t="e">
        <f ca="1">IF(U32,U20,U31)</f>
        <v>#NAME?</v>
      </c>
      <c r="V33" s="26"/>
      <c r="W33" s="39" t="e">
        <f ca="1">IF(W32,W20,W31)</f>
        <v>#NAME?</v>
      </c>
      <c r="X33" s="39"/>
      <c r="Y33" s="39"/>
    </row>
    <row r="34" spans="1:25" x14ac:dyDescent="0.2">
      <c r="A34" s="7"/>
      <c r="B34" s="25"/>
      <c r="C34" s="25"/>
      <c r="D34" s="28"/>
      <c r="F34" s="13" t="s">
        <v>35</v>
      </c>
      <c r="G34" s="36" t="s">
        <v>19</v>
      </c>
      <c r="H34" s="37">
        <f>IF(G34="Y",(8300)*$E$2,0)</f>
        <v>2905</v>
      </c>
      <c r="I34" s="61" t="s">
        <v>20</v>
      </c>
      <c r="J34" s="37">
        <f>IF(I34="Y",(8300)*$E$2,0)</f>
        <v>0</v>
      </c>
      <c r="K34" s="61" t="s">
        <v>20</v>
      </c>
      <c r="L34" s="37">
        <f>IF(K34="Y",(8300)*$E$2,0)</f>
        <v>0</v>
      </c>
      <c r="M34" s="61" t="s">
        <v>20</v>
      </c>
      <c r="N34" s="37">
        <f>IF(M34="Y",(8300)*$E$2,0)</f>
        <v>0</v>
      </c>
      <c r="O34" s="25"/>
      <c r="P34" s="37" t="s">
        <v>20</v>
      </c>
      <c r="Q34" s="37">
        <f>IF(P34="Y",(8300-Q35)*$E$2,0)</f>
        <v>0</v>
      </c>
      <c r="R34" s="61" t="s">
        <v>20</v>
      </c>
      <c r="S34" s="37">
        <f>IF(R34="Y",(8300)*$E$2,0)</f>
        <v>0</v>
      </c>
      <c r="T34" s="61" t="s">
        <v>20</v>
      </c>
      <c r="U34" s="37">
        <f>IF(T34="Y",(8300)*$E$2,0)</f>
        <v>0</v>
      </c>
      <c r="V34" s="37" t="s">
        <v>19</v>
      </c>
      <c r="W34" s="37">
        <f>IF(V34="Y",(8300)*$E$2,0)</f>
        <v>2905</v>
      </c>
      <c r="X34" s="37"/>
      <c r="Y34" s="37"/>
    </row>
    <row r="35" spans="1:25" x14ac:dyDescent="0.2">
      <c r="A35" s="5"/>
      <c r="B35" s="25"/>
      <c r="C35" s="25"/>
      <c r="D35" s="28"/>
      <c r="F35" s="13" t="s">
        <v>36</v>
      </c>
      <c r="G35" s="23"/>
      <c r="H35" s="61"/>
      <c r="I35" s="62"/>
      <c r="J35" s="62"/>
      <c r="K35" s="88"/>
      <c r="L35" s="62"/>
      <c r="M35" s="62"/>
      <c r="N35" s="62"/>
      <c r="O35" s="25"/>
      <c r="P35" s="25"/>
      <c r="Q35" s="61">
        <v>0</v>
      </c>
      <c r="R35" s="72"/>
      <c r="S35" s="61">
        <v>0</v>
      </c>
      <c r="T35" s="62"/>
      <c r="U35" s="61">
        <v>0</v>
      </c>
      <c r="V35" s="25"/>
      <c r="W35" s="37">
        <v>0</v>
      </c>
      <c r="X35" s="37"/>
      <c r="Y35" s="37"/>
    </row>
    <row r="36" spans="1:25" x14ac:dyDescent="0.2">
      <c r="A36" s="7"/>
      <c r="B36" s="25"/>
      <c r="C36" s="25"/>
      <c r="D36" s="28"/>
      <c r="F36" s="13" t="s">
        <v>84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39" t="e">
        <f ca="1">Q33+Q18-Q34-Q35</f>
        <v>#NAME?</v>
      </c>
      <c r="R36" s="67"/>
      <c r="S36" s="39" t="e">
        <f ca="1">S33+S18-S34-S35</f>
        <v>#NAME?</v>
      </c>
      <c r="T36" s="23"/>
      <c r="U36" s="39" t="e">
        <f ca="1">U33+U18-U34-U35</f>
        <v>#NAME?</v>
      </c>
      <c r="V36" s="23"/>
      <c r="W36" s="39" t="e">
        <f ca="1">W33+W18-W34-W35</f>
        <v>#NAME?</v>
      </c>
    </row>
    <row r="37" spans="1:25" ht="16" thickBot="1" x14ac:dyDescent="0.25">
      <c r="A37" s="8"/>
      <c r="B37" s="29"/>
      <c r="C37" s="29"/>
      <c r="D37" s="30"/>
      <c r="F37" s="15" t="s">
        <v>37</v>
      </c>
      <c r="G37" s="27"/>
      <c r="H37" s="40" t="e">
        <f ca="1">H33+H18-H34-H35+_xll.RiskOutput(G2)</f>
        <v>#NAME?</v>
      </c>
      <c r="I37" s="52"/>
      <c r="J37" s="40" t="e">
        <f ca="1">J33+J18-J34-J35+_xll.RiskOutput(I2)</f>
        <v>#NAME?</v>
      </c>
      <c r="K37" s="52"/>
      <c r="L37" s="40" t="e">
        <f ca="1">L33+L18-L34-L35+_xll.RiskOutput(K2)</f>
        <v>#NAME?</v>
      </c>
      <c r="M37" s="52"/>
      <c r="N37" s="40" t="e">
        <f ca="1">N33+N18-N34-N35+_xll.RiskOutput(M2)</f>
        <v>#NAME?</v>
      </c>
      <c r="O37" s="27"/>
      <c r="P37" s="27"/>
      <c r="Q37" s="40" t="e">
        <f ca="1">IF(P34="N",MAX(Q18,Q36),Q36)+_xll.RiskOutput(P2)</f>
        <v>#NAME?</v>
      </c>
      <c r="R37" s="73"/>
      <c r="S37" s="40" t="e">
        <f ca="1">IF(R34="N",MAX(S18,S36),S36)+_xll.RiskOutput(R2)</f>
        <v>#NAME?</v>
      </c>
      <c r="T37" s="27"/>
      <c r="U37" s="40" t="e">
        <f ca="1">IF(T34="N",MAX(U18,U36),U36)+_xll.RiskOutput(T2)</f>
        <v>#NAME?</v>
      </c>
      <c r="V37" s="27"/>
      <c r="W37" s="40" t="e">
        <f ca="1">IF(V34="N",MAX(W18,W36),W36)+_xll.RiskOutput(V2)</f>
        <v>#NAME?</v>
      </c>
    </row>
    <row r="38" spans="1:25" x14ac:dyDescent="0.2">
      <c r="H38" s="22" t="str">
        <f>G2</f>
        <v>OAP HDHPQ</v>
      </c>
      <c r="J38" s="22" t="str">
        <f>I2</f>
        <v>OAP Low 5500</v>
      </c>
      <c r="L38" s="22" t="str">
        <f>K2</f>
        <v>OAP MID (2000)</v>
      </c>
      <c r="N38" s="22" t="str">
        <f>M2</f>
        <v>OAP 500</v>
      </c>
      <c r="Q38" s="22" t="str">
        <f>P2</f>
        <v>Platinum</v>
      </c>
      <c r="S38" s="22" t="str">
        <f>R2</f>
        <v>Gold</v>
      </c>
      <c r="U38" s="22" t="str">
        <f>T2</f>
        <v>Silver</v>
      </c>
      <c r="W38" s="22" t="str">
        <f>V2</f>
        <v xml:space="preserve">HSA </v>
      </c>
    </row>
  </sheetData>
  <mergeCells count="11">
    <mergeCell ref="V2:W2"/>
    <mergeCell ref="A1:D1"/>
    <mergeCell ref="G1:N1"/>
    <mergeCell ref="P1:W1"/>
    <mergeCell ref="G2:H2"/>
    <mergeCell ref="I2:J2"/>
    <mergeCell ref="K2:L2"/>
    <mergeCell ref="M2:N2"/>
    <mergeCell ref="P2:Q2"/>
    <mergeCell ref="R2:S2"/>
    <mergeCell ref="T2:U2"/>
  </mergeCells>
  <conditionalFormatting sqref="D23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L37 H37 N37 W37 U37 S37 Q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errorStyle="warning" allowBlank="1" showErrorMessage="1" errorTitle="Invalid Data" sqref="T3:T15 G3:G15 M3:M15 K3:K15 V3:V15 P3:P15 R3:R15 I3:I15" xr:uid="{E506EB75-986C-4D7B-AFE6-561225A04F5F}">
      <formula1>"0,1"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443A-5038-423B-B891-CF8E68A6638F}">
  <sheetPr>
    <outlinePr summaryBelow="0"/>
    <pageSetUpPr fitToPage="1"/>
  </sheetPr>
  <dimension ref="A1:O33"/>
  <sheetViews>
    <sheetView showGridLines="0" topLeftCell="A7" workbookViewId="0">
      <selection activeCell="I21" sqref="I21"/>
    </sheetView>
  </sheetViews>
  <sheetFormatPr baseColWidth="10" defaultColWidth="8.83203125" defaultRowHeight="15" x14ac:dyDescent="0.2"/>
  <cols>
    <col min="1" max="1" width="10.33203125" customWidth="1"/>
    <col min="2" max="2" width="2.6640625" customWidth="1"/>
    <col min="3" max="3" width="0.6640625" customWidth="1"/>
    <col min="4" max="4" width="12.33203125" customWidth="1"/>
    <col min="5" max="5" width="6.6640625" customWidth="1"/>
    <col min="6" max="6" width="6.5" customWidth="1"/>
    <col min="7" max="10" width="13" customWidth="1"/>
    <col min="11" max="11" width="3.33203125" customWidth="1"/>
    <col min="12" max="12" width="0.1640625" customWidth="1"/>
    <col min="13" max="13" width="1.5" customWidth="1"/>
    <col min="14" max="14" width="8.33203125" customWidth="1"/>
    <col min="15" max="15" width="13" customWidth="1"/>
  </cols>
  <sheetData>
    <row r="1" spans="1:15" ht="17.25" customHeight="1" x14ac:dyDescent="0.2">
      <c r="D1" s="161" t="s">
        <v>160</v>
      </c>
      <c r="E1" s="161"/>
      <c r="F1" s="161"/>
      <c r="G1" s="161"/>
      <c r="H1" s="161"/>
      <c r="I1" s="161"/>
      <c r="J1" s="161"/>
      <c r="K1" s="161"/>
      <c r="L1" s="161"/>
      <c r="M1" s="161"/>
    </row>
    <row r="2" spans="1:15" ht="12.75" customHeight="1" x14ac:dyDescent="0.2">
      <c r="D2" s="158" t="s">
        <v>161</v>
      </c>
      <c r="E2" s="158"/>
      <c r="F2" s="159" t="s">
        <v>193</v>
      </c>
      <c r="G2" s="159"/>
      <c r="H2" s="159"/>
      <c r="I2" s="159"/>
      <c r="J2" s="159"/>
      <c r="K2" s="159"/>
      <c r="L2" s="160"/>
      <c r="M2" s="160"/>
    </row>
    <row r="3" spans="1:15" ht="12" customHeight="1" x14ac:dyDescent="0.2">
      <c r="D3" s="158" t="s">
        <v>163</v>
      </c>
      <c r="E3" s="158"/>
      <c r="F3" s="159" t="s">
        <v>164</v>
      </c>
      <c r="G3" s="159"/>
      <c r="H3" s="159"/>
      <c r="I3" s="159"/>
      <c r="J3" s="159"/>
      <c r="K3" s="159"/>
      <c r="L3" s="160"/>
      <c r="M3" s="160"/>
    </row>
    <row r="4" spans="1:15" ht="12" customHeight="1" x14ac:dyDescent="0.2">
      <c r="D4" s="158" t="s">
        <v>194</v>
      </c>
      <c r="E4" s="158"/>
      <c r="F4" s="159" t="s">
        <v>195</v>
      </c>
      <c r="G4" s="159"/>
      <c r="H4" s="159"/>
      <c r="I4" s="159"/>
      <c r="J4" s="159"/>
      <c r="K4" s="159"/>
      <c r="L4" s="160"/>
      <c r="M4" s="160"/>
    </row>
    <row r="5" spans="1:15" ht="4.5" customHeight="1" x14ac:dyDescent="0.2"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5" ht="7.5" customHeight="1" x14ac:dyDescent="0.2"/>
    <row r="7" spans="1:15" ht="288" customHeight="1" x14ac:dyDescent="0.2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</row>
    <row r="8" spans="1:15" ht="18" customHeight="1" x14ac:dyDescent="0.2"/>
    <row r="9" spans="1:15" ht="13.5" customHeight="1" x14ac:dyDescent="0.2">
      <c r="A9" s="155" t="s">
        <v>167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</row>
    <row r="10" spans="1:15" ht="23.25" customHeight="1" x14ac:dyDescent="0.2">
      <c r="A10" s="156" t="s">
        <v>168</v>
      </c>
      <c r="B10" s="156"/>
      <c r="C10" s="157" t="s">
        <v>50</v>
      </c>
      <c r="D10" s="157"/>
      <c r="E10" s="157" t="s">
        <v>192</v>
      </c>
      <c r="F10" s="157"/>
      <c r="G10" s="107" t="s">
        <v>190</v>
      </c>
      <c r="H10" s="107" t="s">
        <v>44</v>
      </c>
      <c r="I10" s="107" t="s">
        <v>137</v>
      </c>
      <c r="J10" s="107" t="s">
        <v>138</v>
      </c>
      <c r="K10" s="157" t="s">
        <v>139</v>
      </c>
      <c r="L10" s="157"/>
      <c r="M10" s="157"/>
      <c r="N10" s="157"/>
      <c r="O10" s="107" t="s">
        <v>135</v>
      </c>
    </row>
    <row r="11" spans="1:15" ht="11.25" customHeight="1" x14ac:dyDescent="0.2">
      <c r="A11" s="149" t="s">
        <v>169</v>
      </c>
      <c r="B11" s="149"/>
      <c r="C11" s="153" t="s">
        <v>196</v>
      </c>
      <c r="D11" s="153"/>
      <c r="E11" s="153" t="s">
        <v>197</v>
      </c>
      <c r="F11" s="153"/>
      <c r="G11" s="108" t="s">
        <v>198</v>
      </c>
      <c r="H11" s="108" t="s">
        <v>199</v>
      </c>
      <c r="I11" s="108" t="s">
        <v>200</v>
      </c>
      <c r="J11" s="108" t="s">
        <v>201</v>
      </c>
      <c r="K11" s="153" t="s">
        <v>202</v>
      </c>
      <c r="L11" s="153"/>
      <c r="M11" s="153"/>
      <c r="N11" s="153"/>
      <c r="O11" s="108" t="s">
        <v>203</v>
      </c>
    </row>
    <row r="12" spans="1:15" ht="11.25" customHeight="1" x14ac:dyDescent="0.2">
      <c r="A12" s="137" t="s">
        <v>178</v>
      </c>
      <c r="B12" s="137"/>
      <c r="C12" s="152">
        <v>7632.9689655172406</v>
      </c>
      <c r="D12" s="152"/>
      <c r="E12" s="152">
        <v>12707.4</v>
      </c>
      <c r="F12" s="152"/>
      <c r="G12" s="105">
        <v>12078.9</v>
      </c>
      <c r="H12" s="106">
        <v>9052.7999999999993</v>
      </c>
      <c r="I12" s="105">
        <v>12132.410388780489</v>
      </c>
      <c r="J12" s="105">
        <v>12192.467456097562</v>
      </c>
      <c r="K12" s="152">
        <v>13585.40388390244</v>
      </c>
      <c r="L12" s="152"/>
      <c r="M12" s="152"/>
      <c r="N12" s="152"/>
      <c r="O12" s="106">
        <v>11294.034540000001</v>
      </c>
    </row>
    <row r="13" spans="1:15" ht="10.5" customHeight="1" x14ac:dyDescent="0.2">
      <c r="A13" s="137" t="s">
        <v>179</v>
      </c>
      <c r="B13" s="137"/>
      <c r="C13" s="152">
        <v>11224.4</v>
      </c>
      <c r="D13" s="152"/>
      <c r="E13" s="152">
        <v>16597.400000000001</v>
      </c>
      <c r="F13" s="152"/>
      <c r="G13" s="105">
        <v>15806.4</v>
      </c>
      <c r="H13" s="106">
        <v>9052.7999999999993</v>
      </c>
      <c r="I13" s="105">
        <v>12699.03234</v>
      </c>
      <c r="J13" s="105">
        <v>22763.3577</v>
      </c>
      <c r="K13" s="152">
        <v>21478.013640000001</v>
      </c>
      <c r="L13" s="152"/>
      <c r="M13" s="152"/>
      <c r="N13" s="152"/>
      <c r="O13" s="106">
        <v>11294.034540000001</v>
      </c>
    </row>
    <row r="14" spans="1:15" ht="11.25" customHeight="1" x14ac:dyDescent="0.2">
      <c r="A14" s="137" t="s">
        <v>180</v>
      </c>
      <c r="B14" s="137"/>
      <c r="C14" s="152">
        <v>10863.318348987184</v>
      </c>
      <c r="D14" s="152"/>
      <c r="E14" s="152">
        <v>14683.014999999554</v>
      </c>
      <c r="F14" s="152"/>
      <c r="G14" s="105">
        <v>13897.91499999919</v>
      </c>
      <c r="H14" s="106">
        <v>9052.7999999996191</v>
      </c>
      <c r="I14" s="105">
        <v>12690.936851255785</v>
      </c>
      <c r="J14" s="105">
        <v>14746.76850992501</v>
      </c>
      <c r="K14" s="152">
        <v>16290.15772862258</v>
      </c>
      <c r="L14" s="152"/>
      <c r="M14" s="152"/>
      <c r="N14" s="152"/>
      <c r="O14" s="106">
        <v>11294.034539999344</v>
      </c>
    </row>
    <row r="15" spans="1:15" ht="11.25" customHeight="1" x14ac:dyDescent="0.2">
      <c r="A15" s="149" t="s">
        <v>181</v>
      </c>
      <c r="B15" s="149"/>
      <c r="C15" s="147">
        <v>661.58659077596712</v>
      </c>
      <c r="D15" s="147"/>
      <c r="E15" s="147">
        <v>896.00803169033304</v>
      </c>
      <c r="F15" s="147"/>
      <c r="G15" s="109">
        <v>853.98657974858463</v>
      </c>
      <c r="H15" s="111">
        <v>0</v>
      </c>
      <c r="I15" s="109">
        <v>41.994896529699652</v>
      </c>
      <c r="J15" s="109">
        <v>2322.3386417640718</v>
      </c>
      <c r="K15" s="147">
        <v>1911.3599163364713</v>
      </c>
      <c r="L15" s="147"/>
      <c r="M15" s="147"/>
      <c r="N15" s="147"/>
      <c r="O15" s="111">
        <v>0</v>
      </c>
    </row>
    <row r="16" spans="1:15" ht="10.5" customHeight="1" x14ac:dyDescent="0.2">
      <c r="A16" s="149" t="s">
        <v>182</v>
      </c>
      <c r="B16" s="149"/>
      <c r="C16" s="151">
        <v>437696.81709456706</v>
      </c>
      <c r="D16" s="151"/>
      <c r="E16" s="151">
        <v>802830.39285358496</v>
      </c>
      <c r="F16" s="151"/>
      <c r="G16" s="112">
        <v>729293.07839068561</v>
      </c>
      <c r="H16" s="113">
        <v>0</v>
      </c>
      <c r="I16" s="112">
        <v>1763.5713345401796</v>
      </c>
      <c r="J16" s="112">
        <v>5393256.767030593</v>
      </c>
      <c r="K16" s="151">
        <v>3653296.7297777627</v>
      </c>
      <c r="L16" s="151"/>
      <c r="M16" s="151"/>
      <c r="N16" s="151"/>
      <c r="O16" s="113">
        <v>0</v>
      </c>
    </row>
    <row r="17" spans="1:15" ht="11.25" customHeight="1" x14ac:dyDescent="0.2">
      <c r="A17" s="149" t="s">
        <v>183</v>
      </c>
      <c r="B17" s="149"/>
      <c r="C17" s="150">
        <v>-1.9875750757565398</v>
      </c>
      <c r="D17" s="150"/>
      <c r="E17" s="150">
        <v>0.77279866541784381</v>
      </c>
      <c r="F17" s="150"/>
      <c r="G17" s="114">
        <v>0.93825169235807215</v>
      </c>
      <c r="H17" s="114" t="e">
        <v>#NUM!</v>
      </c>
      <c r="I17" s="114">
        <v>-6.5947814840799435</v>
      </c>
      <c r="J17" s="114">
        <v>2.371832859806712</v>
      </c>
      <c r="K17" s="150">
        <v>1.9457054633621154</v>
      </c>
      <c r="L17" s="150"/>
      <c r="M17" s="150"/>
      <c r="N17" s="150"/>
      <c r="O17" s="114" t="e">
        <v>#NUM!</v>
      </c>
    </row>
    <row r="18" spans="1:15" ht="11.25" customHeight="1" x14ac:dyDescent="0.2">
      <c r="A18" s="149" t="s">
        <v>184</v>
      </c>
      <c r="B18" s="149"/>
      <c r="C18" s="150">
        <v>6.2698456802740639</v>
      </c>
      <c r="D18" s="150"/>
      <c r="E18" s="150">
        <v>2.9824284391033631</v>
      </c>
      <c r="F18" s="150"/>
      <c r="G18" s="114">
        <v>3.2673492257895171</v>
      </c>
      <c r="H18" s="114" t="e">
        <v>#NUM!</v>
      </c>
      <c r="I18" s="114">
        <v>52.825184169614694</v>
      </c>
      <c r="J18" s="114">
        <v>7.3053951144047682</v>
      </c>
      <c r="K18" s="150">
        <v>5.796627543711848</v>
      </c>
      <c r="L18" s="150"/>
      <c r="M18" s="150"/>
      <c r="N18" s="150"/>
      <c r="O18" s="114" t="e">
        <v>#NUM!</v>
      </c>
    </row>
    <row r="19" spans="1:15" ht="10.5" customHeight="1" x14ac:dyDescent="0.2">
      <c r="A19" s="149" t="s">
        <v>185</v>
      </c>
      <c r="B19" s="149"/>
      <c r="C19" s="147">
        <v>11224.4</v>
      </c>
      <c r="D19" s="147"/>
      <c r="E19" s="147">
        <v>14507.4</v>
      </c>
      <c r="F19" s="147"/>
      <c r="G19" s="109">
        <v>13718.9</v>
      </c>
      <c r="H19" s="110">
        <v>9052.7999999999993</v>
      </c>
      <c r="I19" s="109">
        <v>12699.03234</v>
      </c>
      <c r="J19" s="109">
        <v>14030.17912857143</v>
      </c>
      <c r="K19" s="147">
        <v>15738.51989</v>
      </c>
      <c r="L19" s="147"/>
      <c r="M19" s="147"/>
      <c r="N19" s="147"/>
      <c r="O19" s="110">
        <v>11294.034540000001</v>
      </c>
    </row>
    <row r="20" spans="1:15" ht="11.25" customHeight="1" x14ac:dyDescent="0.2">
      <c r="A20" s="149" t="s">
        <v>186</v>
      </c>
      <c r="B20" s="149"/>
      <c r="C20" s="147">
        <v>11224.4</v>
      </c>
      <c r="D20" s="147"/>
      <c r="E20" s="147">
        <v>16597.400000000001</v>
      </c>
      <c r="F20" s="147"/>
      <c r="G20" s="109">
        <v>15806.4</v>
      </c>
      <c r="H20" s="110">
        <v>9052.7999999999993</v>
      </c>
      <c r="I20" s="109">
        <v>12699.03234</v>
      </c>
      <c r="J20" s="109">
        <v>22763.3577</v>
      </c>
      <c r="K20" s="147">
        <v>21478.013640000001</v>
      </c>
      <c r="L20" s="147"/>
      <c r="M20" s="147"/>
      <c r="N20" s="147"/>
      <c r="O20" s="110">
        <v>11294.034540000001</v>
      </c>
    </row>
    <row r="21" spans="1:15" ht="11.25" customHeight="1" x14ac:dyDescent="0.2">
      <c r="A21" s="146">
        <v>0.01</v>
      </c>
      <c r="B21" s="146"/>
      <c r="C21" s="147">
        <v>8513.0184210526313</v>
      </c>
      <c r="D21" s="147"/>
      <c r="E21" s="147">
        <v>13132.4</v>
      </c>
      <c r="F21" s="147"/>
      <c r="G21" s="109">
        <v>12488.9</v>
      </c>
      <c r="H21" s="110">
        <v>9052.7999999999993</v>
      </c>
      <c r="I21" s="109">
        <v>12443.53234</v>
      </c>
      <c r="J21" s="109">
        <v>12770.17912857143</v>
      </c>
      <c r="K21" s="147">
        <v>14140.513640000001</v>
      </c>
      <c r="L21" s="147"/>
      <c r="M21" s="147"/>
      <c r="N21" s="147"/>
      <c r="O21" s="110">
        <v>11294.034540000001</v>
      </c>
    </row>
    <row r="22" spans="1:15" ht="10.5" customHeight="1" x14ac:dyDescent="0.2">
      <c r="A22" s="148">
        <v>2.5000000000000001E-2</v>
      </c>
      <c r="B22" s="148"/>
      <c r="C22" s="147">
        <v>8859.9</v>
      </c>
      <c r="D22" s="147"/>
      <c r="E22" s="147">
        <v>13322.4</v>
      </c>
      <c r="F22" s="147"/>
      <c r="G22" s="109">
        <v>12663.9</v>
      </c>
      <c r="H22" s="110">
        <v>9052.7999999999993</v>
      </c>
      <c r="I22" s="109">
        <v>12571.950944651162</v>
      </c>
      <c r="J22" s="109">
        <v>12954.370200000001</v>
      </c>
      <c r="K22" s="147">
        <v>14383.51989</v>
      </c>
      <c r="L22" s="147"/>
      <c r="M22" s="147"/>
      <c r="N22" s="147"/>
      <c r="O22" s="110">
        <v>11294.034540000001</v>
      </c>
    </row>
    <row r="23" spans="1:15" ht="11.25" customHeight="1" x14ac:dyDescent="0.2">
      <c r="A23" s="146">
        <v>0.05</v>
      </c>
      <c r="B23" s="146"/>
      <c r="C23" s="147">
        <v>9334.7199999999993</v>
      </c>
      <c r="D23" s="147"/>
      <c r="E23" s="147">
        <v>13492.4</v>
      </c>
      <c r="F23" s="147"/>
      <c r="G23" s="109">
        <v>12823.9</v>
      </c>
      <c r="H23" s="110">
        <v>9052.7999999999993</v>
      </c>
      <c r="I23" s="109">
        <v>12667.950944651162</v>
      </c>
      <c r="J23" s="109">
        <v>13112.467456097562</v>
      </c>
      <c r="K23" s="147">
        <v>14583.51989</v>
      </c>
      <c r="L23" s="147"/>
      <c r="M23" s="147"/>
      <c r="N23" s="147"/>
      <c r="O23" s="110">
        <v>11294.034540000001</v>
      </c>
    </row>
    <row r="24" spans="1:15" ht="11.25" customHeight="1" x14ac:dyDescent="0.2">
      <c r="A24" s="146">
        <v>0.1</v>
      </c>
      <c r="B24" s="146"/>
      <c r="C24" s="147">
        <v>9811.3589041095893</v>
      </c>
      <c r="D24" s="147"/>
      <c r="E24" s="147">
        <v>13707.4</v>
      </c>
      <c r="F24" s="147"/>
      <c r="G24" s="109">
        <v>13003.9</v>
      </c>
      <c r="H24" s="110">
        <v>9052.7999999999993</v>
      </c>
      <c r="I24" s="109">
        <v>12699.03234</v>
      </c>
      <c r="J24" s="109">
        <v>13285.8577</v>
      </c>
      <c r="K24" s="147">
        <v>14803.51989</v>
      </c>
      <c r="L24" s="147"/>
      <c r="M24" s="147"/>
      <c r="N24" s="147"/>
      <c r="O24" s="110">
        <v>11294.034540000001</v>
      </c>
    </row>
    <row r="25" spans="1:15" ht="10.5" customHeight="1" x14ac:dyDescent="0.2">
      <c r="A25" s="146">
        <v>0.2</v>
      </c>
      <c r="B25" s="146"/>
      <c r="C25" s="147">
        <v>10524.9</v>
      </c>
      <c r="D25" s="147"/>
      <c r="E25" s="147">
        <v>13947.4</v>
      </c>
      <c r="F25" s="147"/>
      <c r="G25" s="109">
        <v>13208.9</v>
      </c>
      <c r="H25" s="110">
        <v>9052.7999999999993</v>
      </c>
      <c r="I25" s="109">
        <v>12699.03234</v>
      </c>
      <c r="J25" s="109">
        <v>13514.370200000001</v>
      </c>
      <c r="K25" s="147">
        <v>15081.118291162791</v>
      </c>
      <c r="L25" s="147"/>
      <c r="M25" s="147"/>
      <c r="N25" s="147"/>
      <c r="O25" s="110">
        <v>11294.034540000001</v>
      </c>
    </row>
    <row r="26" spans="1:15" ht="11.25" customHeight="1" x14ac:dyDescent="0.2">
      <c r="A26" s="146">
        <v>0.25</v>
      </c>
      <c r="B26" s="146"/>
      <c r="C26" s="147">
        <v>10761.445454545452</v>
      </c>
      <c r="D26" s="147"/>
      <c r="E26" s="147">
        <v>14052.4</v>
      </c>
      <c r="F26" s="147"/>
      <c r="G26" s="109">
        <v>13293.9</v>
      </c>
      <c r="H26" s="110">
        <v>9052.7999999999993</v>
      </c>
      <c r="I26" s="109">
        <v>12699.03234</v>
      </c>
      <c r="J26" s="109">
        <v>13602.467456097562</v>
      </c>
      <c r="K26" s="147">
        <v>15181.245782857142</v>
      </c>
      <c r="L26" s="147"/>
      <c r="M26" s="147"/>
      <c r="N26" s="147"/>
      <c r="O26" s="110">
        <v>11294.034540000001</v>
      </c>
    </row>
    <row r="27" spans="1:15" ht="11.25" customHeight="1" x14ac:dyDescent="0.2">
      <c r="A27" s="146">
        <v>0.5</v>
      </c>
      <c r="B27" s="146"/>
      <c r="C27" s="147">
        <v>11224.4</v>
      </c>
      <c r="D27" s="147"/>
      <c r="E27" s="147">
        <v>14507.4</v>
      </c>
      <c r="F27" s="147"/>
      <c r="G27" s="109">
        <v>13718.9</v>
      </c>
      <c r="H27" s="110">
        <v>9052.7999999999993</v>
      </c>
      <c r="I27" s="109">
        <v>12699.03234</v>
      </c>
      <c r="J27" s="109">
        <v>14030.17912857143</v>
      </c>
      <c r="K27" s="147">
        <v>15738.51989</v>
      </c>
      <c r="L27" s="147"/>
      <c r="M27" s="147"/>
      <c r="N27" s="147"/>
      <c r="O27" s="110">
        <v>11294.034540000001</v>
      </c>
    </row>
    <row r="28" spans="1:15" ht="11.25" customHeight="1" x14ac:dyDescent="0.2">
      <c r="A28" s="146">
        <v>0.75</v>
      </c>
      <c r="B28" s="146"/>
      <c r="C28" s="147">
        <v>11224.4</v>
      </c>
      <c r="D28" s="147"/>
      <c r="E28" s="147">
        <v>15097.4</v>
      </c>
      <c r="F28" s="147"/>
      <c r="G28" s="109">
        <v>14243.9</v>
      </c>
      <c r="H28" s="110">
        <v>9052.7999999999993</v>
      </c>
      <c r="I28" s="109">
        <v>12699.03234</v>
      </c>
      <c r="J28" s="109">
        <v>14564.550881818182</v>
      </c>
      <c r="K28" s="147">
        <v>16430.40388390244</v>
      </c>
      <c r="L28" s="147"/>
      <c r="M28" s="147"/>
      <c r="N28" s="147"/>
      <c r="O28" s="110">
        <v>11294.034540000001</v>
      </c>
    </row>
    <row r="29" spans="1:15" ht="10.5" customHeight="1" x14ac:dyDescent="0.2">
      <c r="A29" s="146">
        <v>0.8</v>
      </c>
      <c r="B29" s="146"/>
      <c r="C29" s="147">
        <v>11224.4</v>
      </c>
      <c r="D29" s="147"/>
      <c r="E29" s="147">
        <v>15287.4</v>
      </c>
      <c r="F29" s="147"/>
      <c r="G29" s="109">
        <v>14413.9</v>
      </c>
      <c r="H29" s="110">
        <v>9052.7999999999993</v>
      </c>
      <c r="I29" s="109">
        <v>12699.03234</v>
      </c>
      <c r="J29" s="109">
        <v>14732.467456097562</v>
      </c>
      <c r="K29" s="147">
        <v>16650.40388390244</v>
      </c>
      <c r="L29" s="147"/>
      <c r="M29" s="147"/>
      <c r="N29" s="147"/>
      <c r="O29" s="110">
        <v>11294.034540000001</v>
      </c>
    </row>
    <row r="30" spans="1:15" ht="11.25" customHeight="1" x14ac:dyDescent="0.2">
      <c r="A30" s="146">
        <v>0.9</v>
      </c>
      <c r="B30" s="146"/>
      <c r="C30" s="147">
        <v>11224.4</v>
      </c>
      <c r="D30" s="147"/>
      <c r="E30" s="147">
        <v>16597.400000000001</v>
      </c>
      <c r="F30" s="147"/>
      <c r="G30" s="109">
        <v>15806.4</v>
      </c>
      <c r="H30" s="110">
        <v>9052.7999999999993</v>
      </c>
      <c r="I30" s="109">
        <v>12699.03234</v>
      </c>
      <c r="J30" s="109">
        <v>20142.55282195122</v>
      </c>
      <c r="K30" s="147">
        <v>21478.013640000001</v>
      </c>
      <c r="L30" s="147"/>
      <c r="M30" s="147"/>
      <c r="N30" s="147"/>
      <c r="O30" s="110">
        <v>11294.034540000001</v>
      </c>
    </row>
    <row r="31" spans="1:15" ht="11.25" customHeight="1" x14ac:dyDescent="0.2">
      <c r="A31" s="146">
        <v>0.95</v>
      </c>
      <c r="B31" s="146"/>
      <c r="C31" s="147">
        <v>11224.4</v>
      </c>
      <c r="D31" s="147"/>
      <c r="E31" s="147">
        <v>16597.400000000001</v>
      </c>
      <c r="F31" s="147"/>
      <c r="G31" s="109">
        <v>15806.4</v>
      </c>
      <c r="H31" s="110">
        <v>9052.7999999999993</v>
      </c>
      <c r="I31" s="109">
        <v>12699.03234</v>
      </c>
      <c r="J31" s="109">
        <v>21219.207699999999</v>
      </c>
      <c r="K31" s="147">
        <v>21478.013640000001</v>
      </c>
      <c r="L31" s="147"/>
      <c r="M31" s="147"/>
      <c r="N31" s="147"/>
      <c r="O31" s="110">
        <v>11294.034540000001</v>
      </c>
    </row>
    <row r="32" spans="1:15" ht="10.5" customHeight="1" x14ac:dyDescent="0.2">
      <c r="A32" s="148">
        <v>0.97499999999999998</v>
      </c>
      <c r="B32" s="148"/>
      <c r="C32" s="147">
        <v>11224.4</v>
      </c>
      <c r="D32" s="147"/>
      <c r="E32" s="147">
        <v>16597.400000000001</v>
      </c>
      <c r="F32" s="147"/>
      <c r="G32" s="109">
        <v>15806.4</v>
      </c>
      <c r="H32" s="110">
        <v>9052.7999999999993</v>
      </c>
      <c r="I32" s="109">
        <v>12699.03234</v>
      </c>
      <c r="J32" s="109">
        <v>21759.207699999999</v>
      </c>
      <c r="K32" s="147">
        <v>21478.013640000001</v>
      </c>
      <c r="L32" s="147"/>
      <c r="M32" s="147"/>
      <c r="N32" s="147"/>
      <c r="O32" s="110">
        <v>11294.034540000001</v>
      </c>
    </row>
    <row r="33" spans="1:15" ht="11.25" customHeight="1" x14ac:dyDescent="0.2">
      <c r="A33" s="146">
        <v>0.99</v>
      </c>
      <c r="B33" s="146"/>
      <c r="C33" s="147">
        <v>11224.4</v>
      </c>
      <c r="D33" s="147"/>
      <c r="E33" s="147">
        <v>16597.400000000001</v>
      </c>
      <c r="F33" s="147"/>
      <c r="G33" s="109">
        <v>15806.4</v>
      </c>
      <c r="H33" s="110">
        <v>9052.7999999999993</v>
      </c>
      <c r="I33" s="109">
        <v>12699.03234</v>
      </c>
      <c r="J33" s="109">
        <v>22763.3577</v>
      </c>
      <c r="K33" s="147">
        <v>21478.013640000001</v>
      </c>
      <c r="L33" s="147"/>
      <c r="M33" s="147"/>
      <c r="N33" s="147"/>
      <c r="O33" s="110">
        <v>11294.034540000001</v>
      </c>
    </row>
  </sheetData>
  <mergeCells count="111">
    <mergeCell ref="D1:M1"/>
    <mergeCell ref="D2:E2"/>
    <mergeCell ref="F2:K2"/>
    <mergeCell ref="L2:M2"/>
    <mergeCell ref="D3:E3"/>
    <mergeCell ref="F3:K3"/>
    <mergeCell ref="L3:M3"/>
    <mergeCell ref="A7:L7"/>
    <mergeCell ref="A9:O9"/>
    <mergeCell ref="A10:B10"/>
    <mergeCell ref="C10:D10"/>
    <mergeCell ref="E10:F10"/>
    <mergeCell ref="K10:N10"/>
    <mergeCell ref="D4:E4"/>
    <mergeCell ref="F4:K4"/>
    <mergeCell ref="L4:M4"/>
    <mergeCell ref="D5:E5"/>
    <mergeCell ref="F5:K5"/>
    <mergeCell ref="L5:M5"/>
    <mergeCell ref="A13:B13"/>
    <mergeCell ref="C13:D13"/>
    <mergeCell ref="E13:F13"/>
    <mergeCell ref="K13:N13"/>
    <mergeCell ref="A14:B14"/>
    <mergeCell ref="C14:D14"/>
    <mergeCell ref="E14:F14"/>
    <mergeCell ref="K14:N14"/>
    <mergeCell ref="A11:B11"/>
    <mergeCell ref="C11:D11"/>
    <mergeCell ref="E11:F11"/>
    <mergeCell ref="K11:N11"/>
    <mergeCell ref="A12:B12"/>
    <mergeCell ref="C12:D12"/>
    <mergeCell ref="E12:F12"/>
    <mergeCell ref="K12:N12"/>
    <mergeCell ref="A17:B17"/>
    <mergeCell ref="C17:D17"/>
    <mergeCell ref="E17:F17"/>
    <mergeCell ref="K17:N17"/>
    <mergeCell ref="A18:B18"/>
    <mergeCell ref="C18:D18"/>
    <mergeCell ref="E18:F18"/>
    <mergeCell ref="K18:N18"/>
    <mergeCell ref="A15:B15"/>
    <mergeCell ref="C15:D15"/>
    <mergeCell ref="E15:F15"/>
    <mergeCell ref="K15:N15"/>
    <mergeCell ref="A16:B16"/>
    <mergeCell ref="C16:D16"/>
    <mergeCell ref="E16:F16"/>
    <mergeCell ref="K16:N16"/>
    <mergeCell ref="A21:B21"/>
    <mergeCell ref="C21:D21"/>
    <mergeCell ref="E21:F21"/>
    <mergeCell ref="K21:N21"/>
    <mergeCell ref="A22:B22"/>
    <mergeCell ref="C22:D22"/>
    <mergeCell ref="E22:F22"/>
    <mergeCell ref="K22:N22"/>
    <mergeCell ref="A19:B19"/>
    <mergeCell ref="C19:D19"/>
    <mergeCell ref="E19:F19"/>
    <mergeCell ref="K19:N19"/>
    <mergeCell ref="A20:B20"/>
    <mergeCell ref="C20:D20"/>
    <mergeCell ref="E20:F20"/>
    <mergeCell ref="K20:N20"/>
    <mergeCell ref="A25:B25"/>
    <mergeCell ref="C25:D25"/>
    <mergeCell ref="E25:F25"/>
    <mergeCell ref="K25:N25"/>
    <mergeCell ref="A26:B26"/>
    <mergeCell ref="C26:D26"/>
    <mergeCell ref="E26:F26"/>
    <mergeCell ref="K26:N26"/>
    <mergeCell ref="A23:B23"/>
    <mergeCell ref="C23:D23"/>
    <mergeCell ref="E23:F23"/>
    <mergeCell ref="K23:N23"/>
    <mergeCell ref="A24:B24"/>
    <mergeCell ref="C24:D24"/>
    <mergeCell ref="E24:F24"/>
    <mergeCell ref="K24:N24"/>
    <mergeCell ref="A29:B29"/>
    <mergeCell ref="C29:D29"/>
    <mergeCell ref="E29:F29"/>
    <mergeCell ref="K29:N29"/>
    <mergeCell ref="A30:B30"/>
    <mergeCell ref="C30:D30"/>
    <mergeCell ref="E30:F30"/>
    <mergeCell ref="K30:N30"/>
    <mergeCell ref="A27:B27"/>
    <mergeCell ref="C27:D27"/>
    <mergeCell ref="E27:F27"/>
    <mergeCell ref="K27:N27"/>
    <mergeCell ref="A28:B28"/>
    <mergeCell ref="C28:D28"/>
    <mergeCell ref="E28:F28"/>
    <mergeCell ref="K28:N28"/>
    <mergeCell ref="A33:B33"/>
    <mergeCell ref="C33:D33"/>
    <mergeCell ref="E33:F33"/>
    <mergeCell ref="K33:N33"/>
    <mergeCell ref="A31:B31"/>
    <mergeCell ref="C31:D31"/>
    <mergeCell ref="E31:F31"/>
    <mergeCell ref="K31:N31"/>
    <mergeCell ref="A32:B32"/>
    <mergeCell ref="C32:D32"/>
    <mergeCell ref="E32:F32"/>
    <mergeCell ref="K32:N32"/>
  </mergeCells>
  <conditionalFormatting sqref="C12:O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75" header="0.3" footer="0.3"/>
  <pageSetup paperSize="0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D8D-8643-4C5E-878E-6C550BC624C6}">
  <dimension ref="A1:AE38"/>
  <sheetViews>
    <sheetView topLeftCell="A10" zoomScaleNormal="100" workbookViewId="0">
      <pane xSplit="1" topLeftCell="F1" activePane="topRight" state="frozen"/>
      <selection pane="topRight" activeCell="F20" sqref="F20"/>
    </sheetView>
  </sheetViews>
  <sheetFormatPr baseColWidth="10" defaultColWidth="8.83203125" defaultRowHeight="15" x14ac:dyDescent="0.2"/>
  <cols>
    <col min="1" max="1" width="20.33203125" bestFit="1" customWidth="1"/>
    <col min="2" max="2" width="11" customWidth="1"/>
    <col min="3" max="3" width="11.33203125" bestFit="1" customWidth="1"/>
    <col min="4" max="4" width="11" customWidth="1"/>
    <col min="5" max="5" width="6.6640625" customWidth="1"/>
    <col min="6" max="6" width="30" customWidth="1"/>
    <col min="7" max="7" width="7.83203125" bestFit="1" customWidth="1"/>
    <col min="8" max="8" width="8.5" bestFit="1" customWidth="1"/>
    <col min="9" max="9" width="2.1640625" bestFit="1" customWidth="1"/>
    <col min="10" max="10" width="8.5" bestFit="1" customWidth="1"/>
    <col min="11" max="11" width="2.1640625" bestFit="1" customWidth="1"/>
    <col min="12" max="12" width="9.33203125" style="36" customWidth="1"/>
    <col min="13" max="13" width="2.1640625" bestFit="1" customWidth="1"/>
    <col min="14" max="14" width="8.5" bestFit="1" customWidth="1"/>
    <col min="16" max="16" width="2.1640625" bestFit="1" customWidth="1"/>
    <col min="17" max="17" width="10.33203125" bestFit="1" customWidth="1"/>
    <col min="18" max="18" width="2.1640625" bestFit="1" customWidth="1"/>
    <col min="19" max="19" width="12.1640625" customWidth="1"/>
    <col min="20" max="20" width="2.1640625" bestFit="1" customWidth="1"/>
    <col min="21" max="21" width="12.1640625" customWidth="1"/>
    <col min="22" max="22" width="2.1640625" bestFit="1" customWidth="1"/>
    <col min="23" max="23" width="12.1640625" customWidth="1"/>
    <col min="30" max="30" width="32.83203125" bestFit="1" customWidth="1"/>
    <col min="31" max="31" width="32.83203125" customWidth="1"/>
  </cols>
  <sheetData>
    <row r="1" spans="1:31" x14ac:dyDescent="0.2">
      <c r="A1" s="122" t="s">
        <v>16</v>
      </c>
      <c r="B1" s="123"/>
      <c r="C1" s="123"/>
      <c r="D1" s="124"/>
      <c r="E1" s="16" t="s">
        <v>42</v>
      </c>
      <c r="F1" s="17"/>
      <c r="G1" s="125" t="s">
        <v>17</v>
      </c>
      <c r="H1" s="125"/>
      <c r="I1" s="125"/>
      <c r="J1" s="125"/>
      <c r="K1" s="125"/>
      <c r="L1" s="125"/>
      <c r="M1" s="125"/>
      <c r="N1" s="125"/>
      <c r="O1" s="12"/>
      <c r="P1" s="125" t="s">
        <v>134</v>
      </c>
      <c r="Q1" s="125"/>
      <c r="R1" s="125"/>
      <c r="S1" s="125"/>
      <c r="T1" s="125"/>
      <c r="U1" s="125"/>
      <c r="V1" s="125"/>
      <c r="W1" s="125"/>
      <c r="AE1" t="s">
        <v>93</v>
      </c>
    </row>
    <row r="2" spans="1:31" x14ac:dyDescent="0.2">
      <c r="A2" s="18" t="s">
        <v>0</v>
      </c>
      <c r="B2" s="19" t="s">
        <v>1</v>
      </c>
      <c r="C2" s="19" t="s">
        <v>2</v>
      </c>
      <c r="D2" s="20" t="s">
        <v>3</v>
      </c>
      <c r="E2" s="10">
        <v>0.35</v>
      </c>
      <c r="F2" s="13"/>
      <c r="G2" s="119" t="s">
        <v>50</v>
      </c>
      <c r="H2" s="119"/>
      <c r="I2" s="127" t="s">
        <v>192</v>
      </c>
      <c r="J2" s="127"/>
      <c r="K2" s="127" t="s">
        <v>190</v>
      </c>
      <c r="L2" s="127"/>
      <c r="M2" s="127" t="s">
        <v>44</v>
      </c>
      <c r="N2" s="127"/>
      <c r="O2" s="23"/>
      <c r="P2" s="119" t="s">
        <v>137</v>
      </c>
      <c r="Q2" s="119"/>
      <c r="R2" s="119" t="s">
        <v>138</v>
      </c>
      <c r="S2" s="119"/>
      <c r="T2" s="119" t="s">
        <v>139</v>
      </c>
      <c r="U2" s="119"/>
      <c r="V2" s="119" t="s">
        <v>135</v>
      </c>
      <c r="W2" s="119"/>
      <c r="Z2" t="s">
        <v>45</v>
      </c>
      <c r="AA2" t="s">
        <v>46</v>
      </c>
      <c r="AB2" t="s">
        <v>48</v>
      </c>
      <c r="AC2" t="s">
        <v>82</v>
      </c>
      <c r="AD2" t="s">
        <v>83</v>
      </c>
    </row>
    <row r="3" spans="1:31" x14ac:dyDescent="0.2">
      <c r="A3" s="9" t="s">
        <v>4</v>
      </c>
      <c r="B3" s="49">
        <v>200</v>
      </c>
      <c r="C3" s="43">
        <v>5</v>
      </c>
      <c r="D3" s="44" t="e">
        <f ca="1">_xll.RiskPoisson(C3)</f>
        <v>#NAME?</v>
      </c>
      <c r="F3" s="13"/>
      <c r="G3" s="34">
        <v>1</v>
      </c>
      <c r="H3" s="35">
        <v>0.2</v>
      </c>
      <c r="I3" s="34">
        <v>0</v>
      </c>
      <c r="J3" s="31">
        <v>30</v>
      </c>
      <c r="K3" s="34">
        <v>0</v>
      </c>
      <c r="L3" s="31">
        <v>25</v>
      </c>
      <c r="M3" s="34">
        <v>0</v>
      </c>
      <c r="N3" s="80">
        <v>25</v>
      </c>
      <c r="O3" s="24"/>
      <c r="P3" s="34">
        <v>0</v>
      </c>
      <c r="Q3" s="31">
        <v>20</v>
      </c>
      <c r="R3" s="34">
        <v>0</v>
      </c>
      <c r="S3" s="31">
        <v>40</v>
      </c>
      <c r="T3" s="34">
        <v>0</v>
      </c>
      <c r="U3" s="31">
        <v>40</v>
      </c>
      <c r="V3" s="34">
        <v>1</v>
      </c>
      <c r="W3" s="35">
        <v>0</v>
      </c>
      <c r="Y3" s="22" t="str">
        <f>G2</f>
        <v>OAP HDHPQ</v>
      </c>
      <c r="Z3" s="10">
        <v>1</v>
      </c>
      <c r="AA3" t="s">
        <v>86</v>
      </c>
      <c r="AB3" t="s">
        <v>49</v>
      </c>
      <c r="AC3" s="1">
        <v>5120</v>
      </c>
      <c r="AD3" t="s">
        <v>89</v>
      </c>
      <c r="AE3" t="s">
        <v>105</v>
      </c>
    </row>
    <row r="4" spans="1:31" x14ac:dyDescent="0.2">
      <c r="A4" s="9" t="s">
        <v>5</v>
      </c>
      <c r="B4" s="49">
        <v>400</v>
      </c>
      <c r="C4" s="43">
        <v>2</v>
      </c>
      <c r="D4" s="44" t="e">
        <f ca="1">_xll.RiskPoisson(C4)</f>
        <v>#NAME?</v>
      </c>
      <c r="F4" s="13"/>
      <c r="G4" s="34">
        <v>1</v>
      </c>
      <c r="H4" s="35">
        <v>0.2</v>
      </c>
      <c r="I4" s="34">
        <v>0</v>
      </c>
      <c r="J4" s="31">
        <v>60</v>
      </c>
      <c r="K4" s="34">
        <v>0</v>
      </c>
      <c r="L4" s="31">
        <v>50</v>
      </c>
      <c r="M4" s="34">
        <v>0</v>
      </c>
      <c r="N4" s="80">
        <v>50</v>
      </c>
      <c r="O4" s="24"/>
      <c r="P4" s="34">
        <v>0</v>
      </c>
      <c r="Q4" s="31">
        <v>30</v>
      </c>
      <c r="R4" s="34">
        <v>0</v>
      </c>
      <c r="S4" s="31">
        <v>60</v>
      </c>
      <c r="T4" s="34">
        <v>0</v>
      </c>
      <c r="U4" s="31">
        <v>60</v>
      </c>
      <c r="V4" s="34">
        <v>1</v>
      </c>
      <c r="W4" s="35">
        <v>0</v>
      </c>
      <c r="Y4" s="1" t="str">
        <f>I2</f>
        <v>OAP Low 5500</v>
      </c>
      <c r="Z4" s="10">
        <v>1</v>
      </c>
      <c r="AA4" t="s">
        <v>53</v>
      </c>
      <c r="AB4" t="s">
        <v>49</v>
      </c>
      <c r="AE4" t="s">
        <v>106</v>
      </c>
    </row>
    <row r="5" spans="1:31" x14ac:dyDescent="0.2">
      <c r="A5" s="9" t="s">
        <v>15</v>
      </c>
      <c r="B5" s="42">
        <v>235</v>
      </c>
      <c r="C5" s="43"/>
      <c r="D5" s="104">
        <v>0</v>
      </c>
      <c r="F5" s="13"/>
      <c r="G5" s="34">
        <v>1</v>
      </c>
      <c r="H5" s="35">
        <v>0.4</v>
      </c>
      <c r="I5" s="34">
        <v>1</v>
      </c>
      <c r="J5" s="35">
        <v>0.5</v>
      </c>
      <c r="K5" s="34">
        <v>1</v>
      </c>
      <c r="L5" s="35">
        <v>0.5</v>
      </c>
      <c r="M5" s="34">
        <v>1</v>
      </c>
      <c r="N5" s="35">
        <v>0.5</v>
      </c>
      <c r="O5" s="24"/>
      <c r="P5" s="34">
        <v>1</v>
      </c>
      <c r="Q5" s="35">
        <v>0.5</v>
      </c>
      <c r="R5" s="34">
        <v>1</v>
      </c>
      <c r="S5" s="35">
        <v>0.5</v>
      </c>
      <c r="T5" s="34">
        <v>1</v>
      </c>
      <c r="U5" s="35">
        <v>0.5</v>
      </c>
      <c r="V5" s="34">
        <v>1</v>
      </c>
      <c r="W5" s="35">
        <v>0.5</v>
      </c>
      <c r="Y5" s="1" t="str">
        <f>K2</f>
        <v>OAP MID (2000)</v>
      </c>
      <c r="Z5" s="10">
        <v>1</v>
      </c>
      <c r="AA5" t="s">
        <v>47</v>
      </c>
      <c r="AB5" t="s">
        <v>49</v>
      </c>
      <c r="AE5" t="s">
        <v>107</v>
      </c>
    </row>
    <row r="6" spans="1:31" x14ac:dyDescent="0.2">
      <c r="A6" s="9" t="s">
        <v>6</v>
      </c>
      <c r="B6" s="42">
        <v>120</v>
      </c>
      <c r="C6" s="43">
        <v>3</v>
      </c>
      <c r="D6" s="44" t="e">
        <f ca="1">_xll.RiskPoisson(C6)</f>
        <v>#NAME?</v>
      </c>
      <c r="F6" s="13"/>
      <c r="G6" s="34">
        <v>1</v>
      </c>
      <c r="H6" s="35">
        <v>0.2</v>
      </c>
      <c r="I6" s="34">
        <v>0</v>
      </c>
      <c r="J6" s="31">
        <v>60</v>
      </c>
      <c r="K6" s="34">
        <v>0</v>
      </c>
      <c r="L6" s="80">
        <v>50</v>
      </c>
      <c r="M6" s="34">
        <v>0</v>
      </c>
      <c r="N6" s="80">
        <v>50</v>
      </c>
      <c r="O6" s="24"/>
      <c r="P6" s="34">
        <v>0</v>
      </c>
      <c r="Q6" s="31">
        <v>30</v>
      </c>
      <c r="R6" s="34">
        <v>0</v>
      </c>
      <c r="S6" s="31">
        <v>60</v>
      </c>
      <c r="T6" s="34">
        <v>0</v>
      </c>
      <c r="U6" s="31">
        <v>60</v>
      </c>
      <c r="V6" s="34">
        <v>1</v>
      </c>
      <c r="W6" s="35">
        <v>0</v>
      </c>
      <c r="Y6" s="1" t="str">
        <f>M2</f>
        <v>OAP 500</v>
      </c>
      <c r="Z6" s="10">
        <v>1</v>
      </c>
      <c r="AA6" t="s">
        <v>47</v>
      </c>
      <c r="AB6" t="s">
        <v>49</v>
      </c>
      <c r="AE6" t="s">
        <v>108</v>
      </c>
    </row>
    <row r="7" spans="1:31" x14ac:dyDescent="0.2">
      <c r="A7" s="9" t="s">
        <v>7</v>
      </c>
      <c r="B7" s="42">
        <v>20</v>
      </c>
      <c r="C7" s="43">
        <v>2</v>
      </c>
      <c r="D7" s="44" t="e">
        <f ca="1">_xll.RiskPoisson(C7)</f>
        <v>#NAME?</v>
      </c>
      <c r="F7" s="13"/>
      <c r="G7" s="34">
        <v>1</v>
      </c>
      <c r="H7" s="35">
        <v>0.2</v>
      </c>
      <c r="I7" s="34">
        <v>0</v>
      </c>
      <c r="J7" s="80">
        <v>15</v>
      </c>
      <c r="K7" s="34">
        <v>0</v>
      </c>
      <c r="L7" s="80">
        <v>15</v>
      </c>
      <c r="M7" s="34">
        <v>0</v>
      </c>
      <c r="N7" s="80">
        <v>15</v>
      </c>
      <c r="O7" s="24"/>
      <c r="P7" s="34">
        <v>0</v>
      </c>
      <c r="Q7" s="31">
        <v>8</v>
      </c>
      <c r="R7" s="34">
        <v>0</v>
      </c>
      <c r="S7" s="31">
        <v>10</v>
      </c>
      <c r="T7" s="34">
        <v>0</v>
      </c>
      <c r="U7" s="31">
        <v>25</v>
      </c>
      <c r="V7" s="34">
        <v>1</v>
      </c>
      <c r="W7" s="35">
        <v>0</v>
      </c>
      <c r="Y7" s="22" t="s">
        <v>136</v>
      </c>
      <c r="Z7" s="10"/>
      <c r="AB7" t="s">
        <v>49</v>
      </c>
      <c r="AC7" s="1"/>
    </row>
    <row r="8" spans="1:31" x14ac:dyDescent="0.2">
      <c r="A8" s="9" t="s">
        <v>8</v>
      </c>
      <c r="B8" s="42">
        <v>100</v>
      </c>
      <c r="C8" s="43">
        <v>1</v>
      </c>
      <c r="D8" s="44" t="e">
        <f ca="1">_xll.RiskPoisson(C8)</f>
        <v>#NAME?</v>
      </c>
      <c r="F8" s="13"/>
      <c r="G8" s="34">
        <v>1</v>
      </c>
      <c r="H8" s="35">
        <v>0.2</v>
      </c>
      <c r="I8" s="34">
        <v>0</v>
      </c>
      <c r="J8" s="80">
        <v>45</v>
      </c>
      <c r="K8" s="34">
        <v>0</v>
      </c>
      <c r="L8" s="80">
        <v>45</v>
      </c>
      <c r="M8" s="34">
        <v>0</v>
      </c>
      <c r="N8" s="80">
        <v>45</v>
      </c>
      <c r="O8" s="24"/>
      <c r="P8" s="34">
        <v>0</v>
      </c>
      <c r="Q8" s="31">
        <v>30</v>
      </c>
      <c r="R8" s="34">
        <v>0</v>
      </c>
      <c r="S8" s="31">
        <v>50</v>
      </c>
      <c r="T8" s="34">
        <v>0</v>
      </c>
      <c r="U8" s="31">
        <v>60</v>
      </c>
      <c r="V8" s="34">
        <v>1</v>
      </c>
      <c r="W8" s="35">
        <v>0</v>
      </c>
      <c r="Y8" s="1"/>
      <c r="Z8" s="10"/>
      <c r="AC8" s="1"/>
    </row>
    <row r="9" spans="1:31" x14ac:dyDescent="0.2">
      <c r="A9" s="9" t="s">
        <v>9</v>
      </c>
      <c r="B9" s="42">
        <v>250</v>
      </c>
      <c r="C9" s="43">
        <v>0</v>
      </c>
      <c r="D9" s="44" t="e">
        <f ca="1">_xll.RiskPoisson(C9)</f>
        <v>#NAME?</v>
      </c>
      <c r="F9" s="13"/>
      <c r="G9" s="34">
        <v>1</v>
      </c>
      <c r="H9" s="35">
        <v>0.2</v>
      </c>
      <c r="I9" s="34">
        <v>0</v>
      </c>
      <c r="J9" s="80">
        <v>75</v>
      </c>
      <c r="K9" s="34">
        <v>0</v>
      </c>
      <c r="L9" s="80">
        <v>75</v>
      </c>
      <c r="M9" s="34">
        <v>0</v>
      </c>
      <c r="N9" s="80">
        <v>75</v>
      </c>
      <c r="O9" s="24"/>
      <c r="P9" s="34">
        <v>0</v>
      </c>
      <c r="Q9" s="35">
        <v>0.5</v>
      </c>
      <c r="R9" s="34">
        <v>0</v>
      </c>
      <c r="S9" s="35">
        <v>0.5</v>
      </c>
      <c r="T9" s="34">
        <v>0</v>
      </c>
      <c r="U9" s="35">
        <v>0.5</v>
      </c>
      <c r="V9" s="34">
        <v>1</v>
      </c>
      <c r="W9" s="35">
        <v>0</v>
      </c>
      <c r="Y9" s="22"/>
      <c r="Z9" s="10"/>
      <c r="AC9" s="1"/>
    </row>
    <row r="10" spans="1:31" x14ac:dyDescent="0.2">
      <c r="A10" s="9" t="s">
        <v>10</v>
      </c>
      <c r="B10" s="42">
        <v>300</v>
      </c>
      <c r="C10" s="43">
        <v>1</v>
      </c>
      <c r="D10" s="44" t="e">
        <f ca="1">_xll.RiskPoisson(C10)</f>
        <v>#NAME?</v>
      </c>
      <c r="F10" s="13"/>
      <c r="G10" s="34">
        <v>1</v>
      </c>
      <c r="H10" s="35">
        <v>0.2</v>
      </c>
      <c r="I10" s="34">
        <v>0</v>
      </c>
      <c r="J10" s="31">
        <v>60</v>
      </c>
      <c r="K10" s="34">
        <v>0</v>
      </c>
      <c r="L10" s="31">
        <v>50</v>
      </c>
      <c r="M10" s="34">
        <v>0</v>
      </c>
      <c r="N10" s="80">
        <v>50</v>
      </c>
      <c r="O10" s="24"/>
      <c r="P10" s="34">
        <v>0</v>
      </c>
      <c r="Q10" s="31">
        <v>30</v>
      </c>
      <c r="R10" s="34">
        <v>0</v>
      </c>
      <c r="S10" s="31">
        <v>60</v>
      </c>
      <c r="T10" s="34">
        <v>0</v>
      </c>
      <c r="U10" s="31">
        <v>60</v>
      </c>
      <c r="V10" s="34">
        <v>1</v>
      </c>
      <c r="W10" s="35">
        <v>0</v>
      </c>
      <c r="Y10" s="22"/>
      <c r="Z10" s="10"/>
      <c r="AC10" s="1"/>
      <c r="AD10" s="36"/>
      <c r="AE10" s="36"/>
    </row>
    <row r="11" spans="1:31" x14ac:dyDescent="0.2">
      <c r="A11" s="9" t="s">
        <v>11</v>
      </c>
      <c r="B11" s="42">
        <v>3500</v>
      </c>
      <c r="C11" s="43">
        <v>1</v>
      </c>
      <c r="D11" s="44" t="e">
        <f ca="1">_xll.RiskPoisson(C11)</f>
        <v>#NAME?</v>
      </c>
      <c r="F11" s="13"/>
      <c r="G11" s="34">
        <v>1</v>
      </c>
      <c r="H11" s="35">
        <v>0.2</v>
      </c>
      <c r="I11" s="34">
        <v>0</v>
      </c>
      <c r="J11" s="31">
        <v>300</v>
      </c>
      <c r="K11" s="34">
        <v>0</v>
      </c>
      <c r="L11" s="31">
        <v>300</v>
      </c>
      <c r="M11" s="34">
        <v>0</v>
      </c>
      <c r="N11" s="80">
        <v>250</v>
      </c>
      <c r="O11" s="24"/>
      <c r="P11" s="34">
        <v>0</v>
      </c>
      <c r="Q11" s="31">
        <v>250</v>
      </c>
      <c r="R11" s="34">
        <v>0</v>
      </c>
      <c r="S11" s="31">
        <v>300</v>
      </c>
      <c r="T11" s="34">
        <v>0</v>
      </c>
      <c r="U11" s="31">
        <v>400</v>
      </c>
      <c r="V11" s="34">
        <v>1</v>
      </c>
      <c r="W11" s="35">
        <v>0</v>
      </c>
      <c r="Y11" s="1"/>
      <c r="Z11" s="10"/>
      <c r="AC11" s="1"/>
    </row>
    <row r="12" spans="1:31" x14ac:dyDescent="0.2">
      <c r="A12" s="9" t="s">
        <v>12</v>
      </c>
      <c r="B12" s="42">
        <v>200</v>
      </c>
      <c r="C12" s="43">
        <v>2</v>
      </c>
      <c r="D12" s="44" t="e">
        <f ca="1">_xll.RiskPoisson(C12)</f>
        <v>#NAME?</v>
      </c>
      <c r="F12" s="13"/>
      <c r="G12" s="34">
        <v>1</v>
      </c>
      <c r="H12" s="35">
        <v>0.2</v>
      </c>
      <c r="I12" s="34">
        <v>1</v>
      </c>
      <c r="J12" s="35">
        <v>0.3</v>
      </c>
      <c r="K12" s="34">
        <v>1</v>
      </c>
      <c r="L12" s="35">
        <v>0.2</v>
      </c>
      <c r="M12" s="34">
        <v>1</v>
      </c>
      <c r="N12" s="35">
        <v>0.2</v>
      </c>
      <c r="O12" s="24"/>
      <c r="P12" s="34">
        <v>1</v>
      </c>
      <c r="Q12" s="35">
        <v>0.1</v>
      </c>
      <c r="R12" s="34">
        <v>1</v>
      </c>
      <c r="S12" s="35">
        <v>0.2</v>
      </c>
      <c r="T12" s="34">
        <v>1</v>
      </c>
      <c r="U12" s="82">
        <v>0.35</v>
      </c>
      <c r="V12" s="34">
        <v>1</v>
      </c>
      <c r="W12" s="35">
        <v>0</v>
      </c>
    </row>
    <row r="13" spans="1:31" x14ac:dyDescent="0.2">
      <c r="A13" s="9" t="s">
        <v>43</v>
      </c>
      <c r="B13" s="42">
        <v>25000</v>
      </c>
      <c r="C13" s="43"/>
      <c r="D13" s="104">
        <v>0</v>
      </c>
      <c r="F13" s="13"/>
      <c r="G13" s="34">
        <v>1</v>
      </c>
      <c r="H13" s="35">
        <v>0.2</v>
      </c>
      <c r="I13" s="34">
        <v>1</v>
      </c>
      <c r="J13" s="35">
        <v>0.3</v>
      </c>
      <c r="K13" s="34">
        <v>1</v>
      </c>
      <c r="L13" s="35">
        <v>0.2</v>
      </c>
      <c r="M13" s="34">
        <v>1</v>
      </c>
      <c r="N13" s="35">
        <v>0.2</v>
      </c>
      <c r="O13" s="24"/>
      <c r="P13" s="34">
        <v>1</v>
      </c>
      <c r="Q13" s="35">
        <v>0.1</v>
      </c>
      <c r="R13" s="34">
        <v>1</v>
      </c>
      <c r="S13" s="35">
        <v>0.2</v>
      </c>
      <c r="T13" s="34">
        <v>1</v>
      </c>
      <c r="U13" s="35">
        <v>0.35</v>
      </c>
      <c r="V13" s="34">
        <v>1</v>
      </c>
      <c r="W13" s="35">
        <v>0</v>
      </c>
    </row>
    <row r="14" spans="1:31" x14ac:dyDescent="0.2">
      <c r="A14" s="9" t="s">
        <v>13</v>
      </c>
      <c r="B14" s="42">
        <v>50000</v>
      </c>
      <c r="C14" s="47">
        <v>3.0000000000000001E-3</v>
      </c>
      <c r="D14" s="44" t="e">
        <f ca="1">_xll.RiskBernoulli(C14)</f>
        <v>#NAME?</v>
      </c>
      <c r="F14" s="13"/>
      <c r="G14" s="34">
        <v>1</v>
      </c>
      <c r="H14" s="35">
        <v>0.2</v>
      </c>
      <c r="I14" s="34">
        <v>1</v>
      </c>
      <c r="J14" s="35">
        <v>0.3</v>
      </c>
      <c r="K14" s="34">
        <v>1</v>
      </c>
      <c r="L14" s="35">
        <v>0.2</v>
      </c>
      <c r="M14" s="34">
        <v>1</v>
      </c>
      <c r="N14" s="35">
        <v>0.2</v>
      </c>
      <c r="O14" s="24"/>
      <c r="P14" s="34">
        <v>1</v>
      </c>
      <c r="Q14" s="35">
        <v>0.1</v>
      </c>
      <c r="R14" s="34">
        <v>1</v>
      </c>
      <c r="S14" s="35">
        <v>0.2</v>
      </c>
      <c r="T14" s="34">
        <v>1</v>
      </c>
      <c r="U14" s="35">
        <v>0.35</v>
      </c>
      <c r="V14" s="34">
        <v>1</v>
      </c>
      <c r="W14" s="35">
        <v>0</v>
      </c>
    </row>
    <row r="15" spans="1:31" x14ac:dyDescent="0.2">
      <c r="A15" s="11" t="s">
        <v>14</v>
      </c>
      <c r="B15" s="48">
        <v>15000</v>
      </c>
      <c r="C15" s="21">
        <v>0.03</v>
      </c>
      <c r="D15" s="45" t="e">
        <f ca="1">_xll.RiskOutput("Surgery, Poisson Distro")+_xll.RiskPoisson(C15)</f>
        <v>#NAME?</v>
      </c>
      <c r="F15" s="13"/>
      <c r="G15" s="34">
        <v>1</v>
      </c>
      <c r="H15" s="35">
        <v>0.2</v>
      </c>
      <c r="I15" s="34">
        <v>1</v>
      </c>
      <c r="J15" s="35">
        <v>0.3</v>
      </c>
      <c r="K15" s="34">
        <v>1</v>
      </c>
      <c r="L15" s="35">
        <v>0.2</v>
      </c>
      <c r="M15" s="34">
        <v>1</v>
      </c>
      <c r="N15" s="35">
        <v>0.2</v>
      </c>
      <c r="O15" s="24"/>
      <c r="P15" s="34">
        <v>1</v>
      </c>
      <c r="Q15" s="35">
        <v>0.05</v>
      </c>
      <c r="R15" s="34">
        <v>1</v>
      </c>
      <c r="S15" s="35">
        <v>0.1</v>
      </c>
      <c r="T15" s="34">
        <v>1</v>
      </c>
      <c r="U15" s="35">
        <v>0.25</v>
      </c>
      <c r="V15" s="34">
        <v>1</v>
      </c>
      <c r="W15" s="35">
        <v>0</v>
      </c>
    </row>
    <row r="16" spans="1:31" x14ac:dyDescent="0.2">
      <c r="F16" s="13"/>
      <c r="G16" s="23"/>
      <c r="H16" s="23"/>
      <c r="I16" s="23"/>
      <c r="J16" s="23"/>
      <c r="K16" s="23"/>
      <c r="M16" s="23"/>
      <c r="N16" s="23"/>
      <c r="O16" s="23"/>
      <c r="P16" s="23"/>
      <c r="Q16" s="23"/>
      <c r="R16" s="67"/>
      <c r="S16" s="67"/>
      <c r="T16" s="23"/>
      <c r="U16" s="23"/>
      <c r="V16" s="23"/>
      <c r="W16" s="23"/>
    </row>
    <row r="17" spans="1:25" x14ac:dyDescent="0.2">
      <c r="A17" t="str">
        <f>F17</f>
        <v>Premium (Annual)</v>
      </c>
      <c r="F17" s="13" t="s">
        <v>21</v>
      </c>
      <c r="G17" s="23"/>
      <c r="H17" s="31">
        <f>273*12</f>
        <v>3276</v>
      </c>
      <c r="I17" s="23"/>
      <c r="J17" s="32">
        <f>333*12</f>
        <v>3996</v>
      </c>
      <c r="K17" s="23"/>
      <c r="L17" s="32">
        <f>488*12</f>
        <v>5856</v>
      </c>
      <c r="M17" s="23"/>
      <c r="N17" s="32">
        <f>776*12</f>
        <v>9312</v>
      </c>
      <c r="O17" s="23"/>
      <c r="P17" s="23"/>
      <c r="Q17" s="32">
        <f>(1718.3-602.91)*0.7*12*1.1</f>
        <v>10306.203599999999</v>
      </c>
      <c r="R17" s="67"/>
      <c r="S17" s="32">
        <f>(1452.65-509.7)*0.7*12*1.1</f>
        <v>8712.8580000000002</v>
      </c>
      <c r="T17" s="23"/>
      <c r="U17" s="32">
        <f>(1122.96-394.02)*0.7*12*1.1</f>
        <v>6735.4056</v>
      </c>
      <c r="V17" s="23"/>
      <c r="W17" s="32">
        <f>(1154-404.91)*0.7*12*1.1</f>
        <v>6921.5916000000007</v>
      </c>
    </row>
    <row r="18" spans="1:25" x14ac:dyDescent="0.2">
      <c r="A18" s="13" t="s">
        <v>54</v>
      </c>
      <c r="F18" s="13" t="s">
        <v>54</v>
      </c>
      <c r="G18" s="23"/>
      <c r="H18" s="31">
        <f>(1-$E$2)*H17</f>
        <v>2129.4</v>
      </c>
      <c r="I18" s="23"/>
      <c r="J18" s="31">
        <f>(1-$E$2)*J17</f>
        <v>2597.4</v>
      </c>
      <c r="K18" s="23"/>
      <c r="L18" s="31">
        <f>(1-$E$2)*L17</f>
        <v>3806.4</v>
      </c>
      <c r="M18" s="23"/>
      <c r="N18" s="31">
        <f>(1-$E$2)*N17</f>
        <v>6052.8</v>
      </c>
      <c r="O18" s="23"/>
      <c r="P18" s="23"/>
      <c r="Q18" s="31">
        <f>(1-$E$2)*Q17</f>
        <v>6699.0323399999997</v>
      </c>
      <c r="R18" s="67"/>
      <c r="S18" s="31">
        <f>(1-$E$2)*S17</f>
        <v>5663.3577000000005</v>
      </c>
      <c r="T18" s="23"/>
      <c r="U18" s="31">
        <f>(1-$E$2)*U17</f>
        <v>4378.0136400000001</v>
      </c>
      <c r="V18" s="23"/>
      <c r="W18" s="31">
        <f>(1-$E$2)*W17</f>
        <v>4499.0345400000006</v>
      </c>
      <c r="X18" s="31"/>
      <c r="Y18" s="31"/>
    </row>
    <row r="19" spans="1:25" x14ac:dyDescent="0.2">
      <c r="A19" t="str">
        <f t="shared" ref="A19:A20" si="0">F19</f>
        <v>Deductible Individual</v>
      </c>
      <c r="F19" s="13" t="s">
        <v>191</v>
      </c>
      <c r="G19" s="23"/>
      <c r="H19" s="32">
        <v>3200</v>
      </c>
      <c r="I19" s="23"/>
      <c r="J19" s="32">
        <v>5500</v>
      </c>
      <c r="K19" s="23"/>
      <c r="L19" s="32">
        <v>2000</v>
      </c>
      <c r="M19" s="23"/>
      <c r="N19" s="32">
        <v>500</v>
      </c>
      <c r="O19" s="23"/>
      <c r="P19" s="23"/>
      <c r="Q19" s="32">
        <v>500</v>
      </c>
      <c r="R19" s="67"/>
      <c r="S19" s="32">
        <v>1250</v>
      </c>
      <c r="T19" s="23"/>
      <c r="U19" s="32">
        <v>3750</v>
      </c>
      <c r="V19" s="23"/>
      <c r="W19" s="32">
        <v>4850</v>
      </c>
      <c r="X19" s="32"/>
      <c r="Y19" s="32"/>
    </row>
    <row r="20" spans="1:25" x14ac:dyDescent="0.2">
      <c r="A20" t="str">
        <f t="shared" si="0"/>
        <v>Max OOP</v>
      </c>
      <c r="F20" s="13" t="s">
        <v>23</v>
      </c>
      <c r="G20" s="23"/>
      <c r="H20" s="32">
        <v>6000</v>
      </c>
      <c r="I20" s="23"/>
      <c r="J20" s="32">
        <v>7000</v>
      </c>
      <c r="K20" s="23"/>
      <c r="L20" s="32">
        <v>6000</v>
      </c>
      <c r="M20" s="23"/>
      <c r="N20" s="32">
        <v>1500</v>
      </c>
      <c r="O20" s="23"/>
      <c r="P20" s="23"/>
      <c r="Q20" s="32">
        <v>3000</v>
      </c>
      <c r="R20" s="67"/>
      <c r="S20" s="32">
        <v>8550</v>
      </c>
      <c r="T20" s="23"/>
      <c r="U20" s="32">
        <v>8550</v>
      </c>
      <c r="V20" s="23"/>
      <c r="W20" s="32">
        <v>8550</v>
      </c>
      <c r="X20" s="32"/>
      <c r="Y20" s="32"/>
    </row>
    <row r="21" spans="1:25" x14ac:dyDescent="0.2">
      <c r="F21" s="13"/>
      <c r="G21" s="23"/>
      <c r="H21" s="23"/>
      <c r="I21" s="23"/>
      <c r="J21" s="23"/>
      <c r="K21" s="23"/>
      <c r="M21" s="23"/>
      <c r="N21" s="23"/>
      <c r="O21" s="23"/>
      <c r="P21" s="23"/>
      <c r="Q21" s="23"/>
      <c r="R21" s="67"/>
      <c r="S21" s="67"/>
      <c r="T21" s="23"/>
      <c r="U21" s="23"/>
      <c r="V21" s="23"/>
      <c r="W21" s="23"/>
      <c r="X21" s="23"/>
      <c r="Y21" s="23"/>
    </row>
    <row r="22" spans="1:25" x14ac:dyDescent="0.2">
      <c r="A22" s="2" t="s">
        <v>38</v>
      </c>
      <c r="B22" s="3" t="s">
        <v>39</v>
      </c>
      <c r="C22" s="3" t="s">
        <v>40</v>
      </c>
      <c r="D22" s="4" t="s">
        <v>41</v>
      </c>
      <c r="F22" s="13" t="s">
        <v>25</v>
      </c>
      <c r="G22" s="23"/>
      <c r="H22" s="90">
        <v>0</v>
      </c>
      <c r="I22" s="36"/>
      <c r="J22" s="61" t="e">
        <f ca="1">SUMPRODUCT(J3:J4,$D3:$D4)+SUMPRODUCT(J6:J8,$D6:$D8)+SUMPRODUCT(J9:J11,$D$9:$D$11)</f>
        <v>#NAME?</v>
      </c>
      <c r="K22" s="88"/>
      <c r="L22" s="37" t="e">
        <f ca="1">SUMPRODUCT(L3:L4,$D3:$D4)+SUMPRODUCT(L6:L8,$D6:$D8)+SUMPRODUCT(L9:L11,$D$9:$D$11)</f>
        <v>#NAME?</v>
      </c>
      <c r="M22" s="23"/>
      <c r="N22" s="37" t="e">
        <f ca="1">SUMPRODUCT(N3:N4,$D3:$D4)+SUMPRODUCT(N6:N8,$D6:$D8)+SUMPRODUCT(N9:N11,$D$9:$D$11)</f>
        <v>#NAME?</v>
      </c>
      <c r="O22" s="23"/>
      <c r="P22" s="23"/>
      <c r="Q22" s="37" t="e">
        <f ca="1">SUMPRODUCT(Q3:Q4,$D3:$D4)+SUMPRODUCT(Q6:Q8,$D6:$D8)+SUMPRODUCT(Q10:Q11,$D$10:$D$11)+SUMPRODUCT(Q9,$D$9,$B$9)</f>
        <v>#NAME?</v>
      </c>
      <c r="R22" s="67"/>
      <c r="S22" s="61" t="e">
        <f ca="1">SUMPRODUCT(S3:S4,$D3:$D4)+SUMPRODUCT(S6:S8,$D6:$D8)+SUMPRODUCT(S10:S11,$D$10:$D$11)+SUMPRODUCT(S9,$D$9,$B$9)</f>
        <v>#NAME?</v>
      </c>
      <c r="T22" s="23"/>
      <c r="U22" s="61" t="e">
        <f ca="1">SUMPRODUCT(U3:U4,$D3:$D4)+SUMPRODUCT(U6:U8,$D6:$D8)+SUMPRODUCT(U10:U11,$D$10:$D$11)+SUMPRODUCT(U9,$D$9,$B$9)</f>
        <v>#NAME?</v>
      </c>
      <c r="V22" s="23"/>
      <c r="W22" s="37">
        <f>0</f>
        <v>0</v>
      </c>
      <c r="X22" s="37"/>
      <c r="Y22" s="37"/>
    </row>
    <row r="23" spans="1:25" x14ac:dyDescent="0.2">
      <c r="A23" s="5" t="str">
        <f>G2</f>
        <v>OAP HDHPQ</v>
      </c>
      <c r="B23" s="25">
        <f>B5*D5</f>
        <v>0</v>
      </c>
      <c r="C23" s="25">
        <f>IF(B23&gt;3000,3000+(B23-3000)*H5,B23)</f>
        <v>0</v>
      </c>
      <c r="D23" s="28">
        <f>C23+H17-MAX(7100-C23,0)*$E$2-H35</f>
        <v>791</v>
      </c>
      <c r="E23" s="6"/>
      <c r="F23" s="13" t="s">
        <v>24</v>
      </c>
      <c r="G23" s="23"/>
      <c r="H23" s="61" t="e">
        <f ca="1">SUMPRODUCT($B3:$B15,$D3:$D15,G3:G15)</f>
        <v>#NAME?</v>
      </c>
      <c r="I23" s="36"/>
      <c r="J23" s="61" t="e">
        <f ca="1">SUMPRODUCT($B3:$B15,$D3:$D15,I3:I15)</f>
        <v>#NAME?</v>
      </c>
      <c r="K23" s="89"/>
      <c r="L23" s="61" t="e">
        <f ca="1">SUMPRODUCT($B3:$B15,$D3:$D15,K3:K15)</f>
        <v>#NAME?</v>
      </c>
      <c r="M23" s="36"/>
      <c r="N23" s="61" t="e">
        <f ca="1">SUMPRODUCT($B3:$B15,$D3:$D15,M3:M15)</f>
        <v>#NAME?</v>
      </c>
      <c r="O23" s="23"/>
      <c r="P23" s="23"/>
      <c r="Q23" s="37" t="e">
        <f ca="1">SUMPRODUCT($B3:$B15,$D3:$D15,P3:P15)</f>
        <v>#NAME?</v>
      </c>
      <c r="R23" s="67"/>
      <c r="S23" s="61" t="e">
        <f ca="1">SUMPRODUCT($B3:$B15,$D3:$D15,R3:R15)</f>
        <v>#NAME?</v>
      </c>
      <c r="T23" s="23"/>
      <c r="U23" s="37" t="e">
        <f ca="1">SUMPRODUCT($B3:$B15,$D3:$D15,T3:T15)</f>
        <v>#NAME?</v>
      </c>
      <c r="V23" s="23"/>
      <c r="W23" s="37" t="e">
        <f ca="1">SUMPRODUCT($B3:$B15,$D3:$D15,V3:V15)</f>
        <v>#NAME?</v>
      </c>
      <c r="X23" s="37"/>
      <c r="Y23" s="37"/>
    </row>
    <row r="24" spans="1:25" x14ac:dyDescent="0.2">
      <c r="A24" s="5" t="str">
        <f>K2</f>
        <v>OAP MID (2000)</v>
      </c>
      <c r="B24" s="25"/>
      <c r="C24" s="25"/>
      <c r="D24" s="28"/>
      <c r="E24" s="6"/>
      <c r="F24" s="13" t="s">
        <v>26</v>
      </c>
      <c r="G24" s="23"/>
      <c r="H24" s="36" t="e">
        <f ca="1">H23&gt;H19</f>
        <v>#NAME?</v>
      </c>
      <c r="I24" s="36"/>
      <c r="J24" s="36" t="e">
        <f ca="1">J23&gt;J19</f>
        <v>#NAME?</v>
      </c>
      <c r="K24" s="36"/>
      <c r="L24" s="36" t="e">
        <f ca="1">L23&gt;L19</f>
        <v>#NAME?</v>
      </c>
      <c r="M24" s="36"/>
      <c r="N24" s="36" t="e">
        <f ca="1">N23&gt;N19</f>
        <v>#NAME?</v>
      </c>
      <c r="O24" s="23"/>
      <c r="P24" s="23"/>
      <c r="Q24" s="36" t="e">
        <f ca="1">Q23&gt;Q19</f>
        <v>#NAME?</v>
      </c>
      <c r="R24" s="67"/>
      <c r="S24" s="36" t="e">
        <f ca="1">S23&gt;S19</f>
        <v>#NAME?</v>
      </c>
      <c r="T24" s="23"/>
      <c r="U24" s="36" t="e">
        <f ca="1">U23&gt;U19</f>
        <v>#NAME?</v>
      </c>
      <c r="V24" s="23"/>
      <c r="W24" s="36" t="e">
        <f ca="1">W23&gt;W19</f>
        <v>#NAME?</v>
      </c>
      <c r="X24" s="36"/>
      <c r="Y24" s="36"/>
    </row>
    <row r="25" spans="1:25" x14ac:dyDescent="0.2">
      <c r="A25" s="7" t="str">
        <f>I2</f>
        <v>OAP Low 5500</v>
      </c>
      <c r="B25" s="25"/>
      <c r="C25" s="25"/>
      <c r="D25" s="28"/>
      <c r="E25" s="6"/>
      <c r="F25" s="13" t="s">
        <v>27</v>
      </c>
      <c r="G25" s="23"/>
      <c r="H25" s="39" t="e">
        <f ca="1">MAX(H23-H19,0)</f>
        <v>#NAME?</v>
      </c>
      <c r="I25" s="36"/>
      <c r="J25" s="39" t="e">
        <f ca="1">MAX(J23-J19,0)</f>
        <v>#NAME?</v>
      </c>
      <c r="K25" s="36"/>
      <c r="L25" s="39" t="e">
        <f ca="1">MAX(L23-L19,0)</f>
        <v>#NAME?</v>
      </c>
      <c r="M25" s="36"/>
      <c r="N25" s="39" t="e">
        <f ca="1">MAX(N23-N19,0)</f>
        <v>#NAME?</v>
      </c>
      <c r="O25" s="23"/>
      <c r="P25" s="23"/>
      <c r="Q25" s="39" t="e">
        <f ca="1">MAX(Q23-Q19,0)</f>
        <v>#NAME?</v>
      </c>
      <c r="R25" s="67"/>
      <c r="S25" s="39" t="e">
        <f ca="1">MAX(S23-S19,0)</f>
        <v>#NAME?</v>
      </c>
      <c r="T25" s="23"/>
      <c r="U25" s="39" t="e">
        <f ca="1">MAX(U23-U19,0)</f>
        <v>#NAME?</v>
      </c>
      <c r="V25" s="23"/>
      <c r="W25" s="39" t="e">
        <f ca="1">MAX(W23-W19,0)</f>
        <v>#NAME?</v>
      </c>
      <c r="X25" s="39"/>
      <c r="Y25" s="39"/>
    </row>
    <row r="26" spans="1:25" x14ac:dyDescent="0.2">
      <c r="A26" s="7" t="str">
        <f>M2</f>
        <v>OAP 500</v>
      </c>
      <c r="B26" s="25">
        <f>N5*D5</f>
        <v>0</v>
      </c>
      <c r="C26" s="25">
        <f>B26</f>
        <v>0</v>
      </c>
      <c r="D26" s="28">
        <f>C26+N17</f>
        <v>9312</v>
      </c>
      <c r="E26" s="6"/>
      <c r="F26" s="13" t="s">
        <v>28</v>
      </c>
      <c r="G26" s="23"/>
      <c r="H26" s="81" t="e">
        <f ca="1">SUMPRODUCT(D3:D15,H3:H15)/SUM(D3:D15)</f>
        <v>#NAME?</v>
      </c>
      <c r="I26" s="36"/>
      <c r="J26" s="81">
        <f ca="1">IFERROR((SUMPRODUCT($D12:$D15,J12:J15)+$D5*J5)/SUM($D12:$D15,$D5),0)</f>
        <v>0</v>
      </c>
      <c r="K26" s="36"/>
      <c r="L26" s="51">
        <f ca="1">IFERROR((SUMPRODUCT($D13:$D15,L13:L15)+$D5*L5)/SUM($D13:$D15,$D5),0)</f>
        <v>0</v>
      </c>
      <c r="M26" s="36"/>
      <c r="N26" s="51">
        <f ca="1">IFERROR((SUMPRODUCT($D12:$D15,N12:N15)+$D5*N5)/SUM($D12:$D15,$D5),0)</f>
        <v>0</v>
      </c>
      <c r="O26" s="23"/>
      <c r="P26" s="23"/>
      <c r="Q26" s="51">
        <f ca="1">IFERROR((SUMPRODUCT($D12:$D15,Q12:Q15)+$D5*Q5)/SUM($D12:$D15,$D5),0)</f>
        <v>0</v>
      </c>
      <c r="R26" s="67"/>
      <c r="S26" s="51">
        <f ca="1">IFERROR((SUMPRODUCT($D12:$D15,S12:S15)+$D5*S5)/SUM($D12:$D15,$D5),0)</f>
        <v>0</v>
      </c>
      <c r="T26" s="23"/>
      <c r="U26" s="51">
        <f ca="1">IFERROR((SUMPRODUCT($D12:$D15,U12:U15)+$D5*U5)/SUM($D12:$D15,$D5),0)</f>
        <v>0</v>
      </c>
      <c r="V26" s="23"/>
      <c r="W26" s="51">
        <f ca="1">IFERROR((SUMPRODUCT($D12:$D15,W12:W15)+$D5*W5)/SUM($D12:$D15,$D5),0)</f>
        <v>0</v>
      </c>
      <c r="X26" s="51"/>
      <c r="Y26" s="51"/>
    </row>
    <row r="27" spans="1:25" x14ac:dyDescent="0.2">
      <c r="A27" s="5" t="str">
        <f>P2</f>
        <v>Platinum</v>
      </c>
      <c r="B27" s="25">
        <f>B5*D5</f>
        <v>0</v>
      </c>
      <c r="C27" s="25">
        <f>IF(B27&gt;Q19,Q19+(B27-Q19)*Q5,B27)</f>
        <v>0</v>
      </c>
      <c r="D27" s="28">
        <f>C27+Q17-MAX(7100-C27,0)*$E$2</f>
        <v>7821.2035999999989</v>
      </c>
      <c r="E27" s="6"/>
      <c r="F27" s="13" t="s">
        <v>29</v>
      </c>
      <c r="G27" s="23"/>
      <c r="H27" s="39" t="e">
        <f ca="1">H26*H25</f>
        <v>#NAME?</v>
      </c>
      <c r="I27" s="36"/>
      <c r="J27" s="39" t="e">
        <f ca="1">J26*J25</f>
        <v>#NAME?</v>
      </c>
      <c r="K27" s="36"/>
      <c r="L27" s="39" t="e">
        <f ca="1">L26*L25</f>
        <v>#NAME?</v>
      </c>
      <c r="M27" s="36"/>
      <c r="N27" s="39" t="e">
        <f ca="1">N26*N25</f>
        <v>#NAME?</v>
      </c>
      <c r="O27" s="23"/>
      <c r="P27" s="23"/>
      <c r="Q27" s="39" t="e">
        <f ca="1">Q26*Q25</f>
        <v>#NAME?</v>
      </c>
      <c r="R27" s="67"/>
      <c r="S27" s="39" t="e">
        <f ca="1">S26*S25</f>
        <v>#NAME?</v>
      </c>
      <c r="T27" s="23"/>
      <c r="U27" s="39" t="e">
        <f ca="1">U26*U25</f>
        <v>#NAME?</v>
      </c>
      <c r="V27" s="23"/>
      <c r="W27" s="39" t="e">
        <f ca="1">W26*W25</f>
        <v>#NAME?</v>
      </c>
      <c r="X27" s="39"/>
      <c r="Y27" s="39"/>
    </row>
    <row r="28" spans="1:25" x14ac:dyDescent="0.2">
      <c r="A28" s="7" t="str">
        <f>V2</f>
        <v xml:space="preserve">HSA </v>
      </c>
      <c r="B28" s="25">
        <f>B5*D5</f>
        <v>0</v>
      </c>
      <c r="C28" s="25">
        <f>IF(B28&gt;W19,(B28-W19)/B5*W5+W19,B28)</f>
        <v>0</v>
      </c>
      <c r="D28" s="28">
        <f>C28+W17-MAX(7100-C28,0)*$E$2</f>
        <v>4436.5916000000007</v>
      </c>
      <c r="E28" s="6"/>
      <c r="F28" s="13" t="s">
        <v>30</v>
      </c>
      <c r="G28" s="23"/>
      <c r="H28" s="39" t="e">
        <f ca="1">H25-H27</f>
        <v>#NAME?</v>
      </c>
      <c r="I28" s="36"/>
      <c r="J28" s="39" t="e">
        <f ca="1">J25-J27</f>
        <v>#NAME?</v>
      </c>
      <c r="K28" s="36"/>
      <c r="L28" s="39" t="e">
        <f ca="1">L25-L27</f>
        <v>#NAME?</v>
      </c>
      <c r="M28" s="36"/>
      <c r="N28" s="39" t="e">
        <f ca="1">N25-N27</f>
        <v>#NAME?</v>
      </c>
      <c r="O28" s="23"/>
      <c r="P28" s="23"/>
      <c r="Q28" s="39" t="e">
        <f ca="1">Q25-Q27</f>
        <v>#NAME?</v>
      </c>
      <c r="R28" s="67"/>
      <c r="S28" s="39" t="e">
        <f ca="1">S25-S27</f>
        <v>#NAME?</v>
      </c>
      <c r="T28" s="23"/>
      <c r="U28" s="39" t="e">
        <f ca="1">U25-U27</f>
        <v>#NAME?</v>
      </c>
      <c r="V28" s="23"/>
      <c r="W28" s="39" t="e">
        <f ca="1">W25-W27</f>
        <v>#NAME?</v>
      </c>
      <c r="X28" s="39"/>
      <c r="Y28" s="39"/>
    </row>
    <row r="29" spans="1:25" x14ac:dyDescent="0.2">
      <c r="A29" s="8" t="e">
        <f>#REF!</f>
        <v>#REF!</v>
      </c>
      <c r="B29" s="29">
        <f>B5*D5</f>
        <v>0</v>
      </c>
      <c r="C29" s="29" t="e">
        <f>IF(B29&gt;#REF!,(B29-#REF!)/B5*#REF!+#REF!,B29)</f>
        <v>#REF!</v>
      </c>
      <c r="D29" s="30" t="e">
        <f>C29+#REF!-MAX(7100-C29,0)*$E$2</f>
        <v>#REF!</v>
      </c>
      <c r="F29" s="14" t="s">
        <v>31</v>
      </c>
      <c r="G29" s="23"/>
      <c r="H29" s="36" t="e">
        <f ca="1">IF(NOT(H24),0,H23-H27-H28-H19)+_xll.RiskOutput("Checksum 1")</f>
        <v>#NAME?</v>
      </c>
      <c r="I29" s="36"/>
      <c r="J29" s="36" t="e">
        <f ca="1">IF(NOT(J24),0,J23-J27-J28-J19)+_xll.RiskOutput("Checksum 2")</f>
        <v>#NAME?</v>
      </c>
      <c r="K29" s="36"/>
      <c r="L29" s="36" t="e">
        <f ca="1">IF(NOT(L24),0,L23-L27-L28-L19)+_xll.RiskOutput("Checksum 3")</f>
        <v>#NAME?</v>
      </c>
      <c r="M29" s="36"/>
      <c r="N29" s="36" t="e">
        <f ca="1">IF(NOT(N24),0,N23-N27-N28-N19)+_xll.RiskOutput("Checksum 3")</f>
        <v>#NAME?</v>
      </c>
      <c r="O29" s="23"/>
      <c r="P29" s="23"/>
      <c r="Q29" s="36" t="e">
        <f ca="1">IF(NOT(Q24),0,Q23-Q27-Q28-Q19)+_xll.RiskOutput("Checksum 3")</f>
        <v>#NAME?</v>
      </c>
      <c r="R29" s="67"/>
      <c r="S29" s="36" t="e">
        <f ca="1">IF(NOT(S24),0,S23-S27-S28-S19)+_xll.RiskOutput("Checksum 3")</f>
        <v>#NAME?</v>
      </c>
      <c r="T29" s="23"/>
      <c r="U29" s="36" t="e">
        <f ca="1">IF(NOT(U24),0,U23-U27-U28-U19)+_xll.RiskOutput("Checksum 3")</f>
        <v>#NAME?</v>
      </c>
      <c r="V29" s="23"/>
      <c r="W29" s="36" t="e">
        <f ca="1">IF(NOT(W24),0,W23-W27-W28-W19)+_xll.RiskOutput("Checksum 3")</f>
        <v>#NAME?</v>
      </c>
      <c r="X29" s="36"/>
      <c r="Y29" s="36"/>
    </row>
    <row r="30" spans="1:25" x14ac:dyDescent="0.2">
      <c r="A30" s="1"/>
      <c r="F30" s="1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67"/>
      <c r="S30" s="23"/>
      <c r="T30" s="23"/>
      <c r="U30" s="23"/>
      <c r="V30" s="23"/>
      <c r="W30" s="23"/>
      <c r="X30" s="23"/>
      <c r="Y30" s="23"/>
    </row>
    <row r="31" spans="1:25" x14ac:dyDescent="0.2">
      <c r="A31" s="2" t="s">
        <v>38</v>
      </c>
      <c r="B31" s="3" t="s">
        <v>39</v>
      </c>
      <c r="C31" s="3" t="s">
        <v>40</v>
      </c>
      <c r="D31" s="4" t="s">
        <v>41</v>
      </c>
      <c r="F31" s="13" t="s">
        <v>32</v>
      </c>
      <c r="G31" s="23"/>
      <c r="H31" s="39" t="e">
        <f ca="1">IF(H24,H19+H27,H23)+H22</f>
        <v>#NAME?</v>
      </c>
      <c r="I31" s="39"/>
      <c r="J31" s="39" t="e">
        <f ca="1">IF(J24,J19+J27,J23)+J22</f>
        <v>#NAME?</v>
      </c>
      <c r="K31" s="36"/>
      <c r="L31" s="39" t="e">
        <f ca="1">IF(L24,L19+L27,L23)+L22</f>
        <v>#NAME?</v>
      </c>
      <c r="M31" s="39"/>
      <c r="N31" s="39" t="e">
        <f ca="1">IF(N24,N19+N27,N23)+N22</f>
        <v>#NAME?</v>
      </c>
      <c r="O31" s="26"/>
      <c r="P31" s="26"/>
      <c r="Q31" s="39" t="e">
        <f ca="1">IF(Q24,Q19+Q27,Q23)+Q22</f>
        <v>#NAME?</v>
      </c>
      <c r="R31" s="71"/>
      <c r="S31" s="39" t="e">
        <f ca="1">IF(S24,S19+S27,S23)+S22</f>
        <v>#NAME?</v>
      </c>
      <c r="T31" s="26"/>
      <c r="U31" s="39" t="e">
        <f ca="1">IF(U24,U19+U27,U23)+U22</f>
        <v>#NAME?</v>
      </c>
      <c r="V31" s="26"/>
      <c r="W31" s="39" t="e">
        <f ca="1">IF(W24,W19+W27,W23)+W22</f>
        <v>#NAME?</v>
      </c>
      <c r="X31" s="39"/>
      <c r="Y31" s="39"/>
    </row>
    <row r="32" spans="1:25" x14ac:dyDescent="0.2">
      <c r="A32" s="5" t="str">
        <f>G2</f>
        <v>OAP HDHPQ</v>
      </c>
      <c r="B32" s="25">
        <f>B13*D13</f>
        <v>0</v>
      </c>
      <c r="C32" s="25">
        <f>IF(B32&gt;3000,3000+(B32-3000)*H13,B32)</f>
        <v>0</v>
      </c>
      <c r="D32" s="28" t="e">
        <f ca="1">C32+H26-MAX(7100-C32,0)*$E$2-H43</f>
        <v>#NAME?</v>
      </c>
      <c r="F32" s="13" t="s">
        <v>33</v>
      </c>
      <c r="G32" s="23"/>
      <c r="H32" s="36" t="e">
        <f ca="1">H31&gt;H20</f>
        <v>#NAME?</v>
      </c>
      <c r="I32" s="36"/>
      <c r="J32" s="36" t="e">
        <f ca="1">J31&gt;J20</f>
        <v>#NAME?</v>
      </c>
      <c r="K32" s="36"/>
      <c r="L32" s="36" t="e">
        <f ca="1">L31&gt;L20</f>
        <v>#NAME?</v>
      </c>
      <c r="M32" s="36"/>
      <c r="N32" s="36" t="e">
        <f ca="1">N31&gt;N20</f>
        <v>#NAME?</v>
      </c>
      <c r="O32" s="23"/>
      <c r="P32" s="23"/>
      <c r="Q32" s="36" t="e">
        <f ca="1">Q31&gt;Q20</f>
        <v>#NAME?</v>
      </c>
      <c r="R32" s="67"/>
      <c r="S32" s="36" t="e">
        <f ca="1">S31&gt;S20</f>
        <v>#NAME?</v>
      </c>
      <c r="T32" s="23"/>
      <c r="U32" s="36" t="e">
        <f ca="1">U31&gt;U20</f>
        <v>#NAME?</v>
      </c>
      <c r="V32" s="23"/>
      <c r="W32" s="36" t="e">
        <f ca="1">W31&gt;W20</f>
        <v>#NAME?</v>
      </c>
      <c r="X32" s="36"/>
      <c r="Y32" s="36"/>
    </row>
    <row r="33" spans="1:25" x14ac:dyDescent="0.2">
      <c r="A33" s="7"/>
      <c r="B33" s="25"/>
      <c r="C33" s="25"/>
      <c r="D33" s="28"/>
      <c r="F33" s="13" t="s">
        <v>34</v>
      </c>
      <c r="G33" s="23"/>
      <c r="H33" s="39" t="e">
        <f ca="1">IF(H32,H20,H31)</f>
        <v>#NAME?</v>
      </c>
      <c r="I33" s="39"/>
      <c r="J33" s="39" t="e">
        <f ca="1">IF(J32,J20,J31)</f>
        <v>#NAME?</v>
      </c>
      <c r="K33" s="36"/>
      <c r="L33" s="39" t="e">
        <f ca="1">IF(L32,L20,L31)</f>
        <v>#NAME?</v>
      </c>
      <c r="M33" s="39"/>
      <c r="N33" s="39" t="e">
        <f ca="1">IF(N32,N20,N31)</f>
        <v>#NAME?</v>
      </c>
      <c r="O33" s="26"/>
      <c r="P33" s="26"/>
      <c r="Q33" s="39" t="e">
        <f ca="1">IF(Q32,Q20,Q31)</f>
        <v>#NAME?</v>
      </c>
      <c r="R33" s="71"/>
      <c r="S33" s="39" t="e">
        <f ca="1">IF(S32,S20,S31)</f>
        <v>#NAME?</v>
      </c>
      <c r="T33" s="26"/>
      <c r="U33" s="39" t="e">
        <f ca="1">IF(U32,U20,U31)</f>
        <v>#NAME?</v>
      </c>
      <c r="V33" s="26"/>
      <c r="W33" s="39" t="e">
        <f ca="1">IF(W32,W20,W31)</f>
        <v>#NAME?</v>
      </c>
      <c r="X33" s="39"/>
      <c r="Y33" s="39"/>
    </row>
    <row r="34" spans="1:25" x14ac:dyDescent="0.2">
      <c r="A34" s="7"/>
      <c r="B34" s="25"/>
      <c r="C34" s="25"/>
      <c r="D34" s="28"/>
      <c r="F34" s="13" t="s">
        <v>35</v>
      </c>
      <c r="G34" s="36" t="s">
        <v>19</v>
      </c>
      <c r="H34" s="37">
        <f>IF(G34="Y",(8300)*$E$2,0)</f>
        <v>2905</v>
      </c>
      <c r="I34" s="61" t="s">
        <v>20</v>
      </c>
      <c r="J34" s="37">
        <f>IF(I34="Y",(8300)*$E$2,0)</f>
        <v>0</v>
      </c>
      <c r="K34" s="61" t="s">
        <v>20</v>
      </c>
      <c r="L34" s="37">
        <f>IF(K34="Y",(8300)*$E$2,0)</f>
        <v>0</v>
      </c>
      <c r="M34" s="61" t="s">
        <v>20</v>
      </c>
      <c r="N34" s="37">
        <f>IF(M34="Y",(8300)*$E$2,0)</f>
        <v>0</v>
      </c>
      <c r="O34" s="25"/>
      <c r="P34" s="37" t="s">
        <v>20</v>
      </c>
      <c r="Q34" s="37">
        <f>IF(P34="Y",(8300-Q35)*$E$2,0)</f>
        <v>0</v>
      </c>
      <c r="R34" s="61" t="s">
        <v>20</v>
      </c>
      <c r="S34" s="37">
        <f>IF(R34="Y",(8300)*$E$2,0)</f>
        <v>0</v>
      </c>
      <c r="T34" s="61" t="s">
        <v>20</v>
      </c>
      <c r="U34" s="37">
        <f>IF(T34="Y",(8300)*$E$2,0)</f>
        <v>0</v>
      </c>
      <c r="V34" s="37" t="s">
        <v>19</v>
      </c>
      <c r="W34" s="37">
        <f>IF(V34="Y",(8300)*$E$2,0)</f>
        <v>2905</v>
      </c>
      <c r="X34" s="37"/>
      <c r="Y34" s="37"/>
    </row>
    <row r="35" spans="1:25" x14ac:dyDescent="0.2">
      <c r="A35" s="5"/>
      <c r="B35" s="25"/>
      <c r="C35" s="25"/>
      <c r="D35" s="28"/>
      <c r="F35" s="13" t="s">
        <v>36</v>
      </c>
      <c r="G35" s="23"/>
      <c r="H35" s="61"/>
      <c r="I35" s="62"/>
      <c r="J35" s="62"/>
      <c r="K35" s="88"/>
      <c r="L35" s="62"/>
      <c r="M35" s="62"/>
      <c r="N35" s="62"/>
      <c r="O35" s="25"/>
      <c r="P35" s="25"/>
      <c r="Q35" s="61">
        <v>0</v>
      </c>
      <c r="R35" s="72"/>
      <c r="S35" s="61">
        <v>0</v>
      </c>
      <c r="T35" s="62"/>
      <c r="U35" s="61">
        <v>0</v>
      </c>
      <c r="V35" s="25"/>
      <c r="W35" s="37">
        <v>0</v>
      </c>
      <c r="X35" s="37"/>
      <c r="Y35" s="37"/>
    </row>
    <row r="36" spans="1:25" x14ac:dyDescent="0.2">
      <c r="A36" s="7"/>
      <c r="B36" s="25"/>
      <c r="C36" s="25"/>
      <c r="D36" s="28"/>
      <c r="F36" s="13" t="s">
        <v>84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39" t="e">
        <f ca="1">Q33+Q18-Q34-Q35</f>
        <v>#NAME?</v>
      </c>
      <c r="R36" s="67"/>
      <c r="S36" s="39" t="e">
        <f ca="1">S33+S18-S34-S35</f>
        <v>#NAME?</v>
      </c>
      <c r="T36" s="23"/>
      <c r="U36" s="39" t="e">
        <f ca="1">U33+U18-U34-U35</f>
        <v>#NAME?</v>
      </c>
      <c r="V36" s="23"/>
      <c r="W36" s="39" t="e">
        <f ca="1">W33+W18-W34-W35</f>
        <v>#NAME?</v>
      </c>
    </row>
    <row r="37" spans="1:25" ht="16" thickBot="1" x14ac:dyDescent="0.25">
      <c r="A37" s="8"/>
      <c r="B37" s="29"/>
      <c r="C37" s="29"/>
      <c r="D37" s="30"/>
      <c r="F37" s="15" t="s">
        <v>37</v>
      </c>
      <c r="G37" s="27"/>
      <c r="H37" s="40" t="e">
        <f ca="1">H33+H18-H34-H35+_xll.RiskOutput(G2)</f>
        <v>#NAME?</v>
      </c>
      <c r="I37" s="52"/>
      <c r="J37" s="40" t="e">
        <f ca="1">J33+J18-J34-J35+_xll.RiskOutput(I2)</f>
        <v>#NAME?</v>
      </c>
      <c r="K37" s="52"/>
      <c r="L37" s="40" t="e">
        <f ca="1">L33+L18-L34-L35+_xll.RiskOutput(K2)</f>
        <v>#NAME?</v>
      </c>
      <c r="M37" s="52"/>
      <c r="N37" s="40" t="e">
        <f ca="1">N33+N18-N34-N35+_xll.RiskOutput(M2)</f>
        <v>#NAME?</v>
      </c>
      <c r="O37" s="27"/>
      <c r="P37" s="27"/>
      <c r="Q37" s="40" t="e">
        <f ca="1">IF(P34="N",MAX(Q18,Q36),Q36)+_xll.RiskOutput(P2)</f>
        <v>#NAME?</v>
      </c>
      <c r="R37" s="73"/>
      <c r="S37" s="40" t="e">
        <f ca="1">IF(R34="N",MAX(S18,S36),S36)+_xll.RiskOutput(R2)</f>
        <v>#NAME?</v>
      </c>
      <c r="T37" s="27"/>
      <c r="U37" s="40" t="e">
        <f ca="1">IF(T34="N",MAX(U18,U36),U36)+_xll.RiskOutput(T2)</f>
        <v>#NAME?</v>
      </c>
      <c r="V37" s="27"/>
      <c r="W37" s="40" t="e">
        <f ca="1">IF(V34="N",MAX(W18,W36),W36)+_xll.RiskOutput(V2)</f>
        <v>#NAME?</v>
      </c>
    </row>
    <row r="38" spans="1:25" x14ac:dyDescent="0.2">
      <c r="H38" s="22" t="str">
        <f>G2</f>
        <v>OAP HDHPQ</v>
      </c>
      <c r="J38" s="22" t="str">
        <f>I2</f>
        <v>OAP Low 5500</v>
      </c>
      <c r="L38" s="22" t="str">
        <f>K2</f>
        <v>OAP MID (2000)</v>
      </c>
      <c r="N38" s="22" t="str">
        <f>M2</f>
        <v>OAP 500</v>
      </c>
      <c r="Q38" s="22" t="str">
        <f>P2</f>
        <v>Platinum</v>
      </c>
      <c r="S38" s="22" t="str">
        <f>R2</f>
        <v>Gold</v>
      </c>
      <c r="U38" s="22" t="str">
        <f>T2</f>
        <v>Silver</v>
      </c>
      <c r="W38" s="22" t="str">
        <f>V2</f>
        <v xml:space="preserve">HSA </v>
      </c>
    </row>
  </sheetData>
  <mergeCells count="11">
    <mergeCell ref="V2:W2"/>
    <mergeCell ref="A1:D1"/>
    <mergeCell ref="G1:N1"/>
    <mergeCell ref="P1:W1"/>
    <mergeCell ref="G2:H2"/>
    <mergeCell ref="I2:J2"/>
    <mergeCell ref="K2:L2"/>
    <mergeCell ref="M2:N2"/>
    <mergeCell ref="P2:Q2"/>
    <mergeCell ref="R2:S2"/>
    <mergeCell ref="T2:U2"/>
  </mergeCells>
  <conditionalFormatting sqref="D23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L37 H37 N37 W37 U37 S37 Q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errorStyle="warning" allowBlank="1" showErrorMessage="1" errorTitle="Invalid Data" sqref="T3:T15 G3:G15 M3:M15 K3:K15 V3:V15 P3:P15 R3:R15 I3:I15" xr:uid="{DFD1D7A9-4D2E-4FC2-84EF-43FC24BBB4F1}">
      <formula1>"0,1"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E06-1D21-4A9A-9E61-58326153B2B7}">
  <sheetPr>
    <outlinePr summaryBelow="0"/>
    <pageSetUpPr fitToPage="1"/>
  </sheetPr>
  <dimension ref="A1:O33"/>
  <sheetViews>
    <sheetView showGridLines="0" topLeftCell="A7" workbookViewId="0">
      <selection activeCell="C12" sqref="C12:D15"/>
    </sheetView>
  </sheetViews>
  <sheetFormatPr baseColWidth="10" defaultColWidth="8.83203125" defaultRowHeight="15" x14ac:dyDescent="0.2"/>
  <cols>
    <col min="1" max="1" width="10.33203125" customWidth="1"/>
    <col min="2" max="2" width="2.6640625" customWidth="1"/>
    <col min="3" max="3" width="0.6640625" customWidth="1"/>
    <col min="4" max="4" width="12.33203125" customWidth="1"/>
    <col min="5" max="5" width="6.6640625" customWidth="1"/>
    <col min="6" max="6" width="6.5" customWidth="1"/>
    <col min="7" max="10" width="13" customWidth="1"/>
    <col min="11" max="11" width="3.33203125" customWidth="1"/>
    <col min="12" max="12" width="0.1640625" customWidth="1"/>
    <col min="13" max="13" width="1.5" customWidth="1"/>
    <col min="14" max="14" width="8.33203125" customWidth="1"/>
    <col min="15" max="15" width="13" customWidth="1"/>
  </cols>
  <sheetData>
    <row r="1" spans="1:15" ht="17.25" customHeight="1" x14ac:dyDescent="0.2">
      <c r="D1" s="161" t="s">
        <v>160</v>
      </c>
      <c r="E1" s="161"/>
      <c r="F1" s="161"/>
      <c r="G1" s="161"/>
      <c r="H1" s="161"/>
      <c r="I1" s="161"/>
      <c r="J1" s="161"/>
      <c r="K1" s="161"/>
      <c r="L1" s="161"/>
      <c r="M1" s="161"/>
    </row>
    <row r="2" spans="1:15" ht="12.75" customHeight="1" x14ac:dyDescent="0.2">
      <c r="D2" s="158" t="s">
        <v>161</v>
      </c>
      <c r="E2" s="158"/>
      <c r="F2" s="159" t="s">
        <v>193</v>
      </c>
      <c r="G2" s="159"/>
      <c r="H2" s="159"/>
      <c r="I2" s="159"/>
      <c r="J2" s="159"/>
      <c r="K2" s="159"/>
      <c r="L2" s="160"/>
      <c r="M2" s="160"/>
    </row>
    <row r="3" spans="1:15" ht="12" customHeight="1" x14ac:dyDescent="0.2">
      <c r="D3" s="158" t="s">
        <v>163</v>
      </c>
      <c r="E3" s="158"/>
      <c r="F3" s="159" t="s">
        <v>164</v>
      </c>
      <c r="G3" s="159"/>
      <c r="H3" s="159"/>
      <c r="I3" s="159"/>
      <c r="J3" s="159"/>
      <c r="K3" s="159"/>
      <c r="L3" s="160"/>
      <c r="M3" s="160"/>
    </row>
    <row r="4" spans="1:15" ht="12" customHeight="1" x14ac:dyDescent="0.2">
      <c r="D4" s="158" t="s">
        <v>194</v>
      </c>
      <c r="E4" s="158"/>
      <c r="F4" s="159" t="s">
        <v>195</v>
      </c>
      <c r="G4" s="159"/>
      <c r="H4" s="159"/>
      <c r="I4" s="159"/>
      <c r="J4" s="159"/>
      <c r="K4" s="159"/>
      <c r="L4" s="160"/>
      <c r="M4" s="160"/>
    </row>
    <row r="5" spans="1:15" ht="4.5" customHeight="1" x14ac:dyDescent="0.2"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5" ht="7.5" customHeight="1" x14ac:dyDescent="0.2"/>
    <row r="7" spans="1:15" ht="288" customHeight="1" x14ac:dyDescent="0.2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</row>
    <row r="8" spans="1:15" ht="18" customHeight="1" x14ac:dyDescent="0.2"/>
    <row r="9" spans="1:15" ht="13.5" customHeight="1" x14ac:dyDescent="0.2">
      <c r="A9" s="155" t="s">
        <v>167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</row>
    <row r="10" spans="1:15" ht="23.25" customHeight="1" x14ac:dyDescent="0.2">
      <c r="A10" s="156" t="s">
        <v>168</v>
      </c>
      <c r="B10" s="156"/>
      <c r="C10" s="157" t="s">
        <v>50</v>
      </c>
      <c r="D10" s="157"/>
      <c r="E10" s="157" t="s">
        <v>192</v>
      </c>
      <c r="F10" s="157"/>
      <c r="G10" s="107" t="s">
        <v>190</v>
      </c>
      <c r="H10" s="107" t="s">
        <v>44</v>
      </c>
      <c r="I10" s="107" t="s">
        <v>137</v>
      </c>
      <c r="J10" s="107" t="s">
        <v>138</v>
      </c>
      <c r="K10" s="157" t="s">
        <v>139</v>
      </c>
      <c r="L10" s="157"/>
      <c r="M10" s="157"/>
      <c r="N10" s="157"/>
      <c r="O10" s="107" t="s">
        <v>135</v>
      </c>
    </row>
    <row r="11" spans="1:15" ht="11.25" customHeight="1" x14ac:dyDescent="0.2">
      <c r="A11" s="149" t="s">
        <v>169</v>
      </c>
      <c r="B11" s="149"/>
      <c r="C11" s="153" t="s">
        <v>204</v>
      </c>
      <c r="D11" s="153"/>
      <c r="E11" s="153" t="s">
        <v>205</v>
      </c>
      <c r="F11" s="153"/>
      <c r="G11" s="108" t="s">
        <v>206</v>
      </c>
      <c r="H11" s="108" t="s">
        <v>207</v>
      </c>
      <c r="I11" s="108" t="s">
        <v>208</v>
      </c>
      <c r="J11" s="108" t="s">
        <v>209</v>
      </c>
      <c r="K11" s="153" t="s">
        <v>210</v>
      </c>
      <c r="L11" s="153"/>
      <c r="M11" s="153"/>
      <c r="N11" s="153"/>
      <c r="O11" s="108" t="s">
        <v>211</v>
      </c>
    </row>
    <row r="12" spans="1:15" ht="11.25" customHeight="1" x14ac:dyDescent="0.2">
      <c r="A12" s="137" t="s">
        <v>178</v>
      </c>
      <c r="B12" s="137"/>
      <c r="C12" s="152">
        <v>4887.5521739130436</v>
      </c>
      <c r="D12" s="152"/>
      <c r="E12" s="166">
        <v>9597.4</v>
      </c>
      <c r="F12" s="166"/>
      <c r="G12" s="118">
        <v>9528.9</v>
      </c>
      <c r="H12" s="106">
        <v>7552.8</v>
      </c>
      <c r="I12" s="106">
        <v>9699.0323399999997</v>
      </c>
      <c r="J12" s="105">
        <v>11050.8577</v>
      </c>
      <c r="K12" s="152">
        <v>11040.513640000001</v>
      </c>
      <c r="L12" s="152"/>
      <c r="M12" s="152"/>
      <c r="N12" s="152"/>
      <c r="O12" s="105">
        <v>8933.8516131707329</v>
      </c>
    </row>
    <row r="13" spans="1:15" ht="10.5" customHeight="1" x14ac:dyDescent="0.2">
      <c r="A13" s="137" t="s">
        <v>179</v>
      </c>
      <c r="B13" s="137"/>
      <c r="C13" s="152">
        <v>5224.3999999999996</v>
      </c>
      <c r="D13" s="152"/>
      <c r="E13" s="166">
        <v>9597.4</v>
      </c>
      <c r="F13" s="166"/>
      <c r="G13" s="118">
        <v>9806.4</v>
      </c>
      <c r="H13" s="106">
        <v>7552.8</v>
      </c>
      <c r="I13" s="106">
        <v>9699.0323399999997</v>
      </c>
      <c r="J13" s="105">
        <v>14213.3577</v>
      </c>
      <c r="K13" s="152">
        <v>12928.013640000001</v>
      </c>
      <c r="L13" s="152"/>
      <c r="M13" s="152"/>
      <c r="N13" s="152"/>
      <c r="O13" s="105">
        <v>10144.034540000001</v>
      </c>
    </row>
    <row r="14" spans="1:15" ht="11.25" customHeight="1" x14ac:dyDescent="0.2">
      <c r="A14" s="137" t="s">
        <v>180</v>
      </c>
      <c r="B14" s="137"/>
      <c r="C14" s="152">
        <v>5220.8910800312624</v>
      </c>
      <c r="D14" s="152"/>
      <c r="E14" s="166">
        <v>9597.3999999991247</v>
      </c>
      <c r="F14" s="166"/>
      <c r="G14" s="118">
        <v>9804.6524999991107</v>
      </c>
      <c r="H14" s="106">
        <v>7552.8000000001339</v>
      </c>
      <c r="I14" s="106">
        <v>9699.032339999645</v>
      </c>
      <c r="J14" s="105">
        <v>11954.796395628447</v>
      </c>
      <c r="K14" s="152">
        <v>12078.02697394495</v>
      </c>
      <c r="L14" s="152"/>
      <c r="M14" s="152"/>
      <c r="N14" s="152"/>
      <c r="O14" s="105">
        <v>10037.010533005074</v>
      </c>
    </row>
    <row r="15" spans="1:15" ht="11.25" customHeight="1" x14ac:dyDescent="0.2">
      <c r="A15" s="149" t="s">
        <v>181</v>
      </c>
      <c r="B15" s="149"/>
      <c r="C15" s="147">
        <v>22.697994711341941</v>
      </c>
      <c r="D15" s="147"/>
      <c r="E15" s="163">
        <v>0</v>
      </c>
      <c r="F15" s="163"/>
      <c r="G15" s="115">
        <v>14.665708654956351</v>
      </c>
      <c r="H15" s="111">
        <v>0</v>
      </c>
      <c r="I15" s="111">
        <v>0</v>
      </c>
      <c r="J15" s="109">
        <v>542.36643495269232</v>
      </c>
      <c r="K15" s="147">
        <v>446.05028204154235</v>
      </c>
      <c r="L15" s="147"/>
      <c r="M15" s="147"/>
      <c r="N15" s="147"/>
      <c r="O15" s="109">
        <v>220.34024890001066</v>
      </c>
    </row>
    <row r="16" spans="1:15" ht="10.5" customHeight="1" x14ac:dyDescent="0.2">
      <c r="A16" s="149" t="s">
        <v>182</v>
      </c>
      <c r="B16" s="149"/>
      <c r="C16" s="164">
        <v>515.19896391610678</v>
      </c>
      <c r="D16" s="164"/>
      <c r="E16" s="165">
        <v>0</v>
      </c>
      <c r="F16" s="165"/>
      <c r="G16" s="116">
        <v>215.08301035206162</v>
      </c>
      <c r="H16" s="113">
        <v>0</v>
      </c>
      <c r="I16" s="113">
        <v>0</v>
      </c>
      <c r="J16" s="112">
        <v>294161.34976329305</v>
      </c>
      <c r="K16" s="151">
        <v>198960.85410933947</v>
      </c>
      <c r="L16" s="151"/>
      <c r="M16" s="151"/>
      <c r="N16" s="151"/>
      <c r="O16" s="112">
        <v>48549.82528531865</v>
      </c>
    </row>
    <row r="17" spans="1:15" ht="11.25" customHeight="1" x14ac:dyDescent="0.2">
      <c r="A17" s="149" t="s">
        <v>183</v>
      </c>
      <c r="B17" s="149"/>
      <c r="C17" s="150">
        <v>-8.2425316536149182</v>
      </c>
      <c r="D17" s="150"/>
      <c r="E17" s="150" t="e">
        <v>#NUM!</v>
      </c>
      <c r="F17" s="150"/>
      <c r="G17" s="114">
        <v>-11.091821128112944</v>
      </c>
      <c r="H17" s="114" t="e">
        <v>#NUM!</v>
      </c>
      <c r="I17" s="114" t="e">
        <v>#NUM!</v>
      </c>
      <c r="J17" s="114">
        <v>2.3602228459306516</v>
      </c>
      <c r="K17" s="150">
        <v>0.36358790588995099</v>
      </c>
      <c r="L17" s="150"/>
      <c r="M17" s="150"/>
      <c r="N17" s="150"/>
      <c r="O17" s="114">
        <v>-2.1734558162432034</v>
      </c>
    </row>
    <row r="18" spans="1:15" ht="11.25" customHeight="1" x14ac:dyDescent="0.2">
      <c r="A18" s="149" t="s">
        <v>184</v>
      </c>
      <c r="B18" s="149"/>
      <c r="C18" s="150">
        <v>80.39963567630592</v>
      </c>
      <c r="D18" s="150"/>
      <c r="E18" s="150" t="e">
        <v>#NUM!</v>
      </c>
      <c r="F18" s="150"/>
      <c r="G18" s="114">
        <v>145.91998490504412</v>
      </c>
      <c r="H18" s="114" t="e">
        <v>#NUM!</v>
      </c>
      <c r="I18" s="114" t="e">
        <v>#NUM!</v>
      </c>
      <c r="J18" s="114">
        <v>10.38371698460546</v>
      </c>
      <c r="K18" s="150">
        <v>2.292897803483072</v>
      </c>
      <c r="L18" s="150"/>
      <c r="M18" s="150"/>
      <c r="N18" s="150"/>
      <c r="O18" s="114">
        <v>7.0439322631816994</v>
      </c>
    </row>
    <row r="19" spans="1:15" ht="10.5" customHeight="1" x14ac:dyDescent="0.2">
      <c r="A19" s="149" t="s">
        <v>185</v>
      </c>
      <c r="B19" s="149"/>
      <c r="C19" s="147">
        <v>5224.3999999999996</v>
      </c>
      <c r="D19" s="147"/>
      <c r="E19" s="162">
        <v>9597.4</v>
      </c>
      <c r="F19" s="162"/>
      <c r="G19" s="115">
        <v>9806.4</v>
      </c>
      <c r="H19" s="110">
        <v>7552.8</v>
      </c>
      <c r="I19" s="110">
        <v>9699.0323399999997</v>
      </c>
      <c r="J19" s="109">
        <v>11849.995200000001</v>
      </c>
      <c r="K19" s="147">
        <v>12020.513640000001</v>
      </c>
      <c r="L19" s="147"/>
      <c r="M19" s="147"/>
      <c r="N19" s="147"/>
      <c r="O19" s="109">
        <v>10144.034540000001</v>
      </c>
    </row>
    <row r="20" spans="1:15" ht="11.25" customHeight="1" x14ac:dyDescent="0.2">
      <c r="A20" s="149" t="s">
        <v>186</v>
      </c>
      <c r="B20" s="149"/>
      <c r="C20" s="147">
        <v>5224.3999999999996</v>
      </c>
      <c r="D20" s="147"/>
      <c r="E20" s="162">
        <v>9597.4</v>
      </c>
      <c r="F20" s="162"/>
      <c r="G20" s="115">
        <v>9806.4</v>
      </c>
      <c r="H20" s="110">
        <v>7552.8</v>
      </c>
      <c r="I20" s="110">
        <v>9699.0323399999997</v>
      </c>
      <c r="J20" s="109">
        <v>14213.3577</v>
      </c>
      <c r="K20" s="147">
        <v>12928.013640000001</v>
      </c>
      <c r="L20" s="147"/>
      <c r="M20" s="147"/>
      <c r="N20" s="147"/>
      <c r="O20" s="109">
        <v>10144.034540000001</v>
      </c>
    </row>
    <row r="21" spans="1:15" ht="11.25" customHeight="1" x14ac:dyDescent="0.2">
      <c r="A21" s="146">
        <v>0.01</v>
      </c>
      <c r="B21" s="146"/>
      <c r="C21" s="147">
        <v>5098.5224489795928</v>
      </c>
      <c r="D21" s="147"/>
      <c r="E21" s="162">
        <v>9597.4</v>
      </c>
      <c r="F21" s="162"/>
      <c r="G21" s="115">
        <v>9738.9</v>
      </c>
      <c r="H21" s="110">
        <v>7552.8</v>
      </c>
      <c r="I21" s="110">
        <v>9699.0323399999997</v>
      </c>
      <c r="J21" s="109">
        <v>11240.8577</v>
      </c>
      <c r="K21" s="147">
        <v>11279.45739</v>
      </c>
      <c r="L21" s="147"/>
      <c r="M21" s="147"/>
      <c r="N21" s="147"/>
      <c r="O21" s="109">
        <v>9249.5970400000006</v>
      </c>
    </row>
    <row r="22" spans="1:15" ht="10.5" customHeight="1" x14ac:dyDescent="0.2">
      <c r="A22" s="148">
        <v>2.5000000000000001E-2</v>
      </c>
      <c r="B22" s="148"/>
      <c r="C22" s="147">
        <v>5177.1499999999996</v>
      </c>
      <c r="D22" s="147"/>
      <c r="E22" s="162">
        <v>9597.4</v>
      </c>
      <c r="F22" s="162"/>
      <c r="G22" s="115">
        <v>9806.4</v>
      </c>
      <c r="H22" s="110">
        <v>7552.8</v>
      </c>
      <c r="I22" s="110">
        <v>9699.0323399999997</v>
      </c>
      <c r="J22" s="109">
        <v>11319.995200000001</v>
      </c>
      <c r="K22" s="147">
        <v>11359.45739</v>
      </c>
      <c r="L22" s="147"/>
      <c r="M22" s="147"/>
      <c r="N22" s="147"/>
      <c r="O22" s="109">
        <v>9366.713111428573</v>
      </c>
    </row>
    <row r="23" spans="1:15" ht="11.25" customHeight="1" x14ac:dyDescent="0.2">
      <c r="A23" s="146">
        <v>0.05</v>
      </c>
      <c r="B23" s="146"/>
      <c r="C23" s="147">
        <v>5224.3999999999996</v>
      </c>
      <c r="D23" s="147"/>
      <c r="E23" s="162">
        <v>9597.4</v>
      </c>
      <c r="F23" s="162"/>
      <c r="G23" s="115">
        <v>9806.4</v>
      </c>
      <c r="H23" s="110">
        <v>7552.8</v>
      </c>
      <c r="I23" s="110">
        <v>9699.0323399999997</v>
      </c>
      <c r="J23" s="109">
        <v>11379.174773170733</v>
      </c>
      <c r="K23" s="147">
        <v>11425.513640000001</v>
      </c>
      <c r="L23" s="147"/>
      <c r="M23" s="147"/>
      <c r="N23" s="147"/>
      <c r="O23" s="109">
        <v>9512.8470400000006</v>
      </c>
    </row>
    <row r="24" spans="1:15" ht="11.25" customHeight="1" x14ac:dyDescent="0.2">
      <c r="A24" s="146">
        <v>0.1</v>
      </c>
      <c r="B24" s="146"/>
      <c r="C24" s="147">
        <v>5224.3999999999996</v>
      </c>
      <c r="D24" s="147"/>
      <c r="E24" s="162">
        <v>9597.4</v>
      </c>
      <c r="F24" s="162"/>
      <c r="G24" s="115">
        <v>9806.4</v>
      </c>
      <c r="H24" s="110">
        <v>7552.8</v>
      </c>
      <c r="I24" s="110">
        <v>9699.0323399999997</v>
      </c>
      <c r="J24" s="109">
        <v>11460.8577</v>
      </c>
      <c r="K24" s="147">
        <v>11534.45739</v>
      </c>
      <c r="L24" s="147"/>
      <c r="M24" s="147"/>
      <c r="N24" s="147"/>
      <c r="O24" s="109">
        <v>9673.1416828571437</v>
      </c>
    </row>
    <row r="25" spans="1:15" ht="10.5" customHeight="1" x14ac:dyDescent="0.2">
      <c r="A25" s="146">
        <v>0.2</v>
      </c>
      <c r="B25" s="146"/>
      <c r="C25" s="147">
        <v>5224.3999999999996</v>
      </c>
      <c r="D25" s="147"/>
      <c r="E25" s="162">
        <v>9597.4</v>
      </c>
      <c r="F25" s="162"/>
      <c r="G25" s="115">
        <v>9806.4</v>
      </c>
      <c r="H25" s="110">
        <v>7552.8</v>
      </c>
      <c r="I25" s="110">
        <v>9699.0323399999997</v>
      </c>
      <c r="J25" s="109">
        <v>11579.174773170733</v>
      </c>
      <c r="K25" s="147">
        <v>11673.792709767442</v>
      </c>
      <c r="L25" s="147"/>
      <c r="M25" s="147"/>
      <c r="N25" s="147"/>
      <c r="O25" s="109">
        <v>9942.6973306976743</v>
      </c>
    </row>
    <row r="26" spans="1:15" ht="11.25" customHeight="1" x14ac:dyDescent="0.2">
      <c r="A26" s="146">
        <v>0.25</v>
      </c>
      <c r="B26" s="146"/>
      <c r="C26" s="147">
        <v>5224.3999999999996</v>
      </c>
      <c r="D26" s="147"/>
      <c r="E26" s="162">
        <v>9597.4</v>
      </c>
      <c r="F26" s="162"/>
      <c r="G26" s="115">
        <v>9806.4</v>
      </c>
      <c r="H26" s="110">
        <v>7552.8</v>
      </c>
      <c r="I26" s="110">
        <v>9699.0323399999997</v>
      </c>
      <c r="J26" s="109">
        <v>11629.174773170733</v>
      </c>
      <c r="K26" s="147">
        <v>11732.964859512194</v>
      </c>
      <c r="L26" s="147"/>
      <c r="M26" s="147"/>
      <c r="N26" s="147"/>
      <c r="O26" s="109">
        <v>10084.82722292683</v>
      </c>
    </row>
    <row r="27" spans="1:15" ht="11.25" customHeight="1" x14ac:dyDescent="0.2">
      <c r="A27" s="146">
        <v>0.5</v>
      </c>
      <c r="B27" s="146"/>
      <c r="C27" s="147">
        <v>5224.3999999999996</v>
      </c>
      <c r="D27" s="147"/>
      <c r="E27" s="162">
        <v>9597.4</v>
      </c>
      <c r="F27" s="162"/>
      <c r="G27" s="115">
        <v>9806.4</v>
      </c>
      <c r="H27" s="110">
        <v>7552.8</v>
      </c>
      <c r="I27" s="110">
        <v>9699.0323399999997</v>
      </c>
      <c r="J27" s="109">
        <v>11849.995200000001</v>
      </c>
      <c r="K27" s="147">
        <v>12020.513640000001</v>
      </c>
      <c r="L27" s="147"/>
      <c r="M27" s="147"/>
      <c r="N27" s="147"/>
      <c r="O27" s="109">
        <v>10144.034540000001</v>
      </c>
    </row>
    <row r="28" spans="1:15" ht="11.25" customHeight="1" x14ac:dyDescent="0.2">
      <c r="A28" s="146">
        <v>0.75</v>
      </c>
      <c r="B28" s="146"/>
      <c r="C28" s="147">
        <v>5224.3999999999996</v>
      </c>
      <c r="D28" s="147"/>
      <c r="E28" s="162">
        <v>9597.4</v>
      </c>
      <c r="F28" s="162"/>
      <c r="G28" s="115">
        <v>9806.4</v>
      </c>
      <c r="H28" s="110">
        <v>7552.8</v>
      </c>
      <c r="I28" s="110">
        <v>9699.0323399999997</v>
      </c>
      <c r="J28" s="109">
        <v>12119.995200000001</v>
      </c>
      <c r="K28" s="147">
        <v>12371.067211428572</v>
      </c>
      <c r="L28" s="147"/>
      <c r="M28" s="147"/>
      <c r="N28" s="147"/>
      <c r="O28" s="109">
        <v>10144.034540000001</v>
      </c>
    </row>
    <row r="29" spans="1:15" ht="10.5" customHeight="1" x14ac:dyDescent="0.2">
      <c r="A29" s="146">
        <v>0.8</v>
      </c>
      <c r="B29" s="146"/>
      <c r="C29" s="147">
        <v>5224.3999999999996</v>
      </c>
      <c r="D29" s="147"/>
      <c r="E29" s="162">
        <v>9597.4</v>
      </c>
      <c r="F29" s="162"/>
      <c r="G29" s="115">
        <v>9806.4</v>
      </c>
      <c r="H29" s="110">
        <v>7552.8</v>
      </c>
      <c r="I29" s="110">
        <v>9699.0323399999997</v>
      </c>
      <c r="J29" s="109">
        <v>12199.174773170733</v>
      </c>
      <c r="K29" s="147">
        <v>12474.45739</v>
      </c>
      <c r="L29" s="147"/>
      <c r="M29" s="147"/>
      <c r="N29" s="147"/>
      <c r="O29" s="109">
        <v>10144.034540000001</v>
      </c>
    </row>
    <row r="30" spans="1:15" ht="11.25" customHeight="1" x14ac:dyDescent="0.2">
      <c r="A30" s="146">
        <v>0.9</v>
      </c>
      <c r="B30" s="146"/>
      <c r="C30" s="147">
        <v>5224.3999999999996</v>
      </c>
      <c r="D30" s="147"/>
      <c r="E30" s="162">
        <v>9597.4</v>
      </c>
      <c r="F30" s="162"/>
      <c r="G30" s="115">
        <v>9806.4</v>
      </c>
      <c r="H30" s="110">
        <v>7552.8</v>
      </c>
      <c r="I30" s="110">
        <v>9699.0323399999997</v>
      </c>
      <c r="J30" s="109">
        <v>12459.174773170733</v>
      </c>
      <c r="K30" s="147">
        <v>12817.964859512194</v>
      </c>
      <c r="L30" s="147"/>
      <c r="M30" s="147"/>
      <c r="N30" s="147"/>
      <c r="O30" s="109">
        <v>10144.034540000001</v>
      </c>
    </row>
    <row r="31" spans="1:15" ht="11.25" customHeight="1" x14ac:dyDescent="0.2">
      <c r="A31" s="146">
        <v>0.95</v>
      </c>
      <c r="B31" s="146"/>
      <c r="C31" s="147">
        <v>5224.3999999999996</v>
      </c>
      <c r="D31" s="147"/>
      <c r="E31" s="162">
        <v>9597.4</v>
      </c>
      <c r="F31" s="162"/>
      <c r="G31" s="115">
        <v>9806.4</v>
      </c>
      <c r="H31" s="110">
        <v>7552.8</v>
      </c>
      <c r="I31" s="110">
        <v>9699.0323399999997</v>
      </c>
      <c r="J31" s="109">
        <v>12748.393414285714</v>
      </c>
      <c r="K31" s="147">
        <v>12928.013640000001</v>
      </c>
      <c r="L31" s="147"/>
      <c r="M31" s="147"/>
      <c r="N31" s="147"/>
      <c r="O31" s="109">
        <v>10144.034540000001</v>
      </c>
    </row>
    <row r="32" spans="1:15" ht="10.5" customHeight="1" x14ac:dyDescent="0.2">
      <c r="A32" s="148">
        <v>0.97499999999999998</v>
      </c>
      <c r="B32" s="148"/>
      <c r="C32" s="147">
        <v>5224.3999999999996</v>
      </c>
      <c r="D32" s="147"/>
      <c r="E32" s="162">
        <v>9597.4</v>
      </c>
      <c r="F32" s="162"/>
      <c r="G32" s="115">
        <v>9806.4</v>
      </c>
      <c r="H32" s="110">
        <v>7552.8</v>
      </c>
      <c r="I32" s="110">
        <v>9699.0323399999997</v>
      </c>
      <c r="J32" s="109">
        <v>14213.3577</v>
      </c>
      <c r="K32" s="147">
        <v>12928.013640000001</v>
      </c>
      <c r="L32" s="147"/>
      <c r="M32" s="147"/>
      <c r="N32" s="147"/>
      <c r="O32" s="109">
        <v>10144.034540000001</v>
      </c>
    </row>
    <row r="33" spans="1:15" ht="11.25" customHeight="1" x14ac:dyDescent="0.2">
      <c r="A33" s="146">
        <v>0.99</v>
      </c>
      <c r="B33" s="146"/>
      <c r="C33" s="147">
        <v>5224.3999999999996</v>
      </c>
      <c r="D33" s="147"/>
      <c r="E33" s="162">
        <v>9597.4</v>
      </c>
      <c r="F33" s="162"/>
      <c r="G33" s="115">
        <v>9806.4</v>
      </c>
      <c r="H33" s="110">
        <v>7552.8</v>
      </c>
      <c r="I33" s="110">
        <v>9699.0323399999997</v>
      </c>
      <c r="J33" s="109">
        <v>14213.3577</v>
      </c>
      <c r="K33" s="147">
        <v>12928.013640000001</v>
      </c>
      <c r="L33" s="147"/>
      <c r="M33" s="147"/>
      <c r="N33" s="147"/>
      <c r="O33" s="109">
        <v>10144.034540000001</v>
      </c>
    </row>
  </sheetData>
  <mergeCells count="111">
    <mergeCell ref="D1:M1"/>
    <mergeCell ref="D2:E2"/>
    <mergeCell ref="F2:K2"/>
    <mergeCell ref="L2:M2"/>
    <mergeCell ref="D3:E3"/>
    <mergeCell ref="F3:K3"/>
    <mergeCell ref="L3:M3"/>
    <mergeCell ref="A7:L7"/>
    <mergeCell ref="A9:O9"/>
    <mergeCell ref="A10:B10"/>
    <mergeCell ref="C10:D10"/>
    <mergeCell ref="E10:F10"/>
    <mergeCell ref="K10:N10"/>
    <mergeCell ref="D4:E4"/>
    <mergeCell ref="F4:K4"/>
    <mergeCell ref="L4:M4"/>
    <mergeCell ref="D5:E5"/>
    <mergeCell ref="F5:K5"/>
    <mergeCell ref="L5:M5"/>
    <mergeCell ref="A13:B13"/>
    <mergeCell ref="C13:D13"/>
    <mergeCell ref="E13:F13"/>
    <mergeCell ref="K13:N13"/>
    <mergeCell ref="A14:B14"/>
    <mergeCell ref="C14:D14"/>
    <mergeCell ref="E14:F14"/>
    <mergeCell ref="K14:N14"/>
    <mergeCell ref="A11:B11"/>
    <mergeCell ref="C11:D11"/>
    <mergeCell ref="E11:F11"/>
    <mergeCell ref="K11:N11"/>
    <mergeCell ref="A12:B12"/>
    <mergeCell ref="C12:D12"/>
    <mergeCell ref="E12:F12"/>
    <mergeCell ref="K12:N12"/>
    <mergeCell ref="A17:B17"/>
    <mergeCell ref="C17:D17"/>
    <mergeCell ref="E17:F17"/>
    <mergeCell ref="K17:N17"/>
    <mergeCell ref="A18:B18"/>
    <mergeCell ref="C18:D18"/>
    <mergeCell ref="E18:F18"/>
    <mergeCell ref="K18:N18"/>
    <mergeCell ref="A15:B15"/>
    <mergeCell ref="C15:D15"/>
    <mergeCell ref="E15:F15"/>
    <mergeCell ref="K15:N15"/>
    <mergeCell ref="A16:B16"/>
    <mergeCell ref="C16:D16"/>
    <mergeCell ref="E16:F16"/>
    <mergeCell ref="K16:N16"/>
    <mergeCell ref="A21:B21"/>
    <mergeCell ref="C21:D21"/>
    <mergeCell ref="E21:F21"/>
    <mergeCell ref="K21:N21"/>
    <mergeCell ref="A22:B22"/>
    <mergeCell ref="C22:D22"/>
    <mergeCell ref="E22:F22"/>
    <mergeCell ref="K22:N22"/>
    <mergeCell ref="A19:B19"/>
    <mergeCell ref="C19:D19"/>
    <mergeCell ref="E19:F19"/>
    <mergeCell ref="K19:N19"/>
    <mergeCell ref="A20:B20"/>
    <mergeCell ref="C20:D20"/>
    <mergeCell ref="E20:F20"/>
    <mergeCell ref="K20:N20"/>
    <mergeCell ref="A25:B25"/>
    <mergeCell ref="C25:D25"/>
    <mergeCell ref="E25:F25"/>
    <mergeCell ref="K25:N25"/>
    <mergeCell ref="A26:B26"/>
    <mergeCell ref="C26:D26"/>
    <mergeCell ref="E26:F26"/>
    <mergeCell ref="K26:N26"/>
    <mergeCell ref="A23:B23"/>
    <mergeCell ref="C23:D23"/>
    <mergeCell ref="E23:F23"/>
    <mergeCell ref="K23:N23"/>
    <mergeCell ref="A24:B24"/>
    <mergeCell ref="C24:D24"/>
    <mergeCell ref="E24:F24"/>
    <mergeCell ref="K24:N24"/>
    <mergeCell ref="A29:B29"/>
    <mergeCell ref="C29:D29"/>
    <mergeCell ref="E29:F29"/>
    <mergeCell ref="K29:N29"/>
    <mergeCell ref="A30:B30"/>
    <mergeCell ref="C30:D30"/>
    <mergeCell ref="E30:F30"/>
    <mergeCell ref="K30:N30"/>
    <mergeCell ref="A27:B27"/>
    <mergeCell ref="C27:D27"/>
    <mergeCell ref="E27:F27"/>
    <mergeCell ref="K27:N27"/>
    <mergeCell ref="A28:B28"/>
    <mergeCell ref="C28:D28"/>
    <mergeCell ref="E28:F28"/>
    <mergeCell ref="K28:N28"/>
    <mergeCell ref="A33:B33"/>
    <mergeCell ref="C33:D33"/>
    <mergeCell ref="E33:F33"/>
    <mergeCell ref="K33:N33"/>
    <mergeCell ref="A31:B31"/>
    <mergeCell ref="C31:D31"/>
    <mergeCell ref="E31:F31"/>
    <mergeCell ref="K31:N31"/>
    <mergeCell ref="A32:B32"/>
    <mergeCell ref="C32:D32"/>
    <mergeCell ref="E32:F32"/>
    <mergeCell ref="K32:N32"/>
  </mergeCells>
  <conditionalFormatting sqref="C12:O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75" header="0.3" footer="0.3"/>
  <pageSetup paperSize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D876-A967-4060-AA39-04E33E316583}">
  <sheetPr>
    <outlinePr summaryBelow="0"/>
    <pageSetUpPr fitToPage="1"/>
  </sheetPr>
  <dimension ref="A1:O33"/>
  <sheetViews>
    <sheetView showGridLines="0" topLeftCell="A4" workbookViewId="0">
      <selection activeCell="O14" sqref="C14:O14"/>
    </sheetView>
  </sheetViews>
  <sheetFormatPr baseColWidth="10" defaultColWidth="8.83203125" defaultRowHeight="15" x14ac:dyDescent="0.2"/>
  <cols>
    <col min="1" max="1" width="10.33203125" customWidth="1"/>
    <col min="2" max="2" width="2.6640625" customWidth="1"/>
    <col min="3" max="3" width="0.6640625" customWidth="1"/>
    <col min="4" max="4" width="12.33203125" customWidth="1"/>
    <col min="5" max="5" width="6.6640625" customWidth="1"/>
    <col min="6" max="6" width="6.5" customWidth="1"/>
    <col min="7" max="10" width="13" customWidth="1"/>
    <col min="11" max="11" width="3.33203125" customWidth="1"/>
    <col min="12" max="12" width="0.1640625" customWidth="1"/>
    <col min="13" max="13" width="1.5" customWidth="1"/>
    <col min="14" max="14" width="8.33203125" customWidth="1"/>
    <col min="15" max="15" width="13" customWidth="1"/>
  </cols>
  <sheetData>
    <row r="1" spans="1:15" ht="17.25" customHeight="1" x14ac:dyDescent="0.2">
      <c r="D1" s="161" t="s">
        <v>160</v>
      </c>
      <c r="E1" s="161"/>
      <c r="F1" s="161"/>
      <c r="G1" s="161"/>
      <c r="H1" s="161"/>
      <c r="I1" s="161"/>
      <c r="J1" s="161"/>
      <c r="K1" s="161"/>
      <c r="L1" s="161"/>
      <c r="M1" s="161"/>
    </row>
    <row r="2" spans="1:15" ht="12.75" customHeight="1" x14ac:dyDescent="0.2">
      <c r="D2" s="158" t="s">
        <v>161</v>
      </c>
      <c r="E2" s="158"/>
      <c r="F2" s="159" t="s">
        <v>193</v>
      </c>
      <c r="G2" s="159"/>
      <c r="H2" s="159"/>
      <c r="I2" s="159"/>
      <c r="J2" s="159"/>
      <c r="K2" s="159"/>
      <c r="L2" s="160"/>
      <c r="M2" s="160"/>
    </row>
    <row r="3" spans="1:15" ht="12" customHeight="1" x14ac:dyDescent="0.2">
      <c r="D3" s="158" t="s">
        <v>163</v>
      </c>
      <c r="E3" s="158"/>
      <c r="F3" s="159" t="s">
        <v>164</v>
      </c>
      <c r="G3" s="159"/>
      <c r="H3" s="159"/>
      <c r="I3" s="159"/>
      <c r="J3" s="159"/>
      <c r="K3" s="159"/>
      <c r="L3" s="160"/>
      <c r="M3" s="160"/>
    </row>
    <row r="4" spans="1:15" ht="12" customHeight="1" x14ac:dyDescent="0.2">
      <c r="D4" s="158" t="s">
        <v>194</v>
      </c>
      <c r="E4" s="158"/>
      <c r="F4" s="159" t="s">
        <v>195</v>
      </c>
      <c r="G4" s="159"/>
      <c r="H4" s="159"/>
      <c r="I4" s="159"/>
      <c r="J4" s="159"/>
      <c r="K4" s="159"/>
      <c r="L4" s="160"/>
      <c r="M4" s="160"/>
    </row>
    <row r="5" spans="1:15" ht="4.5" customHeight="1" x14ac:dyDescent="0.2"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5" ht="7.5" customHeight="1" x14ac:dyDescent="0.2"/>
    <row r="7" spans="1:15" ht="288" customHeight="1" x14ac:dyDescent="0.2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</row>
    <row r="8" spans="1:15" ht="18" customHeight="1" x14ac:dyDescent="0.2"/>
    <row r="9" spans="1:15" ht="13.5" customHeight="1" x14ac:dyDescent="0.2">
      <c r="A9" s="155" t="s">
        <v>167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</row>
    <row r="10" spans="1:15" ht="23.25" customHeight="1" x14ac:dyDescent="0.2">
      <c r="A10" s="156" t="s">
        <v>168</v>
      </c>
      <c r="B10" s="156"/>
      <c r="C10" s="157" t="s">
        <v>50</v>
      </c>
      <c r="D10" s="157"/>
      <c r="E10" s="157" t="s">
        <v>192</v>
      </c>
      <c r="F10" s="157"/>
      <c r="G10" s="107" t="s">
        <v>190</v>
      </c>
      <c r="H10" s="107" t="s">
        <v>44</v>
      </c>
      <c r="I10" s="107" t="s">
        <v>137</v>
      </c>
      <c r="J10" s="107" t="s">
        <v>138</v>
      </c>
      <c r="K10" s="157" t="s">
        <v>139</v>
      </c>
      <c r="L10" s="157"/>
      <c r="M10" s="157"/>
      <c r="N10" s="157"/>
      <c r="O10" s="107" t="s">
        <v>135</v>
      </c>
    </row>
    <row r="11" spans="1:15" ht="11.25" customHeight="1" x14ac:dyDescent="0.2">
      <c r="A11" s="149" t="s">
        <v>169</v>
      </c>
      <c r="B11" s="149"/>
      <c r="C11" s="153" t="s">
        <v>204</v>
      </c>
      <c r="D11" s="153"/>
      <c r="E11" s="153" t="s">
        <v>205</v>
      </c>
      <c r="F11" s="153"/>
      <c r="G11" s="108" t="s">
        <v>206</v>
      </c>
      <c r="H11" s="108" t="s">
        <v>207</v>
      </c>
      <c r="I11" s="108" t="s">
        <v>208</v>
      </c>
      <c r="J11" s="108" t="s">
        <v>209</v>
      </c>
      <c r="K11" s="153" t="s">
        <v>210</v>
      </c>
      <c r="L11" s="153"/>
      <c r="M11" s="153"/>
      <c r="N11" s="153"/>
      <c r="O11" s="108" t="s">
        <v>211</v>
      </c>
    </row>
    <row r="12" spans="1:15" ht="11.25" customHeight="1" x14ac:dyDescent="0.2">
      <c r="A12" s="137" t="s">
        <v>178</v>
      </c>
      <c r="B12" s="137"/>
      <c r="C12" s="152">
        <v>-255.59999999999991</v>
      </c>
      <c r="D12" s="152"/>
      <c r="E12" s="152">
        <v>2792.4</v>
      </c>
      <c r="F12" s="152"/>
      <c r="G12" s="105">
        <v>3971.4</v>
      </c>
      <c r="H12" s="105">
        <v>6217.8</v>
      </c>
      <c r="I12" s="105">
        <v>6807.0323399999997</v>
      </c>
      <c r="J12" s="105">
        <v>5873.3577000000005</v>
      </c>
      <c r="K12" s="152">
        <v>4603.0136400000001</v>
      </c>
      <c r="L12" s="152"/>
      <c r="M12" s="152"/>
      <c r="N12" s="152"/>
      <c r="O12" s="105">
        <v>2114.0345400000006</v>
      </c>
    </row>
    <row r="13" spans="1:15" ht="10.5" customHeight="1" x14ac:dyDescent="0.2">
      <c r="A13" s="137" t="s">
        <v>179</v>
      </c>
      <c r="B13" s="137"/>
      <c r="C13" s="152">
        <v>5224.3999999999996</v>
      </c>
      <c r="D13" s="152"/>
      <c r="E13" s="152">
        <v>9597.4</v>
      </c>
      <c r="F13" s="152"/>
      <c r="G13" s="105">
        <v>9806.4</v>
      </c>
      <c r="H13" s="105">
        <v>7552.8</v>
      </c>
      <c r="I13" s="105">
        <v>9699.0323399999997</v>
      </c>
      <c r="J13" s="105">
        <v>14213.3577</v>
      </c>
      <c r="K13" s="152">
        <v>12928.013640000001</v>
      </c>
      <c r="L13" s="152"/>
      <c r="M13" s="152"/>
      <c r="N13" s="152"/>
      <c r="O13" s="105">
        <v>6444.0345400000006</v>
      </c>
    </row>
    <row r="14" spans="1:15" ht="11.25" customHeight="1" x14ac:dyDescent="0.2">
      <c r="A14" s="137" t="s">
        <v>180</v>
      </c>
      <c r="B14" s="137"/>
      <c r="C14" s="152">
        <v>3019.7096000002498</v>
      </c>
      <c r="D14" s="152"/>
      <c r="E14" s="152">
        <v>4067.0149999999553</v>
      </c>
      <c r="F14" s="152"/>
      <c r="G14" s="105">
        <v>5146.2699999996539</v>
      </c>
      <c r="H14" s="105">
        <v>7132.2430000003187</v>
      </c>
      <c r="I14" s="105">
        <v>7653.0232185716195</v>
      </c>
      <c r="J14" s="105">
        <v>7106.2777809527934</v>
      </c>
      <c r="K14" s="152">
        <v>6068.7575900004431</v>
      </c>
      <c r="L14" s="152"/>
      <c r="M14" s="152"/>
      <c r="N14" s="152"/>
      <c r="O14" s="105">
        <v>5780.748540000428</v>
      </c>
    </row>
    <row r="15" spans="1:15" ht="11.25" customHeight="1" x14ac:dyDescent="0.2">
      <c r="A15" s="149" t="s">
        <v>181</v>
      </c>
      <c r="B15" s="149"/>
      <c r="C15" s="147">
        <v>981.4450932385613</v>
      </c>
      <c r="D15" s="147"/>
      <c r="E15" s="147">
        <v>1102.3343662364894</v>
      </c>
      <c r="F15" s="147"/>
      <c r="G15" s="109">
        <v>880.76649176873548</v>
      </c>
      <c r="H15" s="109">
        <v>305.60216505721399</v>
      </c>
      <c r="I15" s="109">
        <v>412.05204163228132</v>
      </c>
      <c r="J15" s="109">
        <v>798.05799373297691</v>
      </c>
      <c r="K15" s="147">
        <v>1316.2642603741081</v>
      </c>
      <c r="L15" s="147"/>
      <c r="M15" s="147"/>
      <c r="N15" s="147"/>
      <c r="O15" s="109">
        <v>1017.8539519683101</v>
      </c>
    </row>
    <row r="16" spans="1:15" ht="10.5" customHeight="1" x14ac:dyDescent="0.2">
      <c r="A16" s="149" t="s">
        <v>182</v>
      </c>
      <c r="B16" s="149"/>
      <c r="C16" s="151">
        <v>963234.4710420483</v>
      </c>
      <c r="D16" s="151"/>
      <c r="E16" s="151">
        <v>1215141.0549860026</v>
      </c>
      <c r="F16" s="151"/>
      <c r="G16" s="112">
        <v>775749.613022606</v>
      </c>
      <c r="H16" s="112">
        <v>93392.683287656662</v>
      </c>
      <c r="I16" s="112">
        <v>169786.88501333128</v>
      </c>
      <c r="J16" s="112">
        <v>636896.56136110413</v>
      </c>
      <c r="K16" s="151">
        <v>1732551.6031381977</v>
      </c>
      <c r="L16" s="151"/>
      <c r="M16" s="151"/>
      <c r="N16" s="151"/>
      <c r="O16" s="112">
        <v>1036026.6675375068</v>
      </c>
    </row>
    <row r="17" spans="1:15" ht="11.25" customHeight="1" x14ac:dyDescent="0.2">
      <c r="A17" s="149" t="s">
        <v>183</v>
      </c>
      <c r="B17" s="149"/>
      <c r="C17" s="150">
        <v>3.7135554889620864E-2</v>
      </c>
      <c r="D17" s="150"/>
      <c r="E17" s="150">
        <v>4.0411515853244762</v>
      </c>
      <c r="F17" s="150"/>
      <c r="G17" s="114">
        <v>3.5065348394424336</v>
      </c>
      <c r="H17" s="114">
        <v>-0.26856587164432494</v>
      </c>
      <c r="I17" s="114">
        <v>1.5078984285709005</v>
      </c>
      <c r="J17" s="114">
        <v>3.854915014726775</v>
      </c>
      <c r="K17" s="150">
        <v>4.0964938766815626</v>
      </c>
      <c r="L17" s="150"/>
      <c r="M17" s="150"/>
      <c r="N17" s="150"/>
      <c r="O17" s="114">
        <v>-1.1997292370554198</v>
      </c>
    </row>
    <row r="18" spans="1:15" ht="11.25" customHeight="1" x14ac:dyDescent="0.2">
      <c r="A18" s="149" t="s">
        <v>184</v>
      </c>
      <c r="B18" s="149"/>
      <c r="C18" s="150">
        <v>3.1597147266509547</v>
      </c>
      <c r="D18" s="150"/>
      <c r="E18" s="150">
        <v>20.641501105460986</v>
      </c>
      <c r="F18" s="150"/>
      <c r="G18" s="114">
        <v>17.468910181356449</v>
      </c>
      <c r="H18" s="114">
        <v>2.2017870973722711</v>
      </c>
      <c r="I18" s="114">
        <v>7.3580468897381781</v>
      </c>
      <c r="J18" s="114">
        <v>26.726588889208063</v>
      </c>
      <c r="K18" s="150">
        <v>21.064290965118346</v>
      </c>
      <c r="L18" s="150"/>
      <c r="M18" s="150"/>
      <c r="N18" s="150"/>
      <c r="O18" s="114">
        <v>3.013589537892349</v>
      </c>
    </row>
    <row r="19" spans="1:15" ht="10.5" customHeight="1" x14ac:dyDescent="0.2">
      <c r="A19" s="149" t="s">
        <v>185</v>
      </c>
      <c r="B19" s="149"/>
      <c r="C19" s="147">
        <v>3028.3999999999996</v>
      </c>
      <c r="D19" s="147"/>
      <c r="E19" s="147">
        <v>3862.4</v>
      </c>
      <c r="F19" s="147"/>
      <c r="G19" s="109">
        <v>4986.3999999999996</v>
      </c>
      <c r="H19" s="109">
        <v>7137.8</v>
      </c>
      <c r="I19" s="109">
        <v>7597.0323399999997</v>
      </c>
      <c r="J19" s="109">
        <v>6973.3577000000005</v>
      </c>
      <c r="K19" s="147">
        <v>5818.0136400000001</v>
      </c>
      <c r="L19" s="147"/>
      <c r="M19" s="147"/>
      <c r="N19" s="147"/>
      <c r="O19" s="109">
        <v>6444.0345400000006</v>
      </c>
    </row>
    <row r="20" spans="1:15" ht="11.25" customHeight="1" x14ac:dyDescent="0.2">
      <c r="A20" s="149" t="s">
        <v>186</v>
      </c>
      <c r="B20" s="149"/>
      <c r="C20" s="147">
        <v>5224.3999999999996</v>
      </c>
      <c r="D20" s="147"/>
      <c r="E20" s="147">
        <v>9597.4</v>
      </c>
      <c r="F20" s="147"/>
      <c r="G20" s="109">
        <v>4821.3999999999996</v>
      </c>
      <c r="H20" s="109">
        <v>7552.8</v>
      </c>
      <c r="I20" s="109">
        <v>7637.0323399999997</v>
      </c>
      <c r="J20" s="109">
        <v>7123.3577000000005</v>
      </c>
      <c r="K20" s="147">
        <v>12928.013640000001</v>
      </c>
      <c r="L20" s="147"/>
      <c r="M20" s="147"/>
      <c r="N20" s="147"/>
      <c r="O20" s="109">
        <v>6444.0345400000006</v>
      </c>
    </row>
    <row r="21" spans="1:15" ht="11.25" customHeight="1" x14ac:dyDescent="0.2">
      <c r="A21" s="146">
        <v>0.01</v>
      </c>
      <c r="B21" s="146"/>
      <c r="C21" s="147">
        <v>744.40000000000009</v>
      </c>
      <c r="D21" s="147"/>
      <c r="E21" s="147">
        <v>3047.4</v>
      </c>
      <c r="F21" s="147"/>
      <c r="G21" s="109">
        <v>4196.3999999999996</v>
      </c>
      <c r="H21" s="109">
        <v>6442.8</v>
      </c>
      <c r="I21" s="109">
        <v>6955.0323399999997</v>
      </c>
      <c r="J21" s="109">
        <v>6143.3577000000005</v>
      </c>
      <c r="K21" s="147">
        <v>4888.0136400000001</v>
      </c>
      <c r="L21" s="147"/>
      <c r="M21" s="147"/>
      <c r="N21" s="147"/>
      <c r="O21" s="109">
        <v>3114.0345400000006</v>
      </c>
    </row>
    <row r="22" spans="1:15" ht="10.5" customHeight="1" x14ac:dyDescent="0.2">
      <c r="A22" s="148">
        <v>2.5000000000000001E-2</v>
      </c>
      <c r="B22" s="148"/>
      <c r="C22" s="147">
        <v>1044.4000000000001</v>
      </c>
      <c r="D22" s="147"/>
      <c r="E22" s="147">
        <v>3127.4</v>
      </c>
      <c r="F22" s="147"/>
      <c r="G22" s="109">
        <v>4276.3999999999996</v>
      </c>
      <c r="H22" s="109">
        <v>6522.8</v>
      </c>
      <c r="I22" s="109">
        <v>7019.0323399999997</v>
      </c>
      <c r="J22" s="109">
        <v>6233.3577000000005</v>
      </c>
      <c r="K22" s="147">
        <v>4983.0136400000001</v>
      </c>
      <c r="L22" s="147"/>
      <c r="M22" s="147"/>
      <c r="N22" s="147"/>
      <c r="O22" s="109">
        <v>3414.0345400000006</v>
      </c>
    </row>
    <row r="23" spans="1:15" ht="11.25" customHeight="1" x14ac:dyDescent="0.2">
      <c r="A23" s="146">
        <v>0.05</v>
      </c>
      <c r="B23" s="146"/>
      <c r="C23" s="147">
        <v>1324.3999999999996</v>
      </c>
      <c r="D23" s="147"/>
      <c r="E23" s="147">
        <v>3217.4</v>
      </c>
      <c r="F23" s="147"/>
      <c r="G23" s="109">
        <v>4366.3999999999996</v>
      </c>
      <c r="H23" s="109">
        <v>6607.8</v>
      </c>
      <c r="I23" s="109">
        <v>7113.0323399999997</v>
      </c>
      <c r="J23" s="109">
        <v>6323.3577000000005</v>
      </c>
      <c r="K23" s="147">
        <v>5083.0136400000001</v>
      </c>
      <c r="L23" s="147"/>
      <c r="M23" s="147"/>
      <c r="N23" s="147"/>
      <c r="O23" s="109">
        <v>3694.0345400000006</v>
      </c>
    </row>
    <row r="24" spans="1:15" ht="11.25" customHeight="1" x14ac:dyDescent="0.2">
      <c r="A24" s="146">
        <v>0.1</v>
      </c>
      <c r="B24" s="146"/>
      <c r="C24" s="147">
        <v>1684.3999999999996</v>
      </c>
      <c r="D24" s="147"/>
      <c r="E24" s="147">
        <v>3352.4</v>
      </c>
      <c r="F24" s="147"/>
      <c r="G24" s="109">
        <v>4491.3999999999996</v>
      </c>
      <c r="H24" s="109">
        <v>6717.8</v>
      </c>
      <c r="I24" s="109">
        <v>7213.0323399999997</v>
      </c>
      <c r="J24" s="109">
        <v>6463.3577000000005</v>
      </c>
      <c r="K24" s="147">
        <v>5228.0136400000001</v>
      </c>
      <c r="L24" s="147"/>
      <c r="M24" s="147"/>
      <c r="N24" s="147"/>
      <c r="O24" s="109">
        <v>4054.0345400000006</v>
      </c>
    </row>
    <row r="25" spans="1:15" ht="10.5" customHeight="1" x14ac:dyDescent="0.2">
      <c r="A25" s="146">
        <v>0.2</v>
      </c>
      <c r="B25" s="146"/>
      <c r="C25" s="147">
        <v>2304.3999999999996</v>
      </c>
      <c r="D25" s="147"/>
      <c r="E25" s="147">
        <v>3502.4</v>
      </c>
      <c r="F25" s="147"/>
      <c r="G25" s="109">
        <v>4631.3999999999996</v>
      </c>
      <c r="H25" s="109">
        <v>6852.8</v>
      </c>
      <c r="I25" s="109">
        <v>7341.0323399999997</v>
      </c>
      <c r="J25" s="109">
        <v>6613.3577000000005</v>
      </c>
      <c r="K25" s="147">
        <v>5403.0136400000001</v>
      </c>
      <c r="L25" s="147"/>
      <c r="M25" s="147"/>
      <c r="N25" s="147"/>
      <c r="O25" s="109">
        <v>4674.0345400000006</v>
      </c>
    </row>
    <row r="26" spans="1:15" ht="11.25" customHeight="1" x14ac:dyDescent="0.2">
      <c r="A26" s="146">
        <v>0.25</v>
      </c>
      <c r="B26" s="146"/>
      <c r="C26" s="147">
        <v>2468.3999999999996</v>
      </c>
      <c r="D26" s="147"/>
      <c r="E26" s="147">
        <v>3567.4</v>
      </c>
      <c r="F26" s="147"/>
      <c r="G26" s="109">
        <v>4696.3999999999996</v>
      </c>
      <c r="H26" s="109">
        <v>6907.8</v>
      </c>
      <c r="I26" s="109">
        <v>7395.0323399999997</v>
      </c>
      <c r="J26" s="109">
        <v>6673.3577000000005</v>
      </c>
      <c r="K26" s="147">
        <v>5478.0136400000001</v>
      </c>
      <c r="L26" s="147"/>
      <c r="M26" s="147"/>
      <c r="N26" s="147"/>
      <c r="O26" s="109">
        <v>5014.0345400000006</v>
      </c>
    </row>
    <row r="27" spans="1:15" ht="11.25" customHeight="1" x14ac:dyDescent="0.2">
      <c r="A27" s="146">
        <v>0.5</v>
      </c>
      <c r="B27" s="146"/>
      <c r="C27" s="147">
        <v>3028.3999999999996</v>
      </c>
      <c r="D27" s="147"/>
      <c r="E27" s="147">
        <v>3862.4</v>
      </c>
      <c r="F27" s="147"/>
      <c r="G27" s="109">
        <v>4986.3999999999996</v>
      </c>
      <c r="H27" s="109">
        <v>7137.8</v>
      </c>
      <c r="I27" s="109">
        <v>7597.0323399999997</v>
      </c>
      <c r="J27" s="109">
        <v>6973.3577000000005</v>
      </c>
      <c r="K27" s="147">
        <v>5818.0136400000001</v>
      </c>
      <c r="L27" s="147"/>
      <c r="M27" s="147"/>
      <c r="N27" s="147"/>
      <c r="O27" s="109">
        <v>6444.0345400000006</v>
      </c>
    </row>
    <row r="28" spans="1:15" ht="11.25" customHeight="1" x14ac:dyDescent="0.2">
      <c r="A28" s="146">
        <v>0.75</v>
      </c>
      <c r="B28" s="146"/>
      <c r="C28" s="147">
        <v>3648.3999999999996</v>
      </c>
      <c r="D28" s="147"/>
      <c r="E28" s="147">
        <v>4202.3999999999996</v>
      </c>
      <c r="F28" s="147"/>
      <c r="G28" s="109">
        <v>5321.4</v>
      </c>
      <c r="H28" s="109">
        <v>7397.8</v>
      </c>
      <c r="I28" s="109">
        <v>7841.0323399999997</v>
      </c>
      <c r="J28" s="109">
        <v>7323.3577000000005</v>
      </c>
      <c r="K28" s="147">
        <v>6223.0136400000001</v>
      </c>
      <c r="L28" s="147"/>
      <c r="M28" s="147"/>
      <c r="N28" s="147"/>
      <c r="O28" s="109">
        <v>6444.0345400000006</v>
      </c>
    </row>
    <row r="29" spans="1:15" ht="10.5" customHeight="1" x14ac:dyDescent="0.2">
      <c r="A29" s="146">
        <v>0.8</v>
      </c>
      <c r="B29" s="146"/>
      <c r="C29" s="147">
        <v>3780.3999999999996</v>
      </c>
      <c r="D29" s="147"/>
      <c r="E29" s="147">
        <v>4297.3999999999996</v>
      </c>
      <c r="F29" s="147"/>
      <c r="G29" s="109">
        <v>5411.4</v>
      </c>
      <c r="H29" s="109">
        <v>7462.8</v>
      </c>
      <c r="I29" s="109">
        <v>7899.0323399999997</v>
      </c>
      <c r="J29" s="109">
        <v>7413.3577000000005</v>
      </c>
      <c r="K29" s="147">
        <v>6328.0136400000001</v>
      </c>
      <c r="L29" s="147"/>
      <c r="M29" s="147"/>
      <c r="N29" s="147"/>
      <c r="O29" s="109">
        <v>6444.0345400000006</v>
      </c>
    </row>
    <row r="30" spans="1:15" ht="11.25" customHeight="1" x14ac:dyDescent="0.2">
      <c r="A30" s="146">
        <v>0.9</v>
      </c>
      <c r="B30" s="146"/>
      <c r="C30" s="147">
        <v>4300.3999999999996</v>
      </c>
      <c r="D30" s="147"/>
      <c r="E30" s="147">
        <v>4577.3999999999996</v>
      </c>
      <c r="F30" s="147"/>
      <c r="G30" s="109">
        <v>5686.4</v>
      </c>
      <c r="H30" s="109">
        <v>7552.8</v>
      </c>
      <c r="I30" s="109">
        <v>8095.0323399999997</v>
      </c>
      <c r="J30" s="109">
        <v>7683.3577000000005</v>
      </c>
      <c r="K30" s="147">
        <v>6663.0136400000001</v>
      </c>
      <c r="L30" s="147"/>
      <c r="M30" s="147"/>
      <c r="N30" s="147"/>
      <c r="O30" s="109">
        <v>6444.0345400000006</v>
      </c>
    </row>
    <row r="31" spans="1:15" ht="11.25" customHeight="1" x14ac:dyDescent="0.2">
      <c r="A31" s="146">
        <v>0.95</v>
      </c>
      <c r="B31" s="146"/>
      <c r="C31" s="147">
        <v>4932.3999999999996</v>
      </c>
      <c r="D31" s="147"/>
      <c r="E31" s="147">
        <v>4912.3999999999996</v>
      </c>
      <c r="F31" s="147"/>
      <c r="G31" s="109">
        <v>6021.4</v>
      </c>
      <c r="H31" s="109">
        <v>7552.8</v>
      </c>
      <c r="I31" s="109">
        <v>8343.0323399999997</v>
      </c>
      <c r="J31" s="109">
        <v>8013.3577000000005</v>
      </c>
      <c r="K31" s="147">
        <v>7078.0136400000001</v>
      </c>
      <c r="L31" s="147"/>
      <c r="M31" s="147"/>
      <c r="N31" s="147"/>
      <c r="O31" s="109">
        <v>6444.0345400000006</v>
      </c>
    </row>
    <row r="32" spans="1:15" ht="10.5" customHeight="1" x14ac:dyDescent="0.2">
      <c r="A32" s="148">
        <v>0.97499999999999998</v>
      </c>
      <c r="B32" s="148"/>
      <c r="C32" s="147">
        <v>5224.3999999999996</v>
      </c>
      <c r="D32" s="147"/>
      <c r="E32" s="147">
        <v>9597.4</v>
      </c>
      <c r="F32" s="147"/>
      <c r="G32" s="109">
        <v>9036.4</v>
      </c>
      <c r="H32" s="109">
        <v>7552.8</v>
      </c>
      <c r="I32" s="109">
        <v>8801.5323399999997</v>
      </c>
      <c r="J32" s="109">
        <v>9825.8577000000005</v>
      </c>
      <c r="K32" s="147">
        <v>12507.180306666665</v>
      </c>
      <c r="L32" s="147"/>
      <c r="M32" s="147"/>
      <c r="N32" s="147"/>
      <c r="O32" s="109">
        <v>6444.0345400000006</v>
      </c>
    </row>
    <row r="33" spans="1:15" ht="11.25" customHeight="1" x14ac:dyDescent="0.2">
      <c r="A33" s="146">
        <v>0.99</v>
      </c>
      <c r="B33" s="146"/>
      <c r="C33" s="147">
        <v>5224.3999999999996</v>
      </c>
      <c r="D33" s="147"/>
      <c r="E33" s="147">
        <v>9597.4</v>
      </c>
      <c r="F33" s="147"/>
      <c r="G33" s="109">
        <v>9556.4</v>
      </c>
      <c r="H33" s="109">
        <v>7552.8</v>
      </c>
      <c r="I33" s="109">
        <v>9178.6990066666658</v>
      </c>
      <c r="J33" s="109">
        <v>10481.691033333333</v>
      </c>
      <c r="K33" s="147">
        <v>12928.013640000001</v>
      </c>
      <c r="L33" s="147"/>
      <c r="M33" s="147"/>
      <c r="N33" s="147"/>
      <c r="O33" s="109">
        <v>6444.0345400000006</v>
      </c>
    </row>
  </sheetData>
  <mergeCells count="111">
    <mergeCell ref="D1:M1"/>
    <mergeCell ref="D2:E2"/>
    <mergeCell ref="F2:K2"/>
    <mergeCell ref="L2:M2"/>
    <mergeCell ref="D3:E3"/>
    <mergeCell ref="F3:K3"/>
    <mergeCell ref="L3:M3"/>
    <mergeCell ref="A7:L7"/>
    <mergeCell ref="A9:O9"/>
    <mergeCell ref="A10:B10"/>
    <mergeCell ref="C10:D10"/>
    <mergeCell ref="E10:F10"/>
    <mergeCell ref="K10:N10"/>
    <mergeCell ref="D4:E4"/>
    <mergeCell ref="F4:K4"/>
    <mergeCell ref="L4:M4"/>
    <mergeCell ref="D5:E5"/>
    <mergeCell ref="F5:K5"/>
    <mergeCell ref="L5:M5"/>
    <mergeCell ref="A13:B13"/>
    <mergeCell ref="C13:D13"/>
    <mergeCell ref="E13:F13"/>
    <mergeCell ref="K13:N13"/>
    <mergeCell ref="A14:B14"/>
    <mergeCell ref="C14:D14"/>
    <mergeCell ref="E14:F14"/>
    <mergeCell ref="K14:N14"/>
    <mergeCell ref="A11:B11"/>
    <mergeCell ref="C11:D11"/>
    <mergeCell ref="E11:F11"/>
    <mergeCell ref="K11:N11"/>
    <mergeCell ref="A12:B12"/>
    <mergeCell ref="C12:D12"/>
    <mergeCell ref="E12:F12"/>
    <mergeCell ref="K12:N12"/>
    <mergeCell ref="A17:B17"/>
    <mergeCell ref="C17:D17"/>
    <mergeCell ref="E17:F17"/>
    <mergeCell ref="K17:N17"/>
    <mergeCell ref="A18:B18"/>
    <mergeCell ref="C18:D18"/>
    <mergeCell ref="E18:F18"/>
    <mergeCell ref="K18:N18"/>
    <mergeCell ref="A15:B15"/>
    <mergeCell ref="C15:D15"/>
    <mergeCell ref="E15:F15"/>
    <mergeCell ref="K15:N15"/>
    <mergeCell ref="A16:B16"/>
    <mergeCell ref="C16:D16"/>
    <mergeCell ref="E16:F16"/>
    <mergeCell ref="K16:N16"/>
    <mergeCell ref="A21:B21"/>
    <mergeCell ref="C21:D21"/>
    <mergeCell ref="E21:F21"/>
    <mergeCell ref="K21:N21"/>
    <mergeCell ref="A22:B22"/>
    <mergeCell ref="C22:D22"/>
    <mergeCell ref="E22:F22"/>
    <mergeCell ref="K22:N22"/>
    <mergeCell ref="A19:B19"/>
    <mergeCell ref="C19:D19"/>
    <mergeCell ref="E19:F19"/>
    <mergeCell ref="K19:N19"/>
    <mergeCell ref="A20:B20"/>
    <mergeCell ref="C20:D20"/>
    <mergeCell ref="E20:F20"/>
    <mergeCell ref="K20:N20"/>
    <mergeCell ref="A25:B25"/>
    <mergeCell ref="C25:D25"/>
    <mergeCell ref="E25:F25"/>
    <mergeCell ref="K25:N25"/>
    <mergeCell ref="A26:B26"/>
    <mergeCell ref="C26:D26"/>
    <mergeCell ref="E26:F26"/>
    <mergeCell ref="K26:N26"/>
    <mergeCell ref="A23:B23"/>
    <mergeCell ref="C23:D23"/>
    <mergeCell ref="E23:F23"/>
    <mergeCell ref="K23:N23"/>
    <mergeCell ref="A24:B24"/>
    <mergeCell ref="C24:D24"/>
    <mergeCell ref="E24:F24"/>
    <mergeCell ref="K24:N24"/>
    <mergeCell ref="A29:B29"/>
    <mergeCell ref="C29:D29"/>
    <mergeCell ref="E29:F29"/>
    <mergeCell ref="K29:N29"/>
    <mergeCell ref="A30:B30"/>
    <mergeCell ref="C30:D30"/>
    <mergeCell ref="E30:F30"/>
    <mergeCell ref="K30:N30"/>
    <mergeCell ref="A27:B27"/>
    <mergeCell ref="C27:D27"/>
    <mergeCell ref="E27:F27"/>
    <mergeCell ref="K27:N27"/>
    <mergeCell ref="A28:B28"/>
    <mergeCell ref="C28:D28"/>
    <mergeCell ref="E28:F28"/>
    <mergeCell ref="K28:N28"/>
    <mergeCell ref="A33:B33"/>
    <mergeCell ref="C33:D33"/>
    <mergeCell ref="E33:F33"/>
    <mergeCell ref="K33:N33"/>
    <mergeCell ref="A31:B31"/>
    <mergeCell ref="C31:D31"/>
    <mergeCell ref="E31:F31"/>
    <mergeCell ref="K31:N31"/>
    <mergeCell ref="A32:B32"/>
    <mergeCell ref="C32:D32"/>
    <mergeCell ref="E32:F32"/>
    <mergeCell ref="K32:N32"/>
  </mergeCells>
  <conditionalFormatting sqref="C12:O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75" header="0.3" footer="0.3"/>
  <pageSetup paperSize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-old-famDeduct-</vt:lpstr>
      <vt:lpstr>-old-mental-</vt:lpstr>
      <vt:lpstr>oldFamily Report</vt:lpstr>
      <vt:lpstr>newmental health</vt:lpstr>
      <vt:lpstr>FamDeduct</vt:lpstr>
      <vt:lpstr>FamNoPregYesMental</vt:lpstr>
      <vt:lpstr>IndDeduct</vt:lpstr>
      <vt:lpstr>IndNoPregYesMental</vt:lpstr>
      <vt:lpstr>IndNoPregNoMental</vt:lpstr>
      <vt:lpstr>RiskSerializationData8</vt:lpstr>
      <vt:lpstr>Combos</vt:lpstr>
      <vt:lpstr>RiskSerializationData8!BrowseRecords</vt:lpstr>
      <vt:lpstr>RiskSerializationData8!SerializationHeader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Griffith</dc:creator>
  <cp:lastModifiedBy>Beau Griffith</cp:lastModifiedBy>
  <dcterms:created xsi:type="dcterms:W3CDTF">2022-08-27T21:08:41Z</dcterms:created>
  <dcterms:modified xsi:type="dcterms:W3CDTF">2024-12-24T17:27:12Z</dcterms:modified>
</cp:coreProperties>
</file>