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andre\OneDrive\Escritorio\"/>
    </mc:Choice>
  </mc:AlternateContent>
  <xr:revisionPtr revIDLastSave="0" documentId="13_ncr:1_{95799C4B-2CC0-4FCF-B6D4-AEC9960183C7}" xr6:coauthVersionLast="47" xr6:coauthVersionMax="47" xr10:uidLastSave="{00000000-0000-0000-0000-000000000000}"/>
  <bookViews>
    <workbookView xWindow="-108" yWindow="-108" windowWidth="23256" windowHeight="12456" activeTab="2"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1" l="1"/>
  <c r="B2" i="11"/>
  <c r="B896" i="10"/>
  <c r="B895" i="10"/>
  <c r="B894" i="10"/>
  <c r="B893" i="10"/>
  <c r="B892" i="10"/>
  <c r="B891" i="10"/>
  <c r="B890" i="10"/>
  <c r="B889" i="10"/>
  <c r="B888" i="10"/>
  <c r="B887" i="10"/>
  <c r="B886" i="10"/>
  <c r="B885" i="10"/>
  <c r="B884" i="10"/>
  <c r="B882" i="10"/>
  <c r="B881" i="10"/>
  <c r="B879" i="10"/>
  <c r="B878" i="10"/>
  <c r="B877" i="10"/>
  <c r="B876" i="10"/>
  <c r="B875" i="10"/>
  <c r="B873" i="10"/>
  <c r="B872" i="10"/>
  <c r="B871" i="10"/>
  <c r="B870" i="10"/>
  <c r="B869" i="10"/>
  <c r="B868" i="10"/>
  <c r="B867" i="10"/>
  <c r="B866" i="10"/>
  <c r="B865" i="10"/>
  <c r="B864" i="10"/>
  <c r="B863" i="10"/>
  <c r="B862" i="10"/>
  <c r="B858" i="10"/>
  <c r="B857" i="10"/>
  <c r="B856" i="10"/>
  <c r="B855" i="10"/>
  <c r="B854" i="10"/>
  <c r="B853" i="10"/>
  <c r="B852" i="10"/>
  <c r="B851" i="10"/>
  <c r="B850" i="10"/>
  <c r="B849" i="10"/>
  <c r="B848" i="10"/>
  <c r="B847" i="10"/>
  <c r="B846" i="10"/>
  <c r="B845" i="10"/>
  <c r="B844" i="10"/>
  <c r="B843" i="10"/>
  <c r="B842" i="10"/>
  <c r="B841" i="10"/>
  <c r="B840" i="10"/>
  <c r="B839" i="10"/>
  <c r="B838" i="10"/>
  <c r="B837" i="10"/>
  <c r="B836" i="10"/>
  <c r="B835" i="10"/>
  <c r="B834" i="10"/>
  <c r="B833" i="10"/>
  <c r="B832" i="10"/>
  <c r="B831" i="10"/>
  <c r="B830" i="10"/>
  <c r="B829" i="10"/>
  <c r="B828" i="10"/>
  <c r="B827" i="10"/>
  <c r="B826" i="10"/>
  <c r="B825" i="10"/>
  <c r="B824" i="10"/>
  <c r="B823" i="10"/>
  <c r="B821" i="10"/>
  <c r="B820" i="10"/>
  <c r="B819" i="10"/>
  <c r="B818" i="10"/>
  <c r="B817" i="10"/>
  <c r="B816" i="10"/>
  <c r="B815" i="10"/>
  <c r="B814" i="10"/>
  <c r="B813" i="10"/>
  <c r="B812" i="10"/>
  <c r="B809" i="10"/>
  <c r="B808" i="10"/>
  <c r="B807" i="10"/>
  <c r="B806" i="10"/>
  <c r="B805" i="10"/>
  <c r="B804" i="10"/>
  <c r="B802" i="10"/>
  <c r="B801" i="10"/>
  <c r="B800" i="10"/>
  <c r="B797" i="10"/>
  <c r="B795" i="10"/>
  <c r="B794" i="10"/>
  <c r="B792" i="10"/>
  <c r="B791" i="10"/>
  <c r="B789" i="10"/>
  <c r="B788" i="10"/>
  <c r="B787" i="10"/>
  <c r="B786" i="10"/>
  <c r="B785" i="10"/>
  <c r="B784" i="10"/>
  <c r="B783" i="10"/>
  <c r="B782" i="10"/>
  <c r="B781" i="10"/>
  <c r="B780" i="10"/>
  <c r="B779" i="10"/>
  <c r="B778" i="10"/>
  <c r="B777" i="10"/>
  <c r="B776" i="10"/>
  <c r="B775" i="10"/>
  <c r="B774" i="10"/>
  <c r="B773" i="10"/>
  <c r="B772" i="10"/>
  <c r="B771" i="10"/>
  <c r="B770" i="10"/>
  <c r="B769" i="10"/>
  <c r="B767" i="10"/>
  <c r="B766" i="10"/>
  <c r="B765" i="10"/>
  <c r="B764" i="10"/>
  <c r="B763" i="10"/>
  <c r="B762" i="10"/>
  <c r="B761" i="10"/>
  <c r="B760" i="10"/>
  <c r="B759" i="10"/>
  <c r="B758" i="10"/>
  <c r="B757" i="10"/>
  <c r="B756" i="10"/>
  <c r="B755" i="10"/>
  <c r="B754" i="10"/>
  <c r="B753" i="10"/>
  <c r="B751" i="10"/>
  <c r="B750" i="10"/>
  <c r="B749" i="10"/>
  <c r="B748" i="10"/>
  <c r="B746" i="10"/>
  <c r="B745" i="10"/>
  <c r="B744" i="10"/>
  <c r="B743" i="10"/>
  <c r="B742" i="10"/>
  <c r="B741" i="10"/>
  <c r="B740" i="10"/>
  <c r="B739" i="10"/>
  <c r="B738" i="10"/>
  <c r="B737" i="10"/>
  <c r="B736" i="10"/>
  <c r="B735" i="10"/>
  <c r="B734" i="10"/>
  <c r="B733" i="10"/>
  <c r="B732" i="10"/>
  <c r="B731" i="10"/>
  <c r="B730" i="10"/>
  <c r="B729" i="10"/>
  <c r="B728" i="10"/>
  <c r="B727" i="10"/>
  <c r="B726" i="10"/>
  <c r="B725" i="10"/>
  <c r="B724" i="10"/>
  <c r="B723" i="10"/>
  <c r="B722" i="10"/>
  <c r="B721" i="10"/>
  <c r="B720" i="10"/>
  <c r="B719" i="10"/>
  <c r="B718" i="10"/>
  <c r="B717" i="10"/>
  <c r="B716" i="10"/>
  <c r="B715" i="10"/>
  <c r="B714" i="10"/>
  <c r="B713" i="10"/>
  <c r="B712" i="10"/>
  <c r="B711" i="10"/>
  <c r="B710" i="10"/>
  <c r="B709" i="10"/>
  <c r="B708" i="10"/>
  <c r="B707" i="10"/>
  <c r="B706" i="10"/>
  <c r="B705" i="10"/>
  <c r="B704" i="10"/>
  <c r="B703" i="10"/>
  <c r="B702" i="10"/>
  <c r="B701" i="10"/>
  <c r="B700" i="10"/>
  <c r="B699" i="10"/>
  <c r="B698" i="10"/>
  <c r="B697" i="10"/>
  <c r="B696" i="10"/>
  <c r="B695" i="10"/>
  <c r="B694" i="10"/>
  <c r="B693" i="10"/>
  <c r="B692" i="10"/>
  <c r="B691" i="10"/>
  <c r="B690" i="10"/>
  <c r="B689" i="10"/>
  <c r="B688" i="10"/>
  <c r="B687" i="10"/>
  <c r="B686" i="10"/>
  <c r="B685" i="10"/>
  <c r="B684" i="10"/>
  <c r="B683" i="10"/>
  <c r="B682" i="10"/>
  <c r="B681" i="10"/>
  <c r="B680" i="10"/>
  <c r="B679" i="10"/>
  <c r="B678" i="10"/>
  <c r="B677" i="10"/>
  <c r="B676" i="10"/>
  <c r="B675" i="10"/>
  <c r="B674" i="10"/>
  <c r="B673" i="10"/>
  <c r="B672" i="10"/>
  <c r="B671" i="10"/>
  <c r="B670" i="10"/>
  <c r="B669" i="10"/>
  <c r="B668" i="10"/>
  <c r="B667" i="10"/>
  <c r="B666" i="10"/>
  <c r="B665" i="10"/>
  <c r="B664" i="10"/>
  <c r="B663" i="10"/>
  <c r="B662" i="10"/>
  <c r="B661" i="10"/>
  <c r="B660" i="10"/>
  <c r="B659" i="10"/>
  <c r="B658" i="10"/>
  <c r="B657" i="10"/>
  <c r="B656" i="10"/>
  <c r="B655" i="10"/>
  <c r="B654" i="10"/>
  <c r="B653" i="10"/>
  <c r="B652" i="10"/>
  <c r="B651" i="10"/>
  <c r="B650" i="10"/>
  <c r="B649" i="10"/>
  <c r="B648" i="10"/>
  <c r="B647" i="10"/>
  <c r="B646" i="10"/>
  <c r="B645" i="10"/>
  <c r="B644" i="10"/>
  <c r="B643" i="10"/>
  <c r="B642" i="10"/>
  <c r="B641" i="10"/>
  <c r="B640" i="10"/>
  <c r="B639" i="10"/>
  <c r="B638" i="10"/>
  <c r="B637" i="10"/>
  <c r="B636" i="10"/>
  <c r="B635" i="10"/>
  <c r="B633" i="10"/>
  <c r="B631" i="10"/>
  <c r="B630" i="10"/>
  <c r="B629" i="10"/>
  <c r="B628" i="10"/>
  <c r="B627" i="10"/>
  <c r="B626" i="10"/>
  <c r="B625" i="10"/>
  <c r="B624" i="10"/>
  <c r="B623" i="10"/>
  <c r="B622" i="10"/>
  <c r="B621" i="10"/>
  <c r="B618" i="10"/>
  <c r="B616" i="10"/>
  <c r="B615" i="10"/>
  <c r="B614" i="10"/>
  <c r="B613" i="10"/>
  <c r="B611" i="10"/>
  <c r="B610" i="10"/>
  <c r="B609" i="10"/>
  <c r="B608" i="10"/>
  <c r="B607" i="10"/>
  <c r="B606" i="10"/>
  <c r="B605" i="10"/>
  <c r="B604" i="10"/>
  <c r="B603" i="10"/>
  <c r="B602" i="10"/>
  <c r="B601" i="10"/>
  <c r="B599" i="10"/>
  <c r="B598" i="10"/>
  <c r="B597" i="10"/>
  <c r="B596" i="10"/>
  <c r="B595" i="10"/>
  <c r="B593" i="10"/>
  <c r="B592" i="10"/>
  <c r="B591" i="10"/>
  <c r="B590" i="10"/>
  <c r="B589" i="10"/>
  <c r="B588" i="10"/>
  <c r="B587" i="10"/>
  <c r="B586" i="10"/>
  <c r="B585" i="10"/>
  <c r="B584" i="10"/>
  <c r="B583" i="10"/>
  <c r="B582" i="10"/>
  <c r="B581" i="10"/>
  <c r="B580" i="10"/>
  <c r="B579" i="10"/>
  <c r="B578" i="10"/>
  <c r="B577" i="10"/>
  <c r="B576" i="10"/>
  <c r="B575" i="10"/>
  <c r="B574" i="10"/>
  <c r="B570" i="10"/>
  <c r="B568" i="10"/>
  <c r="B567" i="10"/>
  <c r="B566" i="10"/>
  <c r="B565" i="10"/>
  <c r="B564" i="10"/>
  <c r="A563" i="10"/>
  <c r="B562" i="10"/>
  <c r="A561" i="10"/>
  <c r="B560" i="10"/>
  <c r="B559" i="10"/>
  <c r="B558" i="10"/>
  <c r="A557" i="10"/>
  <c r="B556" i="10"/>
  <c r="B554" i="10"/>
  <c r="B553" i="10"/>
  <c r="A550" i="10"/>
  <c r="B549" i="10"/>
  <c r="B548" i="10"/>
  <c r="B547" i="10"/>
  <c r="B543" i="10"/>
  <c r="B542" i="10"/>
  <c r="B538" i="10"/>
  <c r="B537" i="10"/>
  <c r="B536" i="10"/>
  <c r="B535" i="10"/>
  <c r="B534" i="10"/>
  <c r="B533" i="10"/>
  <c r="B532" i="10"/>
  <c r="B531" i="10"/>
  <c r="B530" i="10"/>
  <c r="B529" i="10"/>
  <c r="B528" i="10"/>
  <c r="B527" i="10"/>
  <c r="B526" i="10"/>
  <c r="B525" i="10"/>
  <c r="B524" i="10"/>
  <c r="B523" i="10"/>
  <c r="B522" i="10"/>
  <c r="B521" i="10"/>
  <c r="B520" i="10"/>
  <c r="B519" i="10"/>
  <c r="B518" i="10"/>
  <c r="B516" i="10"/>
  <c r="B515" i="10"/>
  <c r="B514" i="10"/>
  <c r="B513" i="10"/>
  <c r="B511" i="10"/>
  <c r="B510" i="10"/>
  <c r="B509" i="10"/>
  <c r="B504" i="10"/>
  <c r="B502" i="10"/>
  <c r="B501" i="10"/>
  <c r="B500" i="10"/>
  <c r="B499" i="10"/>
  <c r="B498" i="10"/>
  <c r="B497" i="10"/>
  <c r="B496" i="10"/>
  <c r="B495" i="10"/>
  <c r="B493" i="10"/>
  <c r="B492" i="10"/>
  <c r="B491" i="10"/>
  <c r="B489" i="10"/>
  <c r="B488" i="10"/>
  <c r="B487" i="10"/>
  <c r="B486" i="10"/>
  <c r="B484" i="10"/>
  <c r="B483" i="10"/>
  <c r="B482" i="10"/>
  <c r="B481" i="10"/>
  <c r="B480" i="10"/>
  <c r="B479" i="10"/>
  <c r="B478" i="10"/>
  <c r="B477" i="10"/>
  <c r="B476" i="10"/>
  <c r="B475" i="10"/>
  <c r="B474" i="10"/>
  <c r="B473" i="10"/>
  <c r="B471" i="10"/>
  <c r="B470" i="10"/>
  <c r="B469" i="10"/>
  <c r="B468" i="10"/>
  <c r="B467" i="10"/>
  <c r="B466" i="10"/>
  <c r="B465" i="10"/>
  <c r="B464" i="10"/>
  <c r="B463" i="10"/>
  <c r="B462" i="10"/>
  <c r="B461" i="10"/>
  <c r="B459" i="10"/>
  <c r="B458" i="10"/>
  <c r="B455" i="10"/>
  <c r="B454" i="10"/>
  <c r="B453" i="10"/>
  <c r="B451" i="10"/>
  <c r="B450" i="10"/>
  <c r="B449" i="10"/>
  <c r="B448" i="10"/>
  <c r="B447" i="10"/>
  <c r="B446" i="10"/>
  <c r="B445" i="10"/>
  <c r="B444" i="10"/>
  <c r="B443" i="10"/>
  <c r="B442" i="10"/>
  <c r="B441" i="10"/>
  <c r="B440" i="10"/>
  <c r="B439" i="10"/>
  <c r="B437" i="10"/>
  <c r="B436" i="10"/>
  <c r="B435" i="10"/>
  <c r="B434" i="10"/>
  <c r="B433" i="10"/>
  <c r="B432" i="10"/>
  <c r="B431" i="10"/>
  <c r="B430" i="10"/>
  <c r="B429" i="10"/>
  <c r="B428" i="10"/>
  <c r="B427" i="10"/>
  <c r="B426" i="10"/>
  <c r="B425" i="10"/>
  <c r="B424" i="10"/>
  <c r="B423" i="10"/>
  <c r="B422" i="10"/>
  <c r="B421" i="10"/>
  <c r="B420" i="10"/>
  <c r="B419" i="10"/>
  <c r="B417" i="10"/>
  <c r="B416" i="10"/>
  <c r="B415" i="10"/>
  <c r="B414" i="10"/>
  <c r="B413" i="10"/>
  <c r="B409" i="10"/>
  <c r="A408" i="10"/>
  <c r="B406" i="10"/>
  <c r="B405" i="10"/>
  <c r="B404" i="10"/>
  <c r="B402" i="10"/>
  <c r="B400" i="10"/>
  <c r="B399" i="10"/>
  <c r="B398" i="10"/>
  <c r="B397" i="10"/>
  <c r="B396" i="10"/>
  <c r="B395" i="10"/>
  <c r="B394" i="10"/>
  <c r="B392" i="10"/>
  <c r="B391" i="10"/>
  <c r="B390" i="10"/>
  <c r="B388" i="10"/>
  <c r="B387" i="10"/>
  <c r="B386" i="10"/>
  <c r="B385" i="10"/>
  <c r="B384" i="10"/>
  <c r="B383" i="10"/>
  <c r="B382" i="10"/>
  <c r="B381" i="10"/>
  <c r="B379" i="10"/>
  <c r="B376" i="10"/>
  <c r="B375" i="10"/>
  <c r="B373" i="10"/>
  <c r="B372" i="10"/>
  <c r="B371" i="10"/>
  <c r="B370" i="10"/>
  <c r="B369" i="10"/>
  <c r="B368" i="10"/>
  <c r="B367" i="10"/>
  <c r="B366" i="10"/>
  <c r="B365" i="10"/>
  <c r="B364" i="10"/>
  <c r="B363" i="10"/>
  <c r="B362" i="10"/>
  <c r="B361" i="10"/>
  <c r="B360" i="10"/>
  <c r="B359" i="10"/>
  <c r="B357" i="10"/>
  <c r="B356" i="10"/>
  <c r="B355" i="10"/>
  <c r="B354" i="10"/>
  <c r="B353" i="10"/>
  <c r="B352" i="10"/>
  <c r="B351" i="10"/>
  <c r="B350" i="10"/>
  <c r="B348" i="10"/>
  <c r="B347" i="10"/>
  <c r="B346" i="10"/>
  <c r="B345" i="10"/>
  <c r="B344" i="10"/>
  <c r="B343" i="10"/>
  <c r="B340" i="10"/>
  <c r="B339" i="10"/>
  <c r="B338" i="10"/>
  <c r="B337" i="10"/>
  <c r="B336" i="10"/>
  <c r="B334" i="10"/>
  <c r="B333" i="10"/>
  <c r="B332" i="10"/>
  <c r="B330" i="10"/>
  <c r="B329" i="10"/>
  <c r="B328" i="10"/>
  <c r="B326" i="10"/>
  <c r="B325" i="10"/>
  <c r="A322" i="10"/>
  <c r="B319" i="10"/>
  <c r="B318" i="10"/>
  <c r="B317" i="10"/>
  <c r="B316" i="10"/>
  <c r="B315" i="10"/>
  <c r="B314" i="10"/>
  <c r="B313" i="10"/>
  <c r="B312" i="10"/>
  <c r="B311" i="10"/>
  <c r="B310" i="10"/>
  <c r="B309" i="10"/>
  <c r="A308" i="10"/>
  <c r="B307" i="10"/>
  <c r="B306" i="10"/>
  <c r="B305" i="10"/>
  <c r="B304" i="10"/>
  <c r="B303" i="10"/>
  <c r="B302" i="10"/>
  <c r="B301" i="10"/>
  <c r="A300" i="10"/>
  <c r="B299" i="10"/>
  <c r="A298" i="10"/>
  <c r="B297" i="10"/>
  <c r="A296" i="10"/>
  <c r="B295" i="10"/>
  <c r="B294" i="10"/>
  <c r="B293" i="10"/>
  <c r="B289" i="10"/>
  <c r="A288" i="10"/>
  <c r="B287" i="10"/>
  <c r="A286" i="10"/>
  <c r="B285" i="10"/>
  <c r="B284" i="10"/>
  <c r="B283" i="10"/>
  <c r="B282" i="10"/>
  <c r="B281" i="10"/>
  <c r="B280" i="10"/>
  <c r="B279" i="10"/>
  <c r="B277" i="10"/>
  <c r="B274" i="10"/>
  <c r="B273" i="10"/>
  <c r="B272" i="10"/>
  <c r="B271" i="10"/>
  <c r="B270" i="10"/>
  <c r="B269" i="10"/>
  <c r="B268" i="10"/>
  <c r="B267" i="10"/>
  <c r="B266" i="10"/>
  <c r="B265" i="10"/>
  <c r="B263" i="10"/>
  <c r="B261" i="10"/>
  <c r="B260" i="10"/>
  <c r="B259" i="10"/>
  <c r="B258" i="10"/>
  <c r="B257" i="10"/>
  <c r="B256" i="10"/>
  <c r="B255" i="10"/>
  <c r="B254" i="10"/>
  <c r="B253" i="10"/>
  <c r="B252" i="10"/>
  <c r="B251" i="10"/>
  <c r="B250" i="10"/>
  <c r="B249" i="10"/>
  <c r="B248" i="10"/>
  <c r="B247" i="10"/>
  <c r="B246" i="10"/>
  <c r="B245" i="10"/>
  <c r="B244" i="10"/>
  <c r="B243" i="10"/>
  <c r="B242" i="10"/>
  <c r="B241" i="10"/>
  <c r="B240" i="10"/>
  <c r="B239" i="10"/>
  <c r="B238" i="10"/>
  <c r="B237" i="10"/>
  <c r="B236" i="10"/>
  <c r="B235" i="10"/>
  <c r="B234" i="10"/>
  <c r="B233" i="10"/>
  <c r="B232" i="10"/>
  <c r="B231" i="10"/>
  <c r="B230" i="10"/>
  <c r="B229" i="10"/>
  <c r="B227" i="10"/>
  <c r="B226" i="10"/>
  <c r="B225" i="10"/>
  <c r="B224" i="10"/>
  <c r="B223" i="10"/>
  <c r="B222" i="10"/>
  <c r="B221" i="10"/>
  <c r="B220" i="10"/>
  <c r="B219" i="10"/>
  <c r="B218" i="10"/>
  <c r="B217" i="10"/>
  <c r="B216" i="10"/>
  <c r="B215" i="10"/>
  <c r="B214" i="10"/>
  <c r="B213" i="10"/>
  <c r="B210" i="10"/>
  <c r="B208" i="10"/>
  <c r="B207" i="10"/>
  <c r="B206" i="10"/>
  <c r="B205" i="10"/>
  <c r="B204" i="10"/>
  <c r="B203" i="10"/>
  <c r="B202" i="10"/>
  <c r="B201" i="10"/>
  <c r="B200" i="10"/>
  <c r="B199" i="10"/>
  <c r="B198" i="10"/>
  <c r="B197" i="10"/>
  <c r="B196" i="10"/>
  <c r="B195" i="10"/>
  <c r="B194" i="10"/>
  <c r="B192" i="10"/>
  <c r="B190" i="10"/>
  <c r="B189" i="10"/>
  <c r="B188" i="10"/>
  <c r="B187" i="10"/>
  <c r="B184" i="10"/>
  <c r="B183" i="10"/>
  <c r="B182" i="10"/>
  <c r="B181" i="10"/>
  <c r="B180" i="10"/>
  <c r="B179" i="10"/>
  <c r="B178" i="10"/>
  <c r="B177" i="10"/>
  <c r="B176" i="10"/>
  <c r="B175" i="10"/>
  <c r="B174" i="10"/>
  <c r="B173" i="10"/>
  <c r="B172" i="10"/>
  <c r="B171" i="10"/>
  <c r="B170" i="10"/>
  <c r="B169" i="10"/>
  <c r="B168" i="10"/>
  <c r="B167" i="10"/>
  <c r="B166" i="10"/>
  <c r="B165" i="10"/>
  <c r="B164" i="10"/>
  <c r="B163" i="10"/>
  <c r="B162" i="10"/>
  <c r="B161" i="10"/>
  <c r="B160" i="10"/>
  <c r="B159" i="10"/>
  <c r="B158" i="10"/>
  <c r="B157" i="10"/>
  <c r="B156" i="10"/>
  <c r="B155" i="10"/>
  <c r="B153" i="10"/>
  <c r="B151" i="10"/>
  <c r="B149" i="10"/>
  <c r="B148" i="10"/>
  <c r="B147" i="10"/>
  <c r="B146" i="10"/>
  <c r="B145" i="10"/>
  <c r="B143" i="10"/>
  <c r="B142" i="10"/>
  <c r="B141" i="10"/>
  <c r="B140" i="10"/>
  <c r="B139" i="10"/>
  <c r="B138" i="10"/>
  <c r="B134" i="10"/>
  <c r="B133" i="10"/>
  <c r="B132" i="10"/>
  <c r="B131" i="10"/>
  <c r="B130" i="10"/>
  <c r="B129" i="10"/>
  <c r="B128" i="10"/>
  <c r="B127" i="10"/>
  <c r="B126" i="10"/>
  <c r="B125" i="10"/>
  <c r="B124" i="10"/>
  <c r="B123" i="10"/>
  <c r="B122" i="10"/>
  <c r="B121" i="10"/>
  <c r="B120" i="10"/>
  <c r="B119" i="10"/>
  <c r="B118" i="10"/>
  <c r="B117" i="10"/>
  <c r="B116" i="10"/>
  <c r="B115" i="10"/>
  <c r="B114" i="10"/>
  <c r="B113" i="10"/>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J2" i="9"/>
  <c r="G2" i="9"/>
  <c r="C2" i="9"/>
  <c r="E2" i="9" s="1"/>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J2" i="8"/>
  <c r="I2" i="8"/>
  <c r="F2" i="8"/>
  <c r="D2" i="8"/>
  <c r="C2" i="8"/>
  <c r="H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J2" i="7"/>
  <c r="I2" i="7"/>
  <c r="H2" i="7"/>
  <c r="G2" i="7"/>
  <c r="F2" i="7"/>
  <c r="E2" i="7"/>
  <c r="C2" i="7"/>
  <c r="D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J2" i="6"/>
  <c r="C2" i="6"/>
  <c r="I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H2" i="5"/>
  <c r="G2" i="5"/>
  <c r="F2" i="5"/>
  <c r="E2" i="5"/>
  <c r="D2" i="5"/>
  <c r="C2" i="5"/>
  <c r="J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J2" i="4"/>
  <c r="I2" i="4"/>
  <c r="H2" i="4"/>
  <c r="G2" i="4"/>
  <c r="C2" i="4"/>
  <c r="F2" i="4" s="1"/>
  <c r="B238" i="3"/>
  <c r="B237" i="3"/>
  <c r="B236" i="3"/>
  <c r="B235" i="3"/>
  <c r="B234" i="3"/>
  <c r="B233" i="3"/>
  <c r="B232" i="3"/>
  <c r="B231" i="3"/>
  <c r="B229" i="3"/>
  <c r="B228" i="3"/>
  <c r="B227" i="3"/>
  <c r="B226" i="3"/>
  <c r="B225" i="3"/>
  <c r="B224" i="3"/>
  <c r="B223" i="3"/>
  <c r="B222" i="3"/>
  <c r="B221" i="3"/>
  <c r="B220" i="3"/>
  <c r="B218" i="3"/>
  <c r="B217" i="3"/>
  <c r="B216" i="3"/>
  <c r="B215" i="3"/>
  <c r="B214" i="3"/>
  <c r="B213" i="3"/>
  <c r="B212" i="3"/>
  <c r="B211" i="3"/>
  <c r="B210" i="3"/>
  <c r="B209" i="3"/>
  <c r="B207" i="3"/>
  <c r="B206" i="3"/>
  <c r="B205" i="3"/>
  <c r="B204" i="3"/>
  <c r="B203" i="3"/>
  <c r="B202" i="3"/>
  <c r="B201" i="3"/>
  <c r="B200" i="3"/>
  <c r="B199" i="3"/>
  <c r="B198" i="3"/>
  <c r="B196" i="3"/>
  <c r="B195" i="3"/>
  <c r="B194" i="3"/>
  <c r="B193" i="3"/>
  <c r="B192" i="3"/>
  <c r="B191" i="3"/>
  <c r="B190" i="3"/>
  <c r="B189" i="3"/>
  <c r="B188" i="3"/>
  <c r="B187" i="3"/>
  <c r="B185" i="3"/>
  <c r="B184" i="3"/>
  <c r="B183" i="3"/>
  <c r="B182" i="3"/>
  <c r="B181" i="3"/>
  <c r="B180" i="3"/>
  <c r="B179" i="3"/>
  <c r="B178" i="3"/>
  <c r="B177" i="3"/>
  <c r="B176" i="3"/>
  <c r="B174" i="3"/>
  <c r="B173" i="3"/>
  <c r="B172" i="3"/>
  <c r="B171" i="3"/>
  <c r="B170" i="3"/>
  <c r="B169" i="3"/>
  <c r="B168" i="3"/>
  <c r="B167" i="3"/>
  <c r="B166" i="3"/>
  <c r="B165" i="3"/>
  <c r="B163" i="3"/>
  <c r="B162" i="3"/>
  <c r="B161" i="3"/>
  <c r="B160" i="3"/>
  <c r="B159" i="3"/>
  <c r="B158" i="3"/>
  <c r="B157" i="3"/>
  <c r="B156" i="3"/>
  <c r="B155" i="3"/>
  <c r="B153" i="3"/>
  <c r="B152" i="3"/>
  <c r="B151" i="3"/>
  <c r="B150" i="3"/>
  <c r="B149" i="3"/>
  <c r="B148" i="3"/>
  <c r="B147" i="3"/>
  <c r="B146" i="3"/>
  <c r="B145" i="3"/>
  <c r="B144" i="3"/>
  <c r="B142" i="3"/>
  <c r="B141" i="3"/>
  <c r="B140" i="3"/>
  <c r="B139" i="3"/>
  <c r="B138" i="3"/>
  <c r="B137" i="3"/>
  <c r="B136" i="3"/>
  <c r="B135" i="3"/>
  <c r="B134" i="3"/>
  <c r="B133" i="3"/>
  <c r="B131" i="3"/>
  <c r="B130" i="3"/>
  <c r="B129" i="3"/>
  <c r="B128" i="3"/>
  <c r="B127" i="3"/>
  <c r="B126" i="3"/>
  <c r="B125" i="3"/>
  <c r="B124" i="3"/>
  <c r="B123" i="3"/>
  <c r="B122" i="3"/>
  <c r="B121" i="3"/>
  <c r="B120" i="3"/>
  <c r="B119" i="3"/>
  <c r="B118" i="3"/>
  <c r="B117" i="3"/>
  <c r="B116" i="3"/>
  <c r="B115" i="3"/>
  <c r="B114" i="3"/>
  <c r="B113" i="3"/>
  <c r="B112" i="3"/>
  <c r="B108" i="3"/>
  <c r="B107" i="3"/>
  <c r="B106" i="3"/>
  <c r="B105" i="3"/>
  <c r="B102" i="3"/>
  <c r="B101" i="3"/>
  <c r="B100" i="3"/>
  <c r="B99" i="3"/>
  <c r="B98" i="3"/>
  <c r="B97" i="3"/>
  <c r="B96" i="3"/>
  <c r="B95" i="3"/>
  <c r="B94" i="3"/>
  <c r="B93" i="3"/>
  <c r="B92" i="3"/>
  <c r="B91" i="3"/>
  <c r="B90" i="3"/>
  <c r="B89" i="3"/>
  <c r="B88" i="3"/>
  <c r="B86" i="3"/>
  <c r="B85" i="3"/>
  <c r="B84" i="3"/>
  <c r="B83" i="3"/>
  <c r="B82" i="3"/>
  <c r="B81" i="3"/>
  <c r="B76" i="3"/>
  <c r="B75" i="3"/>
  <c r="B74" i="3"/>
  <c r="B73" i="3"/>
  <c r="B72" i="3"/>
  <c r="B71" i="3"/>
  <c r="B70" i="3"/>
  <c r="B69" i="3"/>
  <c r="B68" i="3"/>
  <c r="B67" i="3"/>
  <c r="B66" i="3"/>
  <c r="B65" i="3"/>
  <c r="B64" i="3"/>
  <c r="B63" i="3"/>
  <c r="B61" i="3"/>
  <c r="B60" i="3"/>
  <c r="B59" i="3"/>
  <c r="B57" i="3"/>
  <c r="B56" i="3"/>
  <c r="B55" i="3"/>
  <c r="B51" i="3"/>
  <c r="B50" i="3"/>
  <c r="B49" i="3"/>
  <c r="B48" i="3"/>
  <c r="B47" i="3"/>
  <c r="B46" i="3"/>
  <c r="B45" i="3"/>
  <c r="B44" i="3"/>
  <c r="B42" i="3"/>
  <c r="B41" i="3"/>
  <c r="B40" i="3"/>
  <c r="B39" i="3"/>
  <c r="B38" i="3"/>
  <c r="B37" i="3"/>
  <c r="B32" i="3"/>
  <c r="B31" i="3"/>
  <c r="B30" i="3"/>
  <c r="B29" i="3"/>
  <c r="B28" i="3"/>
  <c r="B27" i="3"/>
  <c r="B26" i="3"/>
  <c r="B25" i="3"/>
  <c r="B24" i="3"/>
  <c r="B23" i="3"/>
  <c r="B22" i="3"/>
  <c r="B21" i="3"/>
  <c r="B20" i="3"/>
  <c r="B18" i="3"/>
  <c r="B17" i="3"/>
  <c r="B16" i="3"/>
  <c r="B15" i="3"/>
  <c r="B14" i="3"/>
  <c r="B13" i="3"/>
  <c r="B12" i="3"/>
  <c r="B11" i="3"/>
  <c r="B10" i="3"/>
  <c r="B9" i="3"/>
  <c r="B8" i="3"/>
  <c r="B7" i="3"/>
  <c r="B6" i="3"/>
  <c r="B5" i="3"/>
  <c r="B3" i="3"/>
  <c r="B2" i="3"/>
  <c r="B73" i="1"/>
  <c r="B71" i="1"/>
  <c r="B70" i="1"/>
  <c r="B69" i="1"/>
  <c r="B68" i="1"/>
  <c r="B62" i="1"/>
  <c r="B61" i="1"/>
  <c r="B60" i="1"/>
  <c r="B59" i="1"/>
  <c r="B55" i="1"/>
  <c r="B48" i="1"/>
  <c r="B9" i="1"/>
  <c r="E3" i="1"/>
  <c r="I2" i="9" l="1"/>
  <c r="F2" i="9"/>
  <c r="H2" i="9"/>
  <c r="E2" i="8"/>
  <c r="G2" i="8"/>
  <c r="E2" i="6"/>
  <c r="F2" i="6"/>
  <c r="E2" i="4"/>
  <c r="I2" i="5"/>
  <c r="H2" i="6"/>
  <c r="D2" i="9"/>
  <c r="D2" i="6"/>
  <c r="D2" i="4"/>
  <c r="G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19" authorId="0" shapeId="0" xr:uid="{00000000-0006-0000-0900-000002000000}">
      <text>
        <r>
          <rPr>
            <sz val="10"/>
            <color rgb="FF000000"/>
            <rFont val="Arial"/>
          </rPr>
          <t>Google first Goldbach's conjecture</t>
        </r>
      </text>
    </comment>
  </commentList>
</comments>
</file>

<file path=xl/sharedStrings.xml><?xml version="1.0" encoding="utf-8"?>
<sst xmlns="http://schemas.openxmlformats.org/spreadsheetml/2006/main" count="3076" uniqueCount="1814">
  <si>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</si>
  <si>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</si>
  <si>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</si>
  <si>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</si>
  <si>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</si>
  <si>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</si>
  <si>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</si>
  <si>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</si>
  <si>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</si>
  <si>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</si>
  <si>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</si>
  <si>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</si>
  <si>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</si>
  <si>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</si>
  <si>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</si>
  <si>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</si>
  <si>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</si>
  <si>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</si>
  <si>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</si>
  <si>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</si>
  <si>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</si>
  <si>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</si>
  <si>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</si>
  <si>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</si>
  <si>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</si>
  <si>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</si>
  <si>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</si>
  <si>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</si>
  <si>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</si>
  <si>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</si>
  <si>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</si>
  <si>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</si>
  <si>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</si>
  <si>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</si>
  <si>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</si>
  <si>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</si>
  <si>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</si>
  <si>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</si>
  <si>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</si>
  <si>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</si>
  <si>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</si>
  <si>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</si>
  <si>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</si>
  <si>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</si>
  <si>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</si>
  <si>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</si>
  <si>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</si>
  <si>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</si>
  <si>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</si>
  <si>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</si>
  <si>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</si>
  <si>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</si>
  <si>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</si>
  <si>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</si>
  <si>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</si>
  <si>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</si>
  <si>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</si>
  <si>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</si>
  <si>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</si>
  <si>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</si>
  <si>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</si>
  <si>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</si>
  <si>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</si>
  <si>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</si>
  <si>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</si>
  <si>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</si>
  <si>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</si>
  <si>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</si>
  <si>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</si>
  <si>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</si>
  <si>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</si>
  <si>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</si>
  <si>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</si>
  <si>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</si>
  <si>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</si>
  <si>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</si>
  <si>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</si>
  <si>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</si>
  <si>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</si>
  <si>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</si>
  <si>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</si>
  <si>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</si>
  <si>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</si>
  <si>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</si>
  <si>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</si>
  <si>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</si>
  <si>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</si>
  <si>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</si>
  <si>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</si>
  <si>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</si>
  <si>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</si>
  <si>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</si>
  <si>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</si>
  <si>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</si>
  <si>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</si>
  <si>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</si>
  <si>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</si>
  <si>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</si>
  <si>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</si>
  <si>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</si>
  <si>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</si>
  <si>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</si>
  <si>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</si>
  <si>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</si>
  <si>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</si>
  <si>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</si>
  <si>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</si>
  <si>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</si>
  <si>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</si>
  <si>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</si>
  <si>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</si>
  <si>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</si>
  <si>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</si>
  <si>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</si>
  <si>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</si>
  <si>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</si>
  <si>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</si>
  <si>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</si>
  <si>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</si>
  <si>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</si>
  <si>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</si>
  <si>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</si>
  <si>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</si>
  <si>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</si>
  <si>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</si>
  <si>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</si>
  <si>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</si>
  <si>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</si>
  <si>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</si>
  <si>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</si>
  <si>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</si>
  <si>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</si>
  <si>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</si>
  <si>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</si>
  <si>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</si>
  <si>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</si>
  <si>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</si>
  <si>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</si>
  <si>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</si>
  <si>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</si>
  <si>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</si>
  <si>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</si>
  <si>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</si>
  <si>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</si>
  <si>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</si>
  <si>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</si>
  <si>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</si>
  <si>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</si>
  <si>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</si>
  <si>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</si>
  <si>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</si>
  <si>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</si>
  <si>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</si>
  <si>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</si>
  <si>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</si>
  <si>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</si>
  <si>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</si>
  <si>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</si>
  <si>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</si>
  <si>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</si>
  <si>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Yes</t>
  </si>
  <si>
    <t>Vanya and Fence</t>
  </si>
  <si>
    <t>Anton and Danik</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</si>
  <si>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</si>
  <si>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</si>
  <si>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</si>
  <si>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</si>
  <si>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</si>
  <si>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</si>
  <si>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</si>
  <si>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</si>
  <si>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</si>
  <si>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</si>
  <si>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</si>
  <si>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</si>
  <si>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</si>
  <si>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</si>
  <si>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</si>
  <si>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</si>
  <si>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</si>
  <si>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</si>
  <si>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</si>
  <si>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</si>
  <si>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</si>
  <si>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</si>
  <si>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</si>
  <si>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</si>
  <si>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</si>
  <si>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</si>
  <si>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</si>
  <si>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</si>
  <si>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</si>
  <si>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</si>
  <si>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</si>
  <si>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</si>
  <si>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</si>
  <si>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</si>
  <si>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</si>
  <si>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</si>
  <si>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</si>
  <si>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</si>
  <si>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</si>
  <si>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</si>
  <si>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</si>
  <si>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</si>
  <si>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</si>
  <si>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</si>
  <si>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</si>
  <si>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</si>
  <si>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</si>
  <si>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</si>
  <si>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</si>
  <si>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</si>
  <si>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</si>
  <si>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</si>
  <si>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</si>
  <si>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</si>
  <si>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</si>
  <si>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</si>
  <si>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</si>
  <si>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</si>
  <si>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</si>
  <si>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</si>
  <si>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</si>
  <si>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</si>
  <si>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</si>
  <si>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</si>
  <si>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</si>
  <si>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</si>
  <si>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</si>
  <si>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</si>
  <si>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</si>
  <si>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</si>
  <si>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</si>
  <si>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</si>
  <si>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</si>
  <si>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</si>
  <si>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</si>
  <si>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</si>
  <si>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</si>
  <si>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</si>
  <si>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</si>
  <si>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</si>
  <si>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</si>
  <si>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</si>
  <si>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</si>
  <si>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</si>
  <si>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</si>
  <si>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</si>
  <si>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</si>
  <si>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</si>
  <si>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</si>
  <si>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</si>
  <si>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</si>
  <si>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</si>
  <si>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</si>
  <si>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</si>
  <si>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</si>
  <si>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</si>
  <si>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</si>
  <si>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</si>
  <si>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</si>
  <si>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</si>
  <si>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</si>
  <si>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</si>
  <si>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</si>
  <si>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</si>
  <si>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</si>
  <si>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</si>
  <si>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</si>
  <si>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</si>
  <si>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</si>
  <si>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</si>
  <si>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</si>
  <si>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</si>
  <si>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</si>
  <si>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</si>
  <si>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</si>
  <si>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</si>
  <si>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</si>
  <si>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</si>
  <si>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</si>
  <si>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</si>
  <si>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</si>
  <si>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</si>
  <si>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</si>
  <si>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</si>
  <si>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</si>
  <si>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</si>
  <si>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</si>
  <si>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</si>
  <si>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</si>
  <si>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</si>
  <si>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</si>
  <si>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</si>
  <si>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</si>
  <si>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</si>
  <si>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</si>
  <si>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</si>
  <si>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</si>
  <si>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</si>
  <si>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</si>
  <si>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</si>
  <si>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</si>
  <si>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</si>
  <si>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</si>
  <si>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</si>
  <si>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</si>
  <si>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</si>
  <si>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</si>
  <si>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</si>
  <si>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</si>
  <si>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</si>
  <si>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</si>
  <si>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</si>
  <si>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</si>
  <si>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</si>
  <si>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</si>
  <si>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</si>
  <si>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</si>
  <si>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</si>
  <si>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</si>
  <si>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</si>
  <si>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</si>
  <si>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</si>
  <si>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</si>
  <si>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</si>
  <si>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</si>
  <si>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</si>
  <si>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</si>
  <si>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</si>
  <si>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</si>
  <si>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</si>
  <si>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</si>
  <si>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</si>
  <si>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</si>
  <si>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</si>
  <si>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</si>
  <si>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</si>
  <si>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</si>
  <si>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</si>
  <si>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</si>
  <si>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</si>
  <si>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</si>
  <si>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</si>
  <si>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</si>
  <si>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</si>
  <si>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</si>
  <si>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</si>
  <si>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</si>
  <si>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</si>
  <si>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</si>
  <si>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</si>
  <si>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</si>
  <si>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</si>
  <si>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</si>
  <si>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</si>
  <si>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</si>
  <si>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</si>
  <si>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</si>
  <si>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</si>
  <si>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</si>
  <si>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</si>
  <si>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</si>
  <si>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</si>
  <si>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</si>
  <si>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</si>
  <si>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</si>
  <si>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</si>
  <si>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</si>
  <si>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</si>
  <si>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</si>
  <si>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</si>
  <si>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</si>
  <si>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</si>
  <si>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</si>
  <si>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</si>
  <si>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</si>
  <si>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</si>
  <si>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</si>
  <si>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</si>
  <si>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</si>
  <si>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</si>
  <si>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</si>
  <si>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</si>
  <si>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</si>
  <si>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</si>
  <si>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</si>
  <si>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</si>
  <si>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</si>
  <si>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</si>
  <si>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</si>
  <si>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</si>
  <si>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</si>
  <si>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</si>
  <si>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</si>
  <si>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</si>
  <si>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</si>
  <si>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</si>
  <si>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</si>
  <si>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</si>
  <si>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</si>
  <si>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</si>
  <si>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</si>
  <si>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</si>
  <si>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</si>
  <si>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</si>
  <si>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</si>
  <si>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</si>
  <si>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</si>
  <si>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</si>
  <si>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</si>
  <si>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</si>
  <si>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</si>
  <si>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</si>
  <si>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</si>
  <si>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</si>
  <si>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</si>
  <si>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</si>
  <si>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</si>
  <si>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</si>
  <si>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</si>
  <si>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</si>
  <si>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</si>
  <si>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</si>
  <si>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</si>
  <si>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</si>
  <si>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</si>
  <si>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</si>
  <si>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</si>
  <si>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</si>
  <si>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</si>
  <si>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</si>
  <si>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</si>
  <si>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</si>
  <si>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</si>
  <si>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</si>
  <si>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</si>
  <si>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</si>
  <si>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</si>
  <si>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</si>
  <si>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</si>
  <si>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</si>
  <si>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</si>
  <si>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</si>
  <si>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</si>
  <si>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</si>
  <si>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</si>
  <si>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</si>
  <si>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</si>
  <si>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</si>
  <si>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</si>
  <si>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</si>
  <si>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</si>
  <si>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</si>
  <si>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</si>
  <si>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</si>
  <si>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</si>
  <si>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</si>
  <si>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</si>
  <si>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</si>
  <si>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</si>
  <si>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</si>
  <si>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</si>
  <si>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</si>
  <si>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</si>
  <si>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</si>
  <si>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</si>
  <si>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</si>
  <si>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</si>
  <si>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</si>
  <si>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</si>
  <si>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</si>
  <si>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</si>
  <si>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</si>
  <si>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</si>
  <si>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</si>
  <si>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</si>
  <si>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</si>
  <si>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</si>
  <si>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</si>
  <si>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</si>
  <si>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</si>
  <si>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</si>
  <si>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</si>
  <si>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</si>
  <si>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</si>
  <si>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</si>
  <si>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</si>
  <si>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</si>
  <si>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</si>
  <si>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</si>
  <si>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</si>
  <si>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</si>
  <si>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</si>
  <si>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</si>
  <si>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</si>
  <si>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</si>
  <si>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</si>
  <si>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</si>
  <si>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</si>
  <si>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</si>
  <si>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</si>
  <si>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</si>
  <si>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</si>
  <si>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</si>
  <si>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</si>
  <si>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</si>
  <si>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</si>
  <si>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</si>
  <si>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</si>
  <si>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</si>
  <si>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</si>
  <si>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</si>
  <si>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</si>
  <si>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</si>
  <si>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</si>
  <si>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</si>
  <si>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</si>
  <si>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</si>
  <si>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</si>
  <si>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</si>
  <si>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</si>
  <si>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</si>
  <si>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</si>
  <si>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</si>
  <si>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</si>
  <si>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</si>
  <si>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</si>
  <si>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</si>
  <si>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</si>
  <si>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</si>
  <si>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</si>
  <si>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</si>
  <si>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</si>
  <si>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</si>
  <si>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</si>
  <si>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</si>
  <si>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</si>
  <si>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</si>
  <si>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</si>
  <si>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</si>
  <si>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</si>
  <si>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</si>
  <si>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</si>
  <si>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</si>
  <si>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</si>
  <si>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</si>
  <si>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</si>
  <si>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</si>
  <si>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</si>
  <si>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</si>
  <si>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</si>
  <si>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</si>
  <si>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</si>
  <si>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</si>
  <si>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</si>
  <si>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</si>
  <si>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</si>
  <si>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</si>
  <si>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</si>
  <si>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</si>
  <si>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</si>
  <si>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</si>
  <si>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</si>
  <si>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</si>
  <si>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</si>
  <si>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</si>
  <si>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</si>
  <si>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</si>
  <si>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</si>
  <si>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</si>
  <si>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</si>
  <si>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</si>
  <si>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</si>
  <si>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</si>
  <si>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</si>
  <si>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</si>
  <si>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</si>
  <si>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</si>
  <si>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</si>
  <si>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</si>
  <si>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</si>
  <si>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</si>
  <si>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</si>
  <si>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</si>
  <si>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</si>
  <si>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</si>
  <si>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</si>
  <si>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</si>
  <si>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</si>
  <si>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</si>
  <si>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</si>
  <si>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</si>
  <si>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</si>
  <si>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</si>
  <si>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</si>
  <si>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</si>
  <si>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</si>
  <si>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</si>
  <si>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</si>
  <si>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</si>
  <si>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</si>
  <si>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</si>
  <si>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</si>
  <si>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</si>
  <si>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</si>
  <si>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</si>
  <si>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</si>
  <si>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</si>
  <si>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</si>
  <si>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</si>
  <si>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</si>
  <si>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</si>
  <si>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</si>
  <si>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</si>
  <si>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</si>
  <si>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</si>
  <si>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</si>
  <si>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</si>
  <si>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</si>
  <si>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</si>
  <si>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</si>
  <si>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</si>
  <si>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</si>
  <si>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</si>
  <si>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</si>
  <si>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</si>
  <si>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</si>
  <si>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</si>
  <si>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</si>
  <si>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</si>
  <si>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</si>
  <si>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</si>
  <si>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</si>
  <si>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</si>
  <si>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</si>
  <si>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</si>
  <si>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</si>
  <si>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</si>
  <si>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</si>
  <si>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</si>
  <si>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</si>
  <si>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</si>
  <si>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</si>
  <si>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</si>
  <si>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</si>
  <si>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</si>
  <si>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</si>
  <si>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</si>
  <si>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</si>
  <si>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</si>
  <si>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</si>
  <si>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</si>
  <si>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</si>
  <si>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</si>
  <si>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</si>
  <si>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</si>
  <si>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</si>
  <si>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</si>
  <si>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</si>
  <si>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</si>
  <si>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</si>
  <si>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</si>
  <si>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</si>
  <si>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</si>
  <si>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</si>
  <si>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</si>
  <si>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</si>
  <si>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</si>
  <si>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</si>
  <si>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</si>
  <si>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</si>
  <si>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</si>
  <si>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</si>
  <si>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</si>
  <si>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</si>
  <si>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</si>
  <si>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</si>
  <si>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</si>
  <si>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</si>
  <si>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</si>
  <si>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</si>
  <si>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</si>
  <si>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</si>
  <si>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</si>
  <si>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</si>
  <si>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</si>
  <si>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</si>
  <si>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</si>
  <si>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</si>
  <si>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</si>
  <si>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</si>
  <si>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</si>
  <si>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</si>
  <si>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</si>
  <si>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</si>
  <si>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</si>
  <si>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</si>
  <si>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</si>
  <si>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</si>
  <si>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</si>
  <si>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</si>
  <si>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</si>
  <si>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</si>
  <si>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</si>
  <si>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</si>
  <si>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</si>
  <si>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</si>
  <si>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</si>
  <si>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</si>
  <si>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</si>
  <si>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</si>
  <si>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</si>
  <si>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</si>
  <si>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</si>
  <si>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</si>
  <si>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</si>
  <si>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</si>
  <si>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</si>
  <si>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</si>
  <si>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</si>
  <si>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</si>
  <si>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</si>
  <si>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</si>
  <si>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</si>
  <si>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</si>
  <si>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</si>
  <si>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</si>
  <si>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</si>
  <si>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</si>
  <si>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</si>
  <si>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</si>
  <si>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</si>
  <si>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</si>
  <si>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</si>
  <si>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</si>
  <si>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</si>
  <si>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</si>
  <si>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</si>
  <si>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</si>
  <si>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</si>
  <si>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</si>
  <si>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</si>
  <si>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</si>
  <si>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</si>
  <si>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</si>
  <si>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</si>
  <si>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</si>
  <si>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</si>
  <si>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</si>
  <si>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</si>
  <si>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</si>
  <si>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</si>
  <si>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</si>
  <si>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</si>
  <si>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</si>
  <si>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</si>
  <si>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</si>
  <si>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</si>
  <si>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</si>
  <si>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</si>
  <si>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</si>
  <si>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</si>
  <si>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</si>
  <si>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</si>
  <si>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</si>
  <si>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</si>
  <si>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</si>
  <si>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</si>
  <si>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</si>
  <si>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</si>
  <si>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</si>
  <si>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</si>
  <si>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</si>
  <si>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</si>
  <si>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</si>
  <si>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</si>
  <si>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</si>
  <si>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</si>
  <si>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</si>
  <si>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</si>
  <si>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</si>
  <si>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</si>
  <si>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</si>
  <si>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</si>
  <si>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</si>
  <si>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</si>
  <si>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</si>
  <si>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</si>
  <si>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</si>
  <si>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</si>
  <si>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</si>
  <si>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</si>
  <si>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</si>
  <si>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</si>
  <si>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</si>
  <si>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</si>
  <si>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</si>
  <si>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</si>
  <si>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</si>
  <si>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</si>
  <si>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</si>
  <si>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</si>
  <si>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</si>
  <si>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</si>
  <si>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</si>
  <si>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</si>
  <si>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</si>
  <si>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</si>
  <si>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</si>
  <si>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</si>
  <si>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</si>
  <si>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</si>
  <si>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</si>
  <si>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</si>
  <si>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</si>
  <si>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</si>
  <si>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</si>
  <si>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</si>
  <si>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</si>
  <si>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</si>
  <si>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</si>
  <si>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</si>
  <si>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</si>
  <si>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</si>
  <si>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</si>
  <si>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</si>
  <si>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</si>
  <si>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</si>
  <si>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</si>
  <si>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</si>
  <si>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</si>
  <si>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</si>
  <si>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</si>
  <si>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</si>
  <si>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</si>
  <si>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</si>
  <si>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</si>
  <si>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</si>
  <si>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</si>
  <si>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</si>
  <si>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</si>
  <si>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</si>
  <si>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</si>
  <si>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</si>
  <si>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</si>
  <si>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</si>
  <si>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</si>
  <si>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</si>
  <si>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</si>
  <si>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</si>
  <si>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</si>
  <si>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</si>
  <si>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</si>
  <si>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</si>
  <si>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</si>
  <si>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</si>
  <si>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</si>
  <si>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</si>
  <si>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</si>
  <si>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</si>
  <si>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</si>
  <si>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</si>
  <si>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</si>
  <si>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</si>
  <si>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</si>
  <si>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</si>
  <si>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</si>
  <si>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</si>
  <si>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</si>
  <si>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</si>
  <si>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</si>
  <si>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</si>
  <si>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</si>
  <si>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</si>
  <si>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</si>
  <si>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</si>
  <si>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</si>
  <si>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</si>
  <si>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</si>
  <si>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</si>
  <si>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</si>
  <si>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</si>
  <si>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</si>
  <si>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</si>
  <si>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</si>
  <si>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</si>
  <si>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</si>
  <si>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</si>
  <si>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</si>
  <si>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</si>
  <si>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</si>
  <si>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</si>
  <si>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</si>
  <si>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</si>
  <si>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</si>
  <si>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</si>
  <si>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</si>
  <si>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</si>
  <si>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</si>
  <si>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</si>
  <si>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</si>
  <si>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</si>
  <si>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</si>
  <si>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</si>
  <si>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</si>
  <si>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</si>
  <si>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</si>
  <si>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</si>
  <si>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</si>
  <si>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</si>
  <si>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</si>
  <si>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</si>
  <si>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</si>
  <si>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</si>
  <si>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</si>
  <si>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</si>
  <si>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</si>
  <si>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</si>
  <si>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</si>
  <si>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</si>
  <si>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</si>
  <si>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</si>
  <si>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</si>
  <si>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</si>
  <si>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</si>
  <si>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</si>
  <si>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</si>
  <si>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</si>
  <si>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</si>
  <si>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</si>
  <si>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</si>
  <si>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</si>
  <si>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</si>
  <si>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</si>
  <si>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</si>
  <si>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</si>
  <si>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</si>
  <si>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</si>
  <si>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</si>
  <si>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</si>
  <si>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</si>
  <si>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</si>
  <si>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</si>
  <si>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</si>
  <si>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</si>
  <si>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</si>
  <si>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</si>
  <si>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</si>
  <si>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</si>
  <si>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</si>
  <si>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</si>
  <si>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</si>
  <si>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</si>
  <si>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</si>
  <si>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</si>
  <si>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</si>
  <si>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</si>
  <si>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</si>
  <si>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</si>
  <si>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</si>
  <si>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</si>
  <si>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</si>
  <si>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</si>
  <si>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</si>
  <si>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</si>
  <si>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</si>
  <si>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</si>
  <si>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</si>
  <si>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</si>
  <si>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</si>
  <si>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</si>
  <si>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</si>
  <si>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</si>
  <si>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</si>
  <si>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</si>
  <si>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</si>
  <si>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</si>
  <si>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</si>
  <si>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</si>
  <si>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</si>
  <si>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</si>
  <si>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</si>
  <si>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</si>
  <si>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</si>
  <si>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</si>
  <si>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</si>
  <si>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</si>
  <si>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</si>
  <si>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</si>
  <si>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</si>
  <si>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</si>
  <si>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</si>
  <si>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</si>
  <si>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</si>
  <si>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</si>
  <si>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</si>
  <si>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</si>
  <si>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</si>
  <si>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</si>
  <si>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</si>
  <si>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</si>
  <si>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</si>
  <si>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</si>
  <si>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</si>
  <si>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</si>
  <si>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</si>
  <si>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</si>
  <si>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</si>
  <si>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</si>
  <si>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</si>
  <si>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</si>
  <si>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</si>
  <si>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</si>
  <si>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</si>
  <si>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</si>
  <si>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</si>
  <si>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</si>
  <si>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</si>
  <si>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</si>
  <si>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</si>
  <si>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</si>
  <si>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</si>
  <si>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</si>
  <si>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</si>
  <si>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</si>
  <si>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</si>
  <si>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</si>
  <si>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</si>
  <si>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</si>
  <si>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</si>
  <si>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</si>
  <si>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</si>
  <si>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</si>
  <si>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</si>
  <si>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</si>
  <si>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</si>
  <si>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</si>
  <si>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</si>
  <si>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</si>
  <si>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</si>
  <si>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</si>
  <si>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</si>
  <si>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</si>
  <si>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</si>
  <si>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</si>
  <si>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</si>
  <si>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</si>
  <si>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</si>
  <si>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</si>
  <si>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</si>
  <si>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</si>
  <si>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</si>
  <si>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</si>
  <si>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</si>
  <si>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</si>
  <si>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</si>
  <si>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</si>
  <si>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</si>
  <si>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</si>
  <si>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</si>
  <si>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</si>
  <si>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</si>
  <si>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</si>
  <si>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</si>
  <si>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</si>
  <si>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</si>
  <si>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</si>
  <si>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</si>
  <si>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</si>
  <si>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</si>
  <si>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</si>
  <si>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</si>
  <si>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</si>
  <si>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</si>
  <si>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</si>
  <si>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</si>
  <si>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</si>
  <si>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</si>
  <si>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</si>
  <si>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</si>
  <si>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</si>
  <si>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</si>
  <si>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</si>
  <si>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</si>
  <si>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</si>
  <si>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</si>
  <si>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</si>
  <si>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</si>
  <si>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</si>
  <si>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</si>
  <si>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</si>
  <si>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</si>
  <si>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</si>
  <si>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</si>
  <si>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</si>
  <si>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</si>
  <si>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</si>
  <si>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</si>
  <si>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</si>
  <si>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</si>
  <si>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</si>
  <si>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</si>
  <si>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</si>
  <si>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</si>
  <si>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</si>
  <si>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</si>
  <si>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</si>
  <si>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</si>
  <si>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</si>
  <si>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</si>
  <si>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</si>
  <si>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</si>
  <si>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</si>
  <si>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</si>
  <si>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</si>
  <si>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</si>
  <si>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</si>
  <si>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</si>
  <si>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</si>
  <si>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</si>
  <si>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</si>
  <si>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</si>
  <si>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</si>
  <si>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</si>
  <si>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</si>
  <si>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</si>
  <si>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</si>
  <si>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</si>
  <si>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</si>
  <si>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</si>
  <si>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</si>
  <si>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</si>
  <si>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</si>
  <si>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</si>
  <si>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</si>
  <si>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</si>
  <si>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</si>
  <si>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</si>
  <si>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</si>
  <si>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</si>
  <si>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</si>
  <si>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</si>
  <si>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</si>
  <si>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</si>
  <si>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</si>
  <si>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</si>
  <si>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</si>
  <si>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</si>
  <si>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</si>
  <si>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</si>
  <si>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</si>
  <si>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</si>
  <si>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</si>
  <si>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</si>
  <si>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</si>
  <si>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</si>
  <si>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</si>
  <si>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</si>
  <si>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</si>
  <si>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</si>
  <si>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</si>
  <si>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</si>
  <si>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</si>
  <si>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</si>
  <si>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</si>
  <si>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</si>
  <si>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</si>
  <si>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</si>
  <si>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</si>
  <si>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</si>
  <si>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</si>
  <si>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</si>
  <si>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</si>
  <si>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</si>
  <si>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</si>
  <si>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</si>
  <si>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</si>
  <si>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</si>
  <si>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</si>
  <si>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</si>
  <si>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</si>
  <si>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</si>
  <si>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</si>
  <si>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</si>
  <si>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</si>
  <si>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</si>
  <si>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</si>
  <si>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</si>
  <si>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</si>
  <si>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</si>
  <si>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</si>
  <si>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</si>
  <si>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</si>
  <si>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</si>
  <si>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</si>
  <si>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</si>
  <si>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</si>
  <si>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</si>
  <si>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Mostafa Category</t>
  </si>
  <si>
    <t>adhoc, NA</t>
  </si>
  <si>
    <t>adhoc</t>
  </si>
  <si>
    <t>adhoc, calender, leap year</t>
  </si>
  <si>
    <t>adhoc, stable sort</t>
  </si>
  <si>
    <t>adhoc, stl</t>
  </si>
  <si>
    <t>adhock, prefix sum</t>
  </si>
  <si>
    <t>adhoc, prefix sum</t>
  </si>
  <si>
    <t>adhoc, constructive</t>
  </si>
  <si>
    <t>adhoc, cycle detection for iterated function</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</si>
  <si>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</si>
  <si>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</si>
  <si>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</si>
  <si>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</si>
  <si>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</si>
  <si>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</si>
  <si>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</si>
  <si>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</si>
  <si>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</si>
  <si>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</si>
  <si>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</si>
  <si>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</si>
  <si>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</si>
  <si>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</si>
  <si>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</si>
  <si>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</si>
  <si>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</si>
  <si>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</si>
  <si>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</si>
  <si>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</si>
  <si>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</si>
  <si>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</si>
  <si>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</si>
  <si>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</si>
  <si>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</si>
  <si>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</si>
  <si>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</si>
  <si>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</si>
  <si>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</si>
  <si>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</si>
  <si>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</si>
  <si>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</si>
  <si>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</si>
  <si>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</si>
  <si>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</si>
  <si>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</si>
  <si>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</si>
  <si>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</si>
  <si>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</si>
  <si>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</si>
  <si>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</si>
  <si>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</si>
  <si>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</si>
  <si>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</si>
  <si>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</si>
  <si>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</si>
  <si>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</si>
  <si>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</si>
  <si>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</si>
  <si>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</si>
  <si>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</si>
  <si>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</si>
  <si>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</si>
  <si>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</si>
  <si>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</si>
  <si>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</si>
  <si>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</si>
  <si>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</si>
  <si>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</si>
  <si>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</si>
  <si>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</si>
  <si>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</si>
  <si>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</si>
  <si>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</si>
  <si>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</si>
  <si>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</si>
  <si>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</si>
  <si>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</si>
  <si>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</si>
  <si>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</si>
  <si>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</si>
  <si>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</si>
  <si>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</si>
  <si>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</si>
  <si>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</si>
  <si>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</si>
  <si>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</si>
  <si>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</si>
  <si>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</si>
  <si>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</si>
  <si>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</si>
  <si>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</si>
  <si>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</si>
  <si>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</si>
  <si>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</si>
  <si>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</si>
  <si>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</si>
  <si>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</si>
  <si>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</si>
  <si>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</si>
  <si>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</si>
  <si>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</si>
  <si>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</si>
  <si>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</si>
  <si>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</si>
  <si>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</si>
  <si>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</si>
  <si>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</si>
  <si>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</si>
  <si>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</si>
  <si>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</si>
  <si>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</si>
  <si>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</si>
  <si>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</si>
  <si>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</si>
  <si>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</si>
  <si>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</si>
  <si>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</si>
  <si>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</si>
  <si>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</si>
  <si>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</si>
  <si>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</si>
  <si>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</si>
  <si>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</si>
  <si>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</si>
  <si>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</si>
  <si>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</si>
  <si>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</si>
  <si>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</si>
  <si>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</si>
  <si>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</si>
  <si>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</si>
  <si>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</si>
  <si>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</si>
  <si>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</si>
  <si>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</si>
  <si>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</si>
  <si>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</si>
  <si>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</si>
  <si>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</si>
  <si>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</si>
  <si>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</si>
  <si>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</si>
  <si>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</si>
  <si>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</si>
  <si>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</si>
  <si>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</si>
  <si>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</si>
  <si>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</si>
  <si>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</si>
  <si>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</si>
  <si>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</si>
  <si>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</si>
  <si>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</si>
  <si>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</si>
  <si>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</si>
  <si>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</si>
  <si>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</si>
  <si>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</si>
  <si>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</si>
  <si>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</si>
  <si>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</si>
  <si>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</si>
  <si>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</si>
  <si>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</si>
  <si>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</si>
  <si>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</si>
  <si>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</si>
  <si>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</si>
  <si>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</si>
  <si>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</si>
  <si>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</si>
  <si>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</si>
  <si>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</si>
  <si>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</si>
  <si>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</si>
  <si>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</si>
  <si>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</si>
  <si>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</si>
  <si>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</si>
  <si>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</si>
  <si>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</si>
  <si>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</si>
  <si>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</si>
  <si>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</si>
  <si>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</si>
  <si>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</si>
  <si>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</si>
  <si>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</si>
  <si>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</si>
  <si>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</si>
  <si>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</si>
  <si>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</si>
  <si>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</si>
  <si>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</si>
  <si>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</si>
  <si>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</si>
  <si>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</si>
  <si>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</si>
  <si>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</si>
  <si>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</si>
  <si>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</si>
  <si>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</si>
  <si>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</si>
  <si>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</si>
  <si>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</si>
  <si>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</si>
  <si>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</si>
  <si>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</si>
  <si>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</si>
  <si>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</si>
  <si>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</si>
  <si>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</si>
  <si>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</si>
  <si>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</si>
  <si>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</si>
  <si>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</si>
  <si>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</si>
  <si>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</si>
  <si>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</si>
  <si>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</si>
  <si>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</si>
  <si>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</si>
  <si>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</si>
  <si>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</si>
  <si>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</si>
  <si>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</si>
  <si>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</si>
  <si>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</si>
  <si>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</si>
  <si>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</si>
  <si>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</si>
  <si>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</si>
  <si>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</si>
  <si>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</si>
  <si>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</si>
  <si>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</si>
  <si>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</si>
  <si>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</si>
  <si>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</si>
  <si>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</si>
  <si>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</si>
  <si>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</si>
  <si>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</si>
  <si>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</si>
  <si>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</si>
  <si>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</si>
  <si>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</si>
  <si>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</si>
  <si>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</si>
  <si>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</si>
  <si>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</si>
  <si>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</si>
  <si>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</si>
  <si>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</si>
  <si>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</si>
  <si>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</si>
  <si>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</si>
  <si>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</si>
  <si>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</si>
  <si>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</si>
  <si>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</si>
  <si>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</si>
  <si>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</si>
  <si>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</si>
  <si>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</si>
  <si>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</si>
  <si>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</si>
  <si>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</si>
  <si>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</si>
  <si>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</si>
  <si>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</si>
  <si>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</si>
  <si>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</si>
  <si>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</si>
  <si>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</si>
  <si>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</si>
  <si>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</si>
  <si>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</si>
  <si>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</si>
  <si>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</si>
  <si>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</si>
  <si>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</si>
  <si>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</si>
  <si>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</si>
  <si>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</si>
  <si>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</si>
  <si>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</si>
  <si>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</si>
  <si>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</si>
  <si>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</si>
  <si>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</si>
  <si>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</si>
  <si>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</si>
  <si>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</si>
  <si>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</si>
  <si>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</si>
  <si>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</si>
  <si>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</si>
  <si>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</si>
  <si>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</si>
  <si>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</si>
  <si>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</si>
  <si>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</si>
  <si>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</si>
  <si>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</si>
  <si>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</si>
  <si>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</si>
  <si>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</si>
  <si>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</si>
  <si>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</si>
  <si>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</si>
  <si>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</si>
  <si>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</si>
  <si>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</si>
  <si>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</si>
  <si>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</si>
  <si>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</si>
  <si>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</si>
  <si>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</si>
  <si>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</si>
  <si>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</si>
  <si>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</si>
  <si>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</si>
  <si>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</si>
  <si>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</si>
  <si>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</si>
  <si>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</si>
  <si>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</si>
  <si>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</si>
  <si>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</si>
  <si>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</si>
  <si>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</si>
  <si>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</si>
  <si>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</si>
  <si>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</si>
  <si>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</si>
  <si>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</si>
  <si>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</si>
  <si>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</si>
  <si>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</si>
  <si>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</si>
  <si>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</si>
  <si>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</si>
  <si>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</si>
  <si>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</si>
  <si>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</si>
  <si>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</si>
  <si>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</si>
  <si>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</si>
  <si>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</si>
  <si>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</si>
  <si>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</si>
  <si>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</si>
  <si>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</si>
  <si>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</si>
  <si>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</si>
  <si>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</si>
  <si>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</si>
  <si>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</si>
  <si>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</si>
  <si>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</si>
  <si>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</si>
  <si>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</si>
  <si>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</si>
  <si>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</si>
  <si>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</si>
  <si>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</si>
  <si>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</si>
  <si>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</si>
  <si>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</si>
  <si>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</si>
  <si>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</si>
  <si>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</si>
  <si>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</si>
  <si>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</si>
  <si>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</si>
  <si>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</si>
  <si>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</si>
  <si>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</si>
  <si>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</si>
  <si>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</si>
  <si>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</si>
  <si>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</si>
  <si>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</si>
  <si>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</si>
  <si>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</si>
  <si>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</si>
  <si>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</si>
  <si>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</si>
  <si>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</si>
  <si>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</si>
  <si>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</si>
  <si>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</si>
  <si>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</si>
  <si>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</si>
  <si>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</si>
  <si>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</si>
  <si>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</si>
  <si>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</si>
  <si>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</si>
  <si>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</si>
  <si>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</si>
  <si>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</si>
  <si>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</si>
  <si>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</si>
  <si>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</si>
  <si>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</si>
  <si>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</si>
  <si>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</si>
  <si>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</si>
  <si>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</si>
  <si>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</si>
  <si>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</si>
  <si>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</si>
  <si>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</si>
  <si>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</si>
  <si>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</si>
  <si>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</si>
  <si>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</si>
  <si>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</si>
  <si>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</si>
  <si>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</si>
  <si>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</si>
  <si>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</si>
  <si>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</si>
  <si>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</si>
  <si>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</si>
  <si>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</si>
  <si>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</si>
  <si>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</si>
  <si>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</si>
  <si>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</si>
  <si>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</si>
  <si>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</si>
  <si>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</si>
  <si>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</si>
  <si>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</si>
  <si>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</si>
  <si>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</si>
  <si>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</si>
  <si>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</si>
  <si>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</si>
  <si>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</si>
  <si>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</si>
  <si>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</si>
  <si>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</si>
  <si>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</si>
  <si>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</si>
  <si>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</si>
  <si>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</si>
  <si>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</si>
  <si>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</si>
  <si>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</si>
  <si>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</si>
  <si>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</si>
  <si>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</si>
  <si>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</si>
  <si>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</si>
  <si>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</si>
  <si>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</si>
  <si>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</si>
  <si>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</si>
  <si>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</si>
  <si>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</si>
  <si>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</si>
  <si>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</si>
  <si>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</si>
  <si>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</si>
  <si>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</si>
  <si>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</si>
  <si>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</si>
  <si>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</si>
  <si>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</si>
  <si>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</si>
  <si>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</si>
  <si>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</si>
  <si>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</si>
  <si>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</si>
  <si>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</si>
  <si>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</si>
  <si>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</si>
  <si>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</si>
  <si>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</si>
  <si>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</si>
  <si>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</si>
  <si>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</si>
  <si>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</si>
  <si>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</si>
  <si>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</si>
  <si>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</si>
  <si>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</si>
  <si>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</si>
  <si>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</si>
  <si>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</si>
  <si>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</si>
  <si>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</si>
  <si>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</si>
  <si>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</si>
  <si>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</si>
  <si>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</si>
  <si>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</si>
  <si>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</si>
  <si>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</si>
  <si>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</si>
  <si>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</si>
  <si>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</si>
  <si>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</si>
  <si>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</si>
  <si>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</si>
  <si>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</si>
  <si>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</si>
  <si>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</si>
  <si>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</si>
  <si>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</si>
  <si>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</si>
  <si>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</si>
  <si>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</si>
  <si>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</si>
  <si>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</si>
  <si>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</si>
  <si>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</si>
  <si>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</si>
  <si>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</si>
  <si>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</si>
  <si>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</si>
  <si>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</si>
  <si>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</si>
  <si>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</si>
  <si>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</si>
  <si>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</si>
  <si>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</si>
  <si>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</si>
  <si>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</si>
  <si>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</si>
  <si>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</si>
  <si>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</si>
  <si>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</si>
  <si>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</si>
  <si>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</si>
  <si>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</si>
  <si>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</si>
  <si>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</si>
  <si>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</si>
  <si>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</si>
  <si>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</si>
  <si>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</si>
  <si>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</si>
  <si>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</si>
  <si>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</si>
  <si>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</si>
  <si>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</si>
  <si>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</si>
  <si>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</si>
  <si>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</si>
  <si>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</si>
  <si>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</si>
  <si>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</si>
  <si>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</si>
  <si>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</si>
  <si>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</si>
  <si>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</si>
  <si>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</si>
  <si>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</si>
  <si>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</si>
  <si>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</si>
  <si>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</si>
  <si>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</si>
  <si>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</si>
  <si>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</si>
  <si>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</si>
  <si>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</si>
  <si>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</si>
  <si>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</si>
  <si>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</si>
  <si>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</si>
  <si>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</si>
  <si>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</si>
  <si>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</si>
  <si>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</si>
  <si>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</si>
  <si>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</si>
  <si>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</si>
  <si>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</si>
  <si>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</si>
  <si>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</si>
  <si>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</si>
  <si>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</si>
  <si>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</si>
  <si>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</si>
  <si>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</si>
  <si>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</si>
  <si>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</si>
  <si>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</si>
  <si>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</si>
  <si>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</si>
  <si>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</si>
  <si>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</si>
  <si>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</si>
  <si>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</si>
  <si>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</si>
  <si>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</si>
  <si>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</si>
  <si>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</si>
  <si>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</si>
  <si>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</si>
  <si>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Solved?</t>
  </si>
  <si>
    <t>Implementation</t>
  </si>
  <si>
    <t>Implementation, strings</t>
  </si>
  <si>
    <t>Brute force, greedy</t>
  </si>
  <si>
    <t>Greedy, implementation, sorting</t>
  </si>
  <si>
    <t>Brute force, implementation, strings</t>
  </si>
  <si>
    <t>Greedy, implementation, two pointers</t>
  </si>
  <si>
    <t>Strings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</si>
</sst>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14">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sz val="10"/>
      <name val="Arial"/>
    </font>
    <font>
      <u/>
      <sz val="10"/>
      <color rgb="FF1155CC"/>
      <name val="Arial"/>
    </font>
    <font>
      <u/>
      <sz val="10"/>
      <color rgb="FF1155CC"/>
      <name val="Arial"/>
    </font>
    <font>
      <b/>
      <sz val="10"/>
      <name val="Roboto"/>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sz val="10"/>
      <name val="Arial"/>
      <family val="2"/>
    </font>
    <font>
      <sz val="10"/>
      <color rgb="FF000000"/>
      <name val="Arial"/>
      <family val="2"/>
    </font>
    <font>
      <b/>
      <sz val="10"/>
      <name val="Arial"/>
      <family val="2"/>
    </font>
  </fonts>
  <fills count="14">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FF9900"/>
        <bgColor rgb="FFFF9900"/>
      </patternFill>
    </fill>
    <fill>
      <patternFill patternType="solid">
        <fgColor rgb="FF351C75"/>
        <bgColor rgb="FF351C75"/>
      </patternFill>
    </fill>
    <fill>
      <patternFill patternType="solid">
        <fgColor theme="6" tint="0.39997558519241921"/>
        <bgColor indexed="64"/>
      </patternFill>
    </fill>
    <fill>
      <patternFill patternType="solid">
        <fgColor theme="0" tint="-0.249977111117893"/>
        <bgColor indexed="64"/>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319">
    <xf numFmtId="0" fontId="0" fillId="0" borderId="0" xfId="0" applyAlignment="1">
      <alignment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4"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xf numFmtId="0" fontId="15" fillId="0" borderId="0" xfId="0" applyFont="1" applyAlignment="1">
      <alignment wrapText="1"/>
    </xf>
    <xf numFmtId="0" fontId="16"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1" fillId="7" borderId="0" xfId="0" applyFont="1" applyFill="1" applyAlignment="1">
      <alignment wrapText="1"/>
    </xf>
    <xf numFmtId="0" fontId="22" fillId="4" borderId="0" xfId="0" applyFont="1" applyFill="1"/>
    <xf numFmtId="0" fontId="24" fillId="2" borderId="0" xfId="0" applyFont="1" applyFill="1"/>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lef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11" fillId="0" borderId="0" xfId="0" applyFont="1"/>
    <xf numFmtId="0" fontId="30" fillId="0" borderId="0" xfId="0" applyFont="1" applyAlignment="1">
      <alignment horizontal="left" vertical="center"/>
    </xf>
    <xf numFmtId="0" fontId="11" fillId="0" borderId="0" xfId="0" applyFont="1" applyAlignment="1">
      <alignment vertical="center"/>
    </xf>
    <xf numFmtId="0" fontId="31" fillId="0" borderId="0" xfId="0" applyFont="1" applyAlignment="1">
      <alignment horizontal="left" vertical="center" wrapText="1"/>
    </xf>
    <xf numFmtId="0" fontId="32" fillId="0" borderId="0" xfId="0" applyFont="1"/>
    <xf numFmtId="0" fontId="33" fillId="0" borderId="0" xfId="0" applyFont="1" applyAlignment="1">
      <alignment horizontal="left" vertical="center" wrapText="1"/>
    </xf>
    <xf numFmtId="0" fontId="34" fillId="0" borderId="0" xfId="0" applyFont="1" applyAlignment="1">
      <alignment vertical="center"/>
    </xf>
    <xf numFmtId="0" fontId="2" fillId="0" borderId="0" xfId="0" applyFont="1"/>
    <xf numFmtId="0" fontId="35" fillId="0" borderId="0" xfId="0" applyFont="1" applyAlignment="1">
      <alignment wrapText="1"/>
    </xf>
    <xf numFmtId="0" fontId="36" fillId="0" borderId="0" xfId="0" applyFont="1"/>
    <xf numFmtId="0" fontId="2" fillId="0" borderId="0" xfId="0" applyFont="1" applyAlignment="1">
      <alignment horizontal="left"/>
    </xf>
    <xf numFmtId="0" fontId="37" fillId="0" borderId="0" xfId="0" applyFont="1" applyAlignment="1">
      <alignment horizontal="left" wrapText="1"/>
    </xf>
    <xf numFmtId="0" fontId="38" fillId="0" borderId="0" xfId="0" applyFont="1" applyAlignment="1">
      <alignment wrapText="1"/>
    </xf>
    <xf numFmtId="0" fontId="11" fillId="0" borderId="0" xfId="0" applyFont="1" applyAlignment="1">
      <alignment horizontal="left" vertical="center"/>
    </xf>
    <xf numFmtId="0" fontId="39" fillId="0" borderId="0" xfId="0" applyFont="1" applyAlignment="1">
      <alignment horizontal="left" wrapText="1"/>
    </xf>
    <xf numFmtId="0" fontId="2" fillId="0" borderId="0" xfId="0" applyFont="1" applyAlignment="1">
      <alignment horizontal="center" wrapText="1"/>
    </xf>
    <xf numFmtId="0" fontId="40" fillId="0" borderId="0" xfId="0" applyFont="1" applyAlignment="1">
      <alignment horizontal="left" wrapText="1"/>
    </xf>
    <xf numFmtId="0" fontId="41" fillId="0" borderId="0" xfId="0" applyFont="1" applyAlignment="1">
      <alignment horizontal="left" wrapText="1"/>
    </xf>
    <xf numFmtId="0" fontId="42" fillId="0" borderId="0" xfId="0" applyFont="1"/>
    <xf numFmtId="0" fontId="43" fillId="0" borderId="0" xfId="0" applyFont="1" applyAlignment="1">
      <alignment horizontal="left" wrapText="1"/>
    </xf>
    <xf numFmtId="0" fontId="2" fillId="10" borderId="0" xfId="0" applyFont="1" applyFill="1" applyAlignment="1">
      <alignment horizontal="left"/>
    </xf>
    <xf numFmtId="0" fontId="2" fillId="6" borderId="0" xfId="0" applyFont="1" applyFill="1"/>
    <xf numFmtId="0" fontId="44" fillId="6" borderId="0" xfId="0" applyFont="1" applyFill="1" applyAlignment="1">
      <alignment wrapText="1"/>
    </xf>
    <xf numFmtId="0" fontId="45" fillId="0" borderId="0" xfId="0" applyFont="1"/>
    <xf numFmtId="0" fontId="46" fillId="6" borderId="0" xfId="0" applyFont="1" applyFill="1" applyAlignment="1">
      <alignment wrapText="1"/>
    </xf>
    <xf numFmtId="0" fontId="2" fillId="7" borderId="0" xfId="0" applyFont="1" applyFill="1"/>
    <xf numFmtId="0" fontId="47" fillId="7" borderId="0" xfId="0" applyFont="1" applyFill="1"/>
    <xf numFmtId="0" fontId="48" fillId="0" borderId="0" xfId="0" applyFont="1" applyAlignment="1">
      <alignment horizontal="center" vertical="center" wrapText="1"/>
    </xf>
    <xf numFmtId="0" fontId="49" fillId="0" borderId="0" xfId="0" applyFont="1" applyAlignment="1">
      <alignment wrapText="1"/>
    </xf>
    <xf numFmtId="0" fontId="50" fillId="6" borderId="0" xfId="0" applyFont="1" applyFill="1" applyAlignment="1">
      <alignment wrapText="1"/>
    </xf>
    <xf numFmtId="0" fontId="51" fillId="0" borderId="0" xfId="0" applyFont="1"/>
    <xf numFmtId="0" fontId="52" fillId="0" borderId="0" xfId="0" applyFont="1" applyAlignment="1">
      <alignment vertical="center" wrapText="1"/>
    </xf>
    <xf numFmtId="0" fontId="11" fillId="0" borderId="0" xfId="0" applyFont="1" applyAlignment="1">
      <alignment vertical="center" wrapText="1"/>
    </xf>
    <xf numFmtId="0" fontId="2" fillId="6" borderId="0" xfId="0" applyFont="1" applyFill="1" applyAlignment="1">
      <alignment vertical="center"/>
    </xf>
    <xf numFmtId="0" fontId="53" fillId="6" borderId="0" xfId="0" applyFont="1" applyFill="1" applyAlignment="1">
      <alignment vertical="center"/>
    </xf>
    <xf numFmtId="0" fontId="11" fillId="0" borderId="0" xfId="0" applyFont="1" applyAlignment="1">
      <alignment horizontal="center" vertical="center" wrapText="1"/>
    </xf>
    <xf numFmtId="0" fontId="54" fillId="0" borderId="0" xfId="0" applyFont="1" applyAlignment="1">
      <alignment vertical="center"/>
    </xf>
    <xf numFmtId="0" fontId="55" fillId="0" borderId="0" xfId="0" applyFont="1" applyAlignment="1">
      <alignment wrapText="1"/>
    </xf>
    <xf numFmtId="0" fontId="56" fillId="0" borderId="0" xfId="0" applyFont="1" applyAlignment="1">
      <alignment horizontal="left" wrapText="1"/>
    </xf>
    <xf numFmtId="0" fontId="57" fillId="0" borderId="0" xfId="0" applyFont="1" applyAlignment="1">
      <alignment vertical="center" wrapText="1"/>
    </xf>
    <xf numFmtId="0" fontId="58" fillId="0" borderId="0" xfId="0" applyFont="1" applyAlignment="1">
      <alignment vertical="center" wrapText="1"/>
    </xf>
    <xf numFmtId="0" fontId="59" fillId="6" borderId="0" xfId="0" applyFont="1" applyFill="1" applyAlignment="1">
      <alignment vertical="center" wrapText="1"/>
    </xf>
    <xf numFmtId="0" fontId="60" fillId="6" borderId="0" xfId="0" applyFont="1" applyFill="1" applyAlignment="1">
      <alignment vertical="center"/>
    </xf>
    <xf numFmtId="0" fontId="2" fillId="11" borderId="0" xfId="0" applyFont="1" applyFill="1" applyAlignment="1">
      <alignment vertical="center"/>
    </xf>
    <xf numFmtId="0" fontId="2" fillId="11" borderId="0" xfId="0" applyFont="1" applyFill="1" applyAlignment="1">
      <alignment vertical="center" wrapText="1"/>
    </xf>
    <xf numFmtId="0" fontId="61" fillId="0" borderId="0" xfId="0" applyFont="1" applyAlignment="1">
      <alignment vertical="center" wrapText="1"/>
    </xf>
    <xf numFmtId="164" fontId="2" fillId="8" borderId="0" xfId="0" applyNumberFormat="1" applyFont="1" applyFill="1" applyAlignment="1">
      <alignment horizontal="center" vertical="center"/>
    </xf>
    <xf numFmtId="0" fontId="28" fillId="0" borderId="0" xfId="0" applyFont="1"/>
    <xf numFmtId="0" fontId="62" fillId="0" borderId="0" xfId="0" applyFont="1" applyAlignment="1">
      <alignment horizontal="left" vertical="top"/>
    </xf>
    <xf numFmtId="0" fontId="63" fillId="0" borderId="0" xfId="0" applyFont="1" applyAlignment="1">
      <alignment horizontal="left" vertical="top"/>
    </xf>
    <xf numFmtId="0" fontId="64" fillId="0" borderId="0" xfId="0" applyFont="1" applyAlignment="1">
      <alignment wrapText="1"/>
    </xf>
    <xf numFmtId="0" fontId="65" fillId="0" borderId="0" xfId="0" applyFont="1" applyAlignment="1">
      <alignment horizontal="left" vertical="top"/>
    </xf>
    <xf numFmtId="0" fontId="66" fillId="0" borderId="0" xfId="0" applyFont="1" applyAlignment="1">
      <alignment horizontal="left" vertical="top"/>
    </xf>
    <xf numFmtId="0" fontId="67" fillId="6" borderId="0" xfId="0" applyFont="1" applyFill="1" applyAlignment="1">
      <alignment wrapText="1"/>
    </xf>
    <xf numFmtId="0" fontId="68" fillId="0" borderId="0" xfId="0" applyFont="1" applyAlignment="1">
      <alignment horizontal="left"/>
    </xf>
    <xf numFmtId="0" fontId="69" fillId="7" borderId="0" xfId="0" applyFont="1" applyFill="1"/>
    <xf numFmtId="0" fontId="70" fillId="7" borderId="0" xfId="0" applyFont="1" applyFill="1"/>
    <xf numFmtId="0" fontId="71" fillId="0" borderId="0" xfId="0" applyFont="1"/>
    <xf numFmtId="0" fontId="72" fillId="0" borderId="0" xfId="0" applyFont="1" applyAlignment="1">
      <alignment horizontal="left" wrapText="1"/>
    </xf>
    <xf numFmtId="0" fontId="73" fillId="0" borderId="0" xfId="0" applyFont="1" applyAlignment="1">
      <alignment horizontal="left" wrapText="1"/>
    </xf>
    <xf numFmtId="0" fontId="2" fillId="7" borderId="0" xfId="0" applyFont="1" applyFill="1" applyAlignment="1">
      <alignment wrapText="1"/>
    </xf>
    <xf numFmtId="0" fontId="74" fillId="7" borderId="0" xfId="0" applyFont="1" applyFill="1" applyAlignment="1">
      <alignment wrapText="1"/>
    </xf>
    <xf numFmtId="0" fontId="75" fillId="0" borderId="0" xfId="0" applyFont="1"/>
    <xf numFmtId="0" fontId="76" fillId="0" borderId="0" xfId="0" applyFont="1"/>
    <xf numFmtId="0" fontId="77" fillId="0" borderId="0" xfId="0" applyFont="1"/>
    <xf numFmtId="0" fontId="78" fillId="0" borderId="0" xfId="0" applyFont="1" applyAlignment="1">
      <alignment horizontal="left" vertical="top"/>
    </xf>
    <xf numFmtId="0" fontId="79" fillId="6" borderId="0" xfId="0" applyFont="1" applyFill="1"/>
    <xf numFmtId="0" fontId="80" fillId="7" borderId="0" xfId="0" applyFont="1" applyFill="1" applyAlignment="1">
      <alignment wrapText="1"/>
    </xf>
    <xf numFmtId="0" fontId="81" fillId="0" borderId="0" xfId="0" applyFont="1" applyAlignment="1">
      <alignment wrapText="1"/>
    </xf>
    <xf numFmtId="0" fontId="82" fillId="0" borderId="0" xfId="0" applyFont="1" applyAlignment="1">
      <alignment wrapText="1"/>
    </xf>
    <xf numFmtId="0" fontId="83" fillId="0" borderId="0" xfId="0" applyFont="1" applyAlignment="1">
      <alignment wrapText="1"/>
    </xf>
    <xf numFmtId="0" fontId="84" fillId="0" borderId="0" xfId="0" applyFont="1" applyAlignment="1">
      <alignment wrapText="1"/>
    </xf>
    <xf numFmtId="0" fontId="85" fillId="0" borderId="0" xfId="0" applyFont="1" applyAlignment="1">
      <alignment wrapText="1"/>
    </xf>
    <xf numFmtId="0" fontId="86" fillId="0" borderId="0" xfId="0" applyFont="1" applyAlignment="1">
      <alignment wrapText="1"/>
    </xf>
    <xf numFmtId="0" fontId="87" fillId="0" borderId="0" xfId="0" applyFont="1"/>
    <xf numFmtId="0" fontId="88" fillId="0" borderId="0" xfId="0" applyFont="1" applyAlignment="1">
      <alignment horizontal="left" wrapText="1"/>
    </xf>
    <xf numFmtId="0" fontId="89" fillId="0" borderId="0" xfId="0" applyFont="1" applyAlignment="1">
      <alignment vertical="center"/>
    </xf>
    <xf numFmtId="0" fontId="90" fillId="6" borderId="0" xfId="0" applyFont="1" applyFill="1"/>
    <xf numFmtId="0" fontId="91" fillId="6" borderId="0" xfId="0" applyFont="1" applyFill="1"/>
    <xf numFmtId="0" fontId="92" fillId="7" borderId="0" xfId="0" applyFont="1" applyFill="1"/>
    <xf numFmtId="0" fontId="2" fillId="11" borderId="0" xfId="0" applyFont="1" applyFill="1"/>
    <xf numFmtId="0" fontId="2" fillId="11" borderId="0" xfId="0" applyFont="1" applyFill="1" applyAlignment="1">
      <alignment wrapText="1"/>
    </xf>
    <xf numFmtId="0" fontId="2" fillId="11" borderId="0" xfId="0" applyFont="1" applyFill="1" applyAlignment="1">
      <alignment horizontal="center" wrapText="1"/>
    </xf>
    <xf numFmtId="0" fontId="2" fillId="0" borderId="0" xfId="0" applyFont="1" applyAlignment="1">
      <alignment vertical="top" wrapText="1"/>
    </xf>
    <xf numFmtId="0" fontId="93" fillId="0" borderId="0" xfId="0" applyFont="1" applyAlignment="1">
      <alignment horizontal="left"/>
    </xf>
    <xf numFmtId="0" fontId="94" fillId="0" borderId="0" xfId="0" applyFont="1"/>
    <xf numFmtId="0" fontId="95" fillId="7" borderId="0" xfId="0" applyFont="1" applyFill="1"/>
    <xf numFmtId="0" fontId="96" fillId="7" borderId="0" xfId="0" applyFont="1" applyFill="1"/>
    <xf numFmtId="0" fontId="2" fillId="4" borderId="0" xfId="0" applyFont="1" applyFill="1"/>
    <xf numFmtId="0" fontId="97" fillId="6" borderId="0" xfId="0" applyFont="1" applyFill="1" applyAlignment="1">
      <alignment horizontal="left" vertical="center"/>
    </xf>
    <xf numFmtId="0" fontId="98" fillId="6" borderId="0" xfId="0" applyFont="1" applyFill="1"/>
    <xf numFmtId="0" fontId="99" fillId="7" borderId="0" xfId="0" applyFont="1" applyFill="1"/>
    <xf numFmtId="0" fontId="100" fillId="0" borderId="0" xfId="0" applyFont="1" applyAlignment="1">
      <alignment horizontal="left"/>
    </xf>
    <xf numFmtId="0" fontId="101" fillId="7" borderId="0" xfId="0" applyFont="1" applyFill="1"/>
    <xf numFmtId="0" fontId="102" fillId="0" borderId="0" xfId="0" applyFont="1"/>
    <xf numFmtId="0" fontId="103" fillId="6" borderId="0" xfId="0" applyFont="1" applyFill="1"/>
    <xf numFmtId="0" fontId="104" fillId="6" borderId="0" xfId="0" applyFont="1" applyFill="1"/>
    <xf numFmtId="0" fontId="29" fillId="0" borderId="0" xfId="0" applyFont="1" applyAlignment="1">
      <alignment wrapText="1"/>
    </xf>
    <xf numFmtId="0" fontId="105" fillId="0" borderId="0" xfId="0" applyFont="1"/>
    <xf numFmtId="0" fontId="106" fillId="0" borderId="0" xfId="0" applyFont="1" applyAlignment="1">
      <alignment horizontal="left" wrapText="1"/>
    </xf>
    <xf numFmtId="0" fontId="107" fillId="0" borderId="0" xfId="0" applyFont="1"/>
    <xf numFmtId="0" fontId="108" fillId="0" borderId="0" xfId="0" applyFont="1" applyAlignment="1">
      <alignment horizontal="left"/>
    </xf>
    <xf numFmtId="0" fontId="109" fillId="7" borderId="0" xfId="0" applyFont="1" applyFill="1"/>
    <xf numFmtId="0" fontId="110" fillId="0" borderId="0" xfId="0" applyFont="1" applyAlignment="1">
      <alignment horizontal="left"/>
    </xf>
    <xf numFmtId="0" fontId="111" fillId="4" borderId="0" xfId="0" applyFont="1" applyFill="1"/>
    <xf numFmtId="0" fontId="112" fillId="0" borderId="0" xfId="0" applyFont="1"/>
    <xf numFmtId="0" fontId="113" fillId="6" borderId="0" xfId="0" applyFont="1" applyFill="1"/>
    <xf numFmtId="0" fontId="114" fillId="0" borderId="0" xfId="0" applyFont="1"/>
    <xf numFmtId="0" fontId="115" fillId="0" borderId="0" xfId="0" applyFont="1" applyAlignment="1">
      <alignment horizontal="left" wrapText="1"/>
    </xf>
    <xf numFmtId="0" fontId="116" fillId="0" borderId="0" xfId="0" applyFont="1"/>
    <xf numFmtId="0" fontId="26" fillId="0" borderId="0" xfId="0" applyFont="1" applyAlignment="1">
      <alignment wrapText="1"/>
    </xf>
    <xf numFmtId="0" fontId="117" fillId="0" borderId="0" xfId="0" applyFont="1" applyAlignment="1">
      <alignment horizontal="left" vertical="top"/>
    </xf>
    <xf numFmtId="0" fontId="118" fillId="0" borderId="0" xfId="0" applyFont="1" applyAlignment="1">
      <alignment horizontal="left" vertical="top"/>
    </xf>
    <xf numFmtId="0" fontId="119" fillId="4" borderId="0" xfId="0" applyFont="1" applyFill="1"/>
    <xf numFmtId="0" fontId="120" fillId="0" borderId="0" xfId="0" applyFont="1" applyAlignment="1">
      <alignment wrapText="1"/>
    </xf>
    <xf numFmtId="0" fontId="121" fillId="6" borderId="0" xfId="0" applyFont="1" applyFill="1"/>
    <xf numFmtId="0" fontId="122" fillId="0" borderId="0" xfId="0" applyFont="1"/>
    <xf numFmtId="0" fontId="2" fillId="6" borderId="4" xfId="0" applyFont="1" applyFill="1" applyBorder="1"/>
    <xf numFmtId="0" fontId="123" fillId="6" borderId="5" xfId="0" applyFont="1" applyFill="1" applyBorder="1"/>
    <xf numFmtId="0" fontId="124" fillId="0" borderId="0" xfId="0" applyFont="1" applyAlignment="1">
      <alignment horizontal="left" vertical="top"/>
    </xf>
    <xf numFmtId="0" fontId="125" fillId="6" borderId="6" xfId="0" applyFont="1" applyFill="1" applyBorder="1"/>
    <xf numFmtId="0" fontId="2" fillId="6" borderId="7" xfId="0" applyFont="1" applyFill="1" applyBorder="1"/>
    <xf numFmtId="0" fontId="126" fillId="0" borderId="0" xfId="0" applyFont="1" applyAlignment="1">
      <alignment horizontal="left"/>
    </xf>
    <xf numFmtId="0" fontId="127" fillId="7" borderId="0" xfId="0" applyFont="1" applyFill="1"/>
    <xf numFmtId="0" fontId="128" fillId="10" borderId="0" xfId="0" applyFont="1" applyFill="1"/>
    <xf numFmtId="0" fontId="129" fillId="7" borderId="0" xfId="0" applyFont="1" applyFill="1"/>
    <xf numFmtId="0" fontId="130" fillId="0" borderId="0" xfId="0" applyFont="1"/>
    <xf numFmtId="0" fontId="2" fillId="7" borderId="4" xfId="0" applyFont="1" applyFill="1" applyBorder="1"/>
    <xf numFmtId="0" fontId="131" fillId="7" borderId="5" xfId="0" applyFont="1" applyFill="1" applyBorder="1"/>
    <xf numFmtId="0" fontId="11" fillId="0" borderId="0" xfId="0" applyFont="1" applyAlignment="1">
      <alignment horizontal="left" wrapText="1"/>
    </xf>
    <xf numFmtId="0" fontId="132" fillId="4" borderId="0" xfId="0" applyFont="1" applyFill="1" applyAlignment="1">
      <alignment wrapText="1"/>
    </xf>
    <xf numFmtId="0" fontId="133" fillId="7" borderId="4" xfId="0" applyFont="1" applyFill="1" applyBorder="1"/>
    <xf numFmtId="0" fontId="134" fillId="0" borderId="0" xfId="0" applyFont="1" applyAlignment="1">
      <alignment horizontal="left" vertical="center" wrapText="1"/>
    </xf>
    <xf numFmtId="0" fontId="135" fillId="7" borderId="0" xfId="0" applyFont="1" applyFill="1"/>
    <xf numFmtId="0" fontId="2" fillId="6" borderId="0" xfId="0" applyFont="1" applyFill="1" applyAlignment="1">
      <alignment horizontal="left"/>
    </xf>
    <xf numFmtId="0" fontId="136" fillId="6" borderId="0" xfId="0" applyFont="1" applyFill="1" applyAlignment="1">
      <alignment horizontal="left"/>
    </xf>
    <xf numFmtId="0" fontId="2" fillId="6" borderId="6" xfId="0" applyFont="1" applyFill="1" applyBorder="1" applyAlignment="1">
      <alignment horizontal="left"/>
    </xf>
    <xf numFmtId="0" fontId="137" fillId="6" borderId="6" xfId="0" applyFont="1" applyFill="1" applyBorder="1" applyAlignment="1">
      <alignment horizontal="left"/>
    </xf>
    <xf numFmtId="0" fontId="2" fillId="6" borderId="4" xfId="0" applyFont="1" applyFill="1" applyBorder="1" applyAlignment="1">
      <alignment horizontal="left"/>
    </xf>
    <xf numFmtId="0" fontId="138" fillId="6" borderId="6" xfId="0" applyFont="1" applyFill="1" applyBorder="1" applyAlignment="1">
      <alignment horizontal="left"/>
    </xf>
    <xf numFmtId="0" fontId="139" fillId="6" borderId="0" xfId="0" applyFont="1" applyFill="1" applyAlignment="1">
      <alignment horizontal="left"/>
    </xf>
    <xf numFmtId="0" fontId="140" fillId="6" borderId="5" xfId="0" applyFont="1" applyFill="1" applyBorder="1"/>
    <xf numFmtId="0" fontId="141" fillId="7" borderId="6" xfId="0" applyFont="1" applyFill="1" applyBorder="1"/>
    <xf numFmtId="0" fontId="2" fillId="7" borderId="6" xfId="0" applyFont="1" applyFill="1" applyBorder="1"/>
    <xf numFmtId="0" fontId="2" fillId="7" borderId="5" xfId="0" applyFont="1" applyFill="1" applyBorder="1"/>
    <xf numFmtId="0" fontId="142" fillId="7" borderId="5" xfId="0" applyFont="1" applyFill="1" applyBorder="1"/>
    <xf numFmtId="0" fontId="143" fillId="7" borderId="0" xfId="0" applyFont="1" applyFill="1"/>
    <xf numFmtId="0" fontId="144" fillId="0" borderId="0" xfId="0" applyFont="1"/>
    <xf numFmtId="0" fontId="1" fillId="0" borderId="0" xfId="0" applyFont="1"/>
    <xf numFmtId="0" fontId="145" fillId="4" borderId="0" xfId="0" applyFont="1" applyFill="1" applyAlignment="1">
      <alignment wrapText="1"/>
    </xf>
    <xf numFmtId="0" fontId="146" fillId="0" borderId="0" xfId="0" applyFont="1" applyAlignment="1">
      <alignment wrapText="1"/>
    </xf>
    <xf numFmtId="0" fontId="147" fillId="6" borderId="0" xfId="0" applyFont="1" applyFill="1" applyAlignment="1">
      <alignment wrapText="1"/>
    </xf>
    <xf numFmtId="0" fontId="148" fillId="6" borderId="0" xfId="0" applyFont="1" applyFill="1"/>
    <xf numFmtId="0" fontId="149" fillId="7" borderId="0" xfId="0" applyFont="1" applyFill="1"/>
    <xf numFmtId="0" fontId="150" fillId="0" borderId="0" xfId="0" applyFont="1" applyAlignment="1">
      <alignment horizontal="left" wrapText="1"/>
    </xf>
    <xf numFmtId="0" fontId="151" fillId="0" borderId="0" xfId="0" applyFont="1" applyAlignment="1">
      <alignment horizontal="left" wrapText="1"/>
    </xf>
    <xf numFmtId="0" fontId="152" fillId="0" borderId="0" xfId="0" applyFont="1" applyAlignment="1">
      <alignment wrapText="1"/>
    </xf>
    <xf numFmtId="0" fontId="153" fillId="0" borderId="0" xfId="0" applyFont="1" applyAlignment="1">
      <alignment wrapText="1"/>
    </xf>
    <xf numFmtId="0" fontId="154" fillId="6" borderId="0" xfId="0" applyFont="1" applyFill="1"/>
    <xf numFmtId="0" fontId="2" fillId="7" borderId="8" xfId="0" applyFont="1" applyFill="1" applyBorder="1"/>
    <xf numFmtId="0" fontId="155" fillId="7" borderId="8" xfId="0" applyFont="1" applyFill="1" applyBorder="1"/>
    <xf numFmtId="0" fontId="156" fillId="7" borderId="6" xfId="0" applyFont="1" applyFill="1" applyBorder="1"/>
    <xf numFmtId="0" fontId="11" fillId="0" borderId="6" xfId="0" applyFont="1" applyBorder="1"/>
    <xf numFmtId="0" fontId="11" fillId="0" borderId="6" xfId="0" applyFont="1" applyBorder="1" applyAlignment="1">
      <alignment wrapText="1"/>
    </xf>
    <xf numFmtId="0" fontId="2" fillId="6" borderId="8" xfId="0" applyFont="1" applyFill="1" applyBorder="1"/>
    <xf numFmtId="0" fontId="157" fillId="0" borderId="0" xfId="0" applyFont="1" applyAlignment="1">
      <alignment wrapText="1"/>
    </xf>
    <xf numFmtId="0" fontId="2" fillId="0" borderId="8" xfId="0" applyFont="1" applyBorder="1" applyAlignment="1">
      <alignment wrapText="1"/>
    </xf>
    <xf numFmtId="0" fontId="2" fillId="6" borderId="6" xfId="0" applyFont="1" applyFill="1" applyBorder="1"/>
    <xf numFmtId="0" fontId="158" fillId="6" borderId="6" xfId="0" applyFont="1" applyFill="1" applyBorder="1"/>
    <xf numFmtId="0" fontId="2" fillId="4" borderId="0" xfId="0" applyFont="1" applyFill="1" applyAlignment="1">
      <alignment wrapText="1"/>
    </xf>
    <xf numFmtId="0" fontId="11" fillId="6" borderId="0" xfId="0" applyFont="1" applyFill="1"/>
    <xf numFmtId="0" fontId="159" fillId="6" borderId="0" xfId="0" applyFont="1" applyFill="1" applyAlignment="1">
      <alignment horizontal="left"/>
    </xf>
    <xf numFmtId="0" fontId="11" fillId="7" borderId="0" xfId="0" applyFont="1" applyFill="1"/>
    <xf numFmtId="0" fontId="160" fillId="7" borderId="0" xfId="0" applyFont="1" applyFill="1"/>
    <xf numFmtId="0" fontId="161" fillId="6" borderId="4" xfId="0" applyFont="1" applyFill="1" applyBorder="1" applyAlignment="1">
      <alignment horizontal="left" wrapText="1"/>
    </xf>
    <xf numFmtId="0" fontId="2" fillId="6" borderId="0" xfId="0" applyFont="1" applyFill="1" applyAlignment="1">
      <alignment horizontal="left" wrapText="1"/>
    </xf>
    <xf numFmtId="0" fontId="162" fillId="6" borderId="6" xfId="0" applyFont="1" applyFill="1" applyBorder="1" applyAlignment="1">
      <alignment horizontal="left" wrapText="1"/>
    </xf>
    <xf numFmtId="0" fontId="2" fillId="6" borderId="7" xfId="0" applyFont="1" applyFill="1" applyBorder="1" applyAlignment="1">
      <alignment horizontal="left" wrapText="1"/>
    </xf>
    <xf numFmtId="0" fontId="163" fillId="6" borderId="7" xfId="0" applyFont="1" applyFill="1" applyBorder="1" applyAlignment="1">
      <alignment wrapText="1"/>
    </xf>
    <xf numFmtId="0" fontId="164" fillId="7" borderId="0" xfId="0" applyFont="1" applyFill="1"/>
    <xf numFmtId="0" fontId="165" fillId="7" borderId="5" xfId="0" applyFont="1" applyFill="1" applyBorder="1"/>
    <xf numFmtId="0" fontId="166" fillId="0" borderId="0" xfId="0" applyFont="1"/>
    <xf numFmtId="0" fontId="167" fillId="0" borderId="0" xfId="0" applyFont="1" applyAlignment="1">
      <alignment wrapText="1"/>
    </xf>
    <xf numFmtId="0" fontId="168" fillId="0" borderId="0" xfId="0" applyFont="1" applyAlignment="1">
      <alignment horizontal="left" wrapText="1"/>
    </xf>
    <xf numFmtId="0" fontId="169" fillId="0" borderId="0" xfId="0" applyFont="1" applyAlignment="1">
      <alignment horizontal="left" wrapText="1"/>
    </xf>
    <xf numFmtId="0" fontId="170" fillId="0" borderId="0" xfId="0" applyFont="1" applyAlignment="1">
      <alignment horizontal="left" wrapText="1"/>
    </xf>
    <xf numFmtId="0" fontId="171" fillId="6" borderId="0" xfId="0" applyFont="1" applyFill="1" applyAlignment="1">
      <alignment horizontal="left" wrapText="1"/>
    </xf>
    <xf numFmtId="0" fontId="172" fillId="0" borderId="0" xfId="0" applyFont="1" applyAlignment="1">
      <alignment horizontal="left" vertical="center" wrapText="1"/>
    </xf>
    <xf numFmtId="0" fontId="173" fillId="6" borderId="9" xfId="0" applyFont="1" applyFill="1" applyBorder="1"/>
    <xf numFmtId="0" fontId="174" fillId="6" borderId="0" xfId="0" applyFont="1" applyFill="1"/>
    <xf numFmtId="0" fontId="175" fillId="6" borderId="7" xfId="0" applyFont="1" applyFill="1" applyBorder="1"/>
    <xf numFmtId="0" fontId="176" fillId="6" borderId="7" xfId="0" applyFont="1" applyFill="1" applyBorder="1"/>
    <xf numFmtId="0" fontId="177" fillId="7" borderId="7" xfId="0" applyFont="1" applyFill="1" applyBorder="1"/>
    <xf numFmtId="0" fontId="178" fillId="6" borderId="6" xfId="0" applyFont="1" applyFill="1" applyBorder="1"/>
    <xf numFmtId="0" fontId="179" fillId="6" borderId="6" xfId="0" applyFont="1" applyFill="1" applyBorder="1" applyAlignment="1">
      <alignment wrapText="1"/>
    </xf>
    <xf numFmtId="0" fontId="180" fillId="7" borderId="6" xfId="0" applyFont="1" applyFill="1" applyBorder="1"/>
    <xf numFmtId="0" fontId="181" fillId="7" borderId="7" xfId="0" applyFont="1" applyFill="1" applyBorder="1" applyAlignment="1">
      <alignment horizontal="left"/>
    </xf>
    <xf numFmtId="0" fontId="182" fillId="7" borderId="0" xfId="0" applyFont="1" applyFill="1"/>
    <xf numFmtId="0" fontId="183" fillId="7" borderId="0" xfId="0" applyFont="1" applyFill="1"/>
    <xf numFmtId="0" fontId="184" fillId="0" borderId="0" xfId="0" applyFont="1" applyAlignment="1">
      <alignment horizontal="left" wrapText="1"/>
    </xf>
    <xf numFmtId="0" fontId="185" fillId="7" borderId="0" xfId="0" applyFont="1" applyFill="1" applyAlignment="1">
      <alignment horizontal="left"/>
    </xf>
    <xf numFmtId="0" fontId="186" fillId="7" borderId="0" xfId="0" applyFont="1" applyFill="1" applyAlignment="1">
      <alignment horizontal="left"/>
    </xf>
    <xf numFmtId="0" fontId="187" fillId="7" borderId="7" xfId="0" applyFont="1" applyFill="1" applyBorder="1"/>
    <xf numFmtId="0" fontId="188" fillId="7" borderId="4" xfId="0" applyFont="1" applyFill="1" applyBorder="1" applyAlignment="1">
      <alignment horizontal="left"/>
    </xf>
    <xf numFmtId="0" fontId="2" fillId="7" borderId="7" xfId="0" applyFont="1" applyFill="1" applyBorder="1"/>
    <xf numFmtId="0" fontId="189" fillId="7" borderId="7" xfId="0" applyFont="1" applyFill="1" applyBorder="1"/>
    <xf numFmtId="0" fontId="190" fillId="7" borderId="6" xfId="0" applyFont="1" applyFill="1" applyBorder="1"/>
    <xf numFmtId="0" fontId="191" fillId="7" borderId="6" xfId="0" applyFont="1" applyFill="1" applyBorder="1" applyAlignment="1">
      <alignment horizontal="left"/>
    </xf>
    <xf numFmtId="0" fontId="192" fillId="7" borderId="0" xfId="0" applyFont="1" applyFill="1"/>
    <xf numFmtId="0" fontId="2" fillId="7" borderId="9" xfId="0" applyFont="1" applyFill="1" applyBorder="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193" fillId="7" borderId="6" xfId="0" applyFont="1" applyFill="1" applyBorder="1" applyAlignment="1">
      <alignment horizontal="left"/>
    </xf>
    <xf numFmtId="0" fontId="194" fillId="7" borderId="6" xfId="0" applyFont="1" applyFill="1" applyBorder="1"/>
    <xf numFmtId="0" fontId="195" fillId="7" borderId="7" xfId="0" applyFont="1" applyFill="1" applyBorder="1"/>
    <xf numFmtId="0" fontId="196"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xf>
    <xf numFmtId="0" fontId="11" fillId="0" borderId="0" xfId="0" applyFont="1" applyAlignment="1">
      <alignment horizontal="left"/>
    </xf>
    <xf numFmtId="0" fontId="197" fillId="0" borderId="0" xfId="0" applyFont="1" applyAlignment="1">
      <alignment horizontal="left"/>
    </xf>
    <xf numFmtId="0" fontId="11" fillId="0" borderId="0" xfId="0" applyFont="1" applyAlignment="1">
      <alignment horizontal="center" wrapText="1"/>
    </xf>
    <xf numFmtId="0" fontId="198" fillId="0" borderId="0" xfId="0" applyFont="1" applyAlignment="1">
      <alignment horizontal="left"/>
    </xf>
    <xf numFmtId="0" fontId="199" fillId="0" borderId="0" xfId="0" applyFont="1" applyAlignment="1">
      <alignment horizontal="center" wrapText="1"/>
    </xf>
    <xf numFmtId="0" fontId="26" fillId="2" borderId="0" xfId="0" applyFont="1" applyFill="1" applyAlignment="1">
      <alignment horizontal="left" wrapText="1"/>
    </xf>
    <xf numFmtId="0" fontId="1" fillId="0" borderId="0" xfId="0" applyFont="1" applyAlignment="1">
      <alignment horizontal="left"/>
    </xf>
    <xf numFmtId="0" fontId="11" fillId="10" borderId="0" xfId="0" applyFont="1" applyFill="1" applyAlignment="1">
      <alignment horizontal="center" vertical="center" wrapText="1"/>
    </xf>
    <xf numFmtId="0" fontId="200" fillId="10" borderId="0" xfId="0" applyFont="1" applyFill="1" applyAlignment="1">
      <alignment horizontal="left" wrapText="1"/>
    </xf>
    <xf numFmtId="0" fontId="201" fillId="2" borderId="0" xfId="0" applyFont="1" applyFill="1" applyAlignment="1">
      <alignment horizontal="left" wrapText="1"/>
    </xf>
    <xf numFmtId="0" fontId="202" fillId="0" borderId="0" xfId="0" applyFont="1" applyAlignment="1">
      <alignment horizontal="center" wrapText="1"/>
    </xf>
    <xf numFmtId="0" fontId="203" fillId="0" borderId="0" xfId="0" applyFont="1" applyAlignment="1">
      <alignment wrapText="1"/>
    </xf>
    <xf numFmtId="0" fontId="204" fillId="0" borderId="0" xfId="0" applyFont="1" applyAlignment="1">
      <alignment wrapText="1"/>
    </xf>
    <xf numFmtId="0" fontId="11" fillId="4" borderId="0" xfId="0" applyFont="1" applyFill="1" applyAlignment="1">
      <alignment wrapText="1"/>
    </xf>
    <xf numFmtId="0" fontId="211" fillId="0" borderId="0" xfId="0" applyFont="1" applyAlignment="1">
      <alignment horizontal="center" vertical="center" wrapText="1"/>
    </xf>
    <xf numFmtId="0" fontId="211" fillId="0" borderId="0" xfId="0" applyFont="1" applyAlignment="1">
      <alignment wrapText="1"/>
    </xf>
    <xf numFmtId="0" fontId="211" fillId="11" borderId="0" xfId="0" applyFont="1" applyFill="1" applyAlignment="1">
      <alignment horizontal="center" vertical="center" wrapText="1"/>
    </xf>
    <xf numFmtId="0" fontId="211" fillId="0" borderId="0" xfId="0" applyFont="1" applyAlignment="1">
      <alignment horizontal="right" wrapText="1"/>
    </xf>
    <xf numFmtId="0" fontId="211" fillId="0" borderId="0" xfId="0" applyFont="1" applyAlignment="1">
      <alignment horizontal="center" wrapText="1"/>
    </xf>
    <xf numFmtId="0" fontId="211" fillId="12" borderId="0" xfId="0" applyFont="1" applyFill="1" applyAlignment="1">
      <alignment horizontal="center" vertical="center"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0" borderId="0" xfId="0" applyFont="1" applyAlignment="1">
      <alignment wrapText="1"/>
    </xf>
    <xf numFmtId="0" fontId="0" fillId="0" borderId="0" xfId="0" applyAlignment="1">
      <alignment wrapText="1"/>
    </xf>
    <xf numFmtId="0" fontId="23" fillId="2" borderId="0" xfId="0" applyFont="1" applyFill="1" applyAlignment="1">
      <alignment wrapText="1"/>
    </xf>
    <xf numFmtId="0" fontId="2" fillId="2" borderId="0" xfId="0" applyFont="1" applyFill="1" applyAlignment="1">
      <alignment wrapText="1"/>
    </xf>
    <xf numFmtId="0" fontId="1" fillId="2" borderId="0" xfId="0" applyFont="1" applyFill="1" applyAlignment="1">
      <alignment horizontal="left" vertical="center" wrapText="1"/>
    </xf>
    <xf numFmtId="0" fontId="2" fillId="2" borderId="0" xfId="0" applyFont="1" applyFill="1" applyAlignment="1">
      <alignment horizontal="center" wrapText="1"/>
    </xf>
    <xf numFmtId="0" fontId="2" fillId="0" borderId="0" xfId="0" applyFont="1" applyAlignment="1">
      <alignment horizontal="left" wrapText="1"/>
    </xf>
    <xf numFmtId="0" fontId="26" fillId="2" borderId="0" xfId="0" applyFont="1" applyFill="1" applyAlignment="1">
      <alignment wrapText="1"/>
    </xf>
    <xf numFmtId="0" fontId="24" fillId="2" borderId="0" xfId="0" applyFont="1" applyFill="1"/>
    <xf numFmtId="0" fontId="25" fillId="2" borderId="0" xfId="0" applyFont="1" applyFill="1"/>
    <xf numFmtId="0" fontId="14" fillId="0" borderId="0" xfId="0" applyFont="1" applyAlignment="1">
      <alignment wrapText="1"/>
    </xf>
    <xf numFmtId="0" fontId="7" fillId="2" borderId="0" xfId="0" applyFont="1" applyFill="1" applyAlignment="1">
      <alignment horizontal="left" vertical="center" wrapText="1"/>
    </xf>
    <xf numFmtId="0" fontId="2" fillId="2" borderId="0" xfId="0" applyFont="1" applyFill="1" applyAlignment="1">
      <alignment horizontal="left" vertical="center"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xf numFmtId="0" fontId="12" fillId="4" borderId="0" xfId="0" applyFont="1" applyFill="1" applyAlignment="1">
      <alignment horizontal="left" vertical="center" wrapText="1"/>
    </xf>
    <xf numFmtId="0" fontId="13" fillId="5" borderId="0" xfId="0" applyFont="1" applyFill="1" applyAlignment="1">
      <alignment wrapText="1"/>
    </xf>
    <xf numFmtId="0" fontId="5" fillId="3" borderId="0" xfId="0" applyFont="1" applyFill="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1" fillId="2" borderId="0" xfId="0" applyFont="1" applyFill="1" applyAlignment="1">
      <alignment wrapText="1"/>
    </xf>
    <xf numFmtId="0" fontId="211" fillId="0" borderId="0" xfId="0" applyFont="1" applyAlignment="1">
      <alignment horizontal="center" wrapText="1"/>
    </xf>
    <xf numFmtId="0" fontId="2" fillId="8" borderId="0" xfId="0" applyFont="1" applyFill="1" applyAlignment="1">
      <alignment horizontal="center" wrapText="1"/>
    </xf>
    <xf numFmtId="0" fontId="2" fillId="8" borderId="0" xfId="0" applyFont="1" applyFill="1" applyAlignment="1">
      <alignment horizontal="left" vertical="center" wrapText="1"/>
    </xf>
    <xf numFmtId="0" fontId="2" fillId="0" borderId="0" xfId="0" applyFont="1" applyAlignment="1">
      <alignment vertical="top" wrapText="1"/>
    </xf>
    <xf numFmtId="0" fontId="11" fillId="13" borderId="0" xfId="0" applyFont="1" applyFill="1" applyAlignment="1">
      <alignment vertical="center"/>
    </xf>
    <xf numFmtId="0" fontId="11" fillId="13" borderId="0" xfId="0" applyFont="1" applyFill="1" applyAlignment="1">
      <alignment horizontal="left" vertical="center" wrapText="1"/>
    </xf>
    <xf numFmtId="0" fontId="211" fillId="13" borderId="0" xfId="0" applyFont="1" applyFill="1" applyAlignment="1">
      <alignment horizontal="center" vertical="center" wrapText="1"/>
    </xf>
    <xf numFmtId="0" fontId="2" fillId="13" borderId="0" xfId="0" applyFont="1" applyFill="1" applyAlignment="1">
      <alignment vertical="center"/>
    </xf>
    <xf numFmtId="0" fontId="2" fillId="13" borderId="0" xfId="0" applyFont="1" applyFill="1" applyAlignment="1">
      <alignment vertical="center" wrapText="1"/>
    </xf>
    <xf numFmtId="0" fontId="213" fillId="8" borderId="0" xfId="0" applyFont="1" applyFill="1" applyAlignment="1">
      <alignment horizontal="center" vertical="center" wrapText="1"/>
    </xf>
    <xf numFmtId="0" fontId="212" fillId="12" borderId="0" xfId="0" applyFont="1" applyFill="1" applyAlignment="1">
      <alignment horizontal="center" wrapText="1"/>
    </xf>
    <xf numFmtId="0" fontId="211" fillId="12" borderId="0" xfId="0" applyFont="1" applyFill="1" applyAlignment="1">
      <alignment horizontal="center" wrapText="1"/>
    </xf>
  </cellXfs>
  <cellStyles count="1">
    <cellStyle name="Normal" xfId="0" builtinId="0"/>
  </cellStyles>
  <dxfs count="67">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FFFF00"/>
          <bgColor rgb="FFFFFF00"/>
        </patternFill>
      </fill>
    </dxf>
    <dxf>
      <fill>
        <patternFill patternType="solid">
          <fgColor rgb="FF6AA84F"/>
          <bgColor rgb="FF6AA84F"/>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zoj.pintia.cn/problem-sets/91827364500/problems/91827364699"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workbookViewId="0">
      <selection activeCell="B8" sqref="B8:D8"/>
    </sheetView>
  </sheetViews>
  <sheetFormatPr defaultColWidth="15.109375" defaultRowHeight="15.75" customHeight="1"/>
  <cols>
    <col min="1" max="1" width="22.77734375" customWidth="1"/>
    <col min="7" max="7" width="16.21875" customWidth="1"/>
    <col min="8" max="8" width="21.6640625" customWidth="1"/>
  </cols>
  <sheetData>
    <row r="1" spans="1:8" ht="13.2">
      <c r="A1" s="289" t="s">
        <v>0</v>
      </c>
      <c r="B1" s="297" t="s">
        <v>1</v>
      </c>
      <c r="C1" s="286"/>
      <c r="D1" s="286"/>
      <c r="E1" s="286"/>
      <c r="F1" s="286"/>
      <c r="G1" s="286"/>
      <c r="H1" s="286"/>
    </row>
    <row r="2" spans="1:8" ht="13.2">
      <c r="A2" s="286"/>
      <c r="B2" s="288" t="s">
        <v>2</v>
      </c>
      <c r="C2" s="286"/>
      <c r="D2" s="286"/>
      <c r="E2" s="286"/>
      <c r="F2" s="286"/>
      <c r="G2" s="286"/>
      <c r="H2" s="286"/>
    </row>
    <row r="3" spans="1:8" ht="13.2">
      <c r="A3" s="286"/>
      <c r="B3" s="288" t="s">
        <v>3</v>
      </c>
      <c r="C3" s="286"/>
      <c r="D3" s="3"/>
      <c r="E3" s="4" t="str">
        <f>HYPERLINK("https://goo.gl/unDETI","Latest Version")</f>
        <v>Latest Version</v>
      </c>
      <c r="F3" s="2"/>
      <c r="G3" s="2"/>
      <c r="H3" s="2"/>
    </row>
    <row r="4" spans="1:8" ht="13.2">
      <c r="A4" s="286"/>
      <c r="B4" s="306" t="s">
        <v>4</v>
      </c>
      <c r="C4" s="286"/>
      <c r="D4" s="286"/>
      <c r="E4" s="286"/>
      <c r="F4" s="2"/>
      <c r="G4" s="2"/>
      <c r="H4" s="2"/>
    </row>
    <row r="5" spans="1:8" ht="13.2">
      <c r="A5" s="286"/>
      <c r="B5" s="297" t="s">
        <v>5</v>
      </c>
      <c r="C5" s="286"/>
      <c r="D5" s="5" t="s">
        <v>6</v>
      </c>
      <c r="E5" s="2"/>
      <c r="F5" s="2"/>
      <c r="G5" s="2"/>
      <c r="H5" s="2"/>
    </row>
    <row r="6" spans="1:8" ht="13.2">
      <c r="A6" s="286"/>
      <c r="B6" s="1"/>
      <c r="C6" s="1"/>
      <c r="D6" s="1"/>
      <c r="E6" s="1"/>
      <c r="F6" s="1"/>
      <c r="G6" s="1"/>
      <c r="H6" s="2"/>
    </row>
    <row r="7" spans="1:8" ht="13.2">
      <c r="A7" s="286"/>
      <c r="B7" s="289" t="s">
        <v>7</v>
      </c>
      <c r="C7" s="286"/>
      <c r="D7" s="286"/>
      <c r="E7" s="286"/>
      <c r="F7" s="1"/>
      <c r="G7" s="1"/>
      <c r="H7" s="2"/>
    </row>
    <row r="8" spans="1:8" ht="13.8">
      <c r="A8" s="286"/>
      <c r="B8" s="303" t="s">
        <v>8</v>
      </c>
      <c r="C8" s="286"/>
      <c r="D8" s="286"/>
      <c r="E8" s="6"/>
      <c r="F8" s="1"/>
      <c r="G8" s="1"/>
      <c r="H8" s="2"/>
    </row>
    <row r="9" spans="1:8" ht="13.2">
      <c r="A9" s="286"/>
      <c r="B9" s="304" t="str">
        <f>HYPERLINK("https://www.youtube.com/watch?v=DZ6YTtILCE8","Video Introducing roadmap (Arabic) - to min 18 ONLY")</f>
        <v>Video Introducing roadmap (Arabic) - to min 18 ONLY</v>
      </c>
      <c r="C9" s="286"/>
      <c r="D9" s="286"/>
      <c r="E9" s="6"/>
      <c r="F9" s="1"/>
      <c r="G9" s="1"/>
      <c r="H9" s="2"/>
    </row>
    <row r="10" spans="1:8" ht="13.2">
      <c r="A10" s="286"/>
      <c r="B10" s="305" t="s">
        <v>9</v>
      </c>
      <c r="C10" s="286"/>
      <c r="D10" s="286"/>
      <c r="E10" s="6"/>
      <c r="F10" s="1"/>
      <c r="G10" s="1"/>
      <c r="H10" s="2"/>
    </row>
    <row r="11" spans="1:8" ht="13.2">
      <c r="A11" s="286"/>
      <c r="B11" s="296" t="s">
        <v>10</v>
      </c>
      <c r="C11" s="286"/>
      <c r="D11" s="286"/>
      <c r="E11" s="286"/>
      <c r="F11" s="286"/>
      <c r="G11" s="286"/>
      <c r="H11" s="2"/>
    </row>
    <row r="12" spans="1:8" ht="13.2">
      <c r="A12" s="286"/>
      <c r="B12" s="6"/>
      <c r="C12" s="6"/>
      <c r="D12" s="6"/>
      <c r="E12" s="6"/>
      <c r="F12" s="1"/>
      <c r="G12" s="1"/>
      <c r="H12" s="2"/>
    </row>
    <row r="13" spans="1:8" ht="13.2">
      <c r="A13" s="286"/>
      <c r="B13" s="296" t="s">
        <v>11</v>
      </c>
      <c r="C13" s="286"/>
      <c r="D13" s="286"/>
      <c r="E13" s="286"/>
      <c r="F13" s="286"/>
      <c r="G13" s="286"/>
      <c r="H13" s="2"/>
    </row>
    <row r="14" spans="1:8" ht="13.2">
      <c r="A14" s="286"/>
      <c r="B14" s="297" t="s">
        <v>12</v>
      </c>
      <c r="C14" s="286"/>
      <c r="D14" s="286"/>
      <c r="E14" s="286"/>
      <c r="F14" s="286"/>
      <c r="G14" s="8" t="s">
        <v>13</v>
      </c>
      <c r="H14" s="2"/>
    </row>
    <row r="15" spans="1:8" ht="13.2">
      <c r="A15" s="9"/>
      <c r="B15" s="10"/>
      <c r="C15" s="10"/>
      <c r="D15" s="10"/>
      <c r="E15" s="10"/>
      <c r="F15" s="10"/>
      <c r="G15" s="10"/>
      <c r="H15" s="10"/>
    </row>
    <row r="16" spans="1:8" ht="13.2">
      <c r="A16" s="298" t="s">
        <v>14</v>
      </c>
      <c r="B16" s="288" t="s">
        <v>15</v>
      </c>
      <c r="C16" s="286"/>
      <c r="D16" s="286"/>
      <c r="E16" s="286"/>
      <c r="F16" s="286"/>
      <c r="G16" s="11"/>
      <c r="H16" s="11"/>
    </row>
    <row r="17" spans="1:8" ht="13.2">
      <c r="A17" s="286"/>
      <c r="B17" s="299" t="s">
        <v>16</v>
      </c>
      <c r="C17" s="286"/>
      <c r="D17" s="286"/>
      <c r="H17" s="3"/>
    </row>
    <row r="18" spans="1:8" ht="13.2">
      <c r="A18" s="286"/>
      <c r="B18" s="300"/>
      <c r="C18" s="286"/>
      <c r="D18" s="286"/>
      <c r="E18" s="286"/>
      <c r="F18" s="286"/>
      <c r="G18" s="286"/>
      <c r="H18" s="3"/>
    </row>
    <row r="19" spans="1:8" ht="13.2">
      <c r="A19" s="9"/>
      <c r="B19" s="10"/>
      <c r="C19" s="10"/>
      <c r="D19" s="10"/>
      <c r="E19" s="10"/>
      <c r="F19" s="10"/>
      <c r="G19" s="10"/>
      <c r="H19" s="10"/>
    </row>
    <row r="20" spans="1:8" ht="13.8">
      <c r="A20" s="301" t="s">
        <v>17</v>
      </c>
      <c r="B20" s="302" t="s">
        <v>18</v>
      </c>
      <c r="C20" s="286"/>
      <c r="D20" s="286"/>
      <c r="E20" s="286"/>
    </row>
    <row r="21" spans="1:8" ht="13.8">
      <c r="A21" s="286"/>
      <c r="B21" s="295" t="s">
        <v>19</v>
      </c>
      <c r="C21" s="286"/>
      <c r="D21" s="286"/>
      <c r="E21" s="286"/>
      <c r="F21" s="285" t="s">
        <v>20</v>
      </c>
      <c r="G21" s="286"/>
      <c r="H21" s="286"/>
    </row>
    <row r="22" spans="1:8" ht="15.6">
      <c r="A22" s="286"/>
      <c r="B22" s="295" t="s">
        <v>21</v>
      </c>
      <c r="C22" s="286"/>
      <c r="D22" s="286"/>
      <c r="E22" s="286"/>
      <c r="F22" s="14"/>
      <c r="G22" s="10"/>
      <c r="H22" s="10"/>
    </row>
    <row r="23" spans="1:8" ht="13.8">
      <c r="A23" s="286"/>
      <c r="B23" s="295" t="s">
        <v>22</v>
      </c>
      <c r="C23" s="286"/>
      <c r="D23" s="286"/>
      <c r="E23" s="286"/>
      <c r="F23" s="10"/>
      <c r="G23" s="10"/>
      <c r="H23" s="10"/>
    </row>
    <row r="24" spans="1:8" ht="13.8">
      <c r="A24" s="286"/>
      <c r="B24" s="295" t="s">
        <v>23</v>
      </c>
      <c r="C24" s="286"/>
      <c r="D24" s="286"/>
      <c r="E24" s="286"/>
      <c r="F24" s="15"/>
      <c r="G24" s="15"/>
      <c r="H24" s="15"/>
    </row>
    <row r="25" spans="1:8" ht="13.8">
      <c r="A25" s="286"/>
      <c r="B25" s="295" t="s">
        <v>24</v>
      </c>
      <c r="C25" s="286"/>
      <c r="D25" s="286"/>
      <c r="E25" s="286"/>
      <c r="F25" s="12"/>
      <c r="G25" s="12"/>
      <c r="H25" s="12"/>
    </row>
    <row r="26" spans="1:8" ht="13.2">
      <c r="A26" s="9"/>
      <c r="B26" s="10"/>
      <c r="C26" s="10"/>
      <c r="D26" s="10"/>
      <c r="E26" s="10"/>
      <c r="F26" s="10"/>
      <c r="G26" s="10"/>
      <c r="H26" s="10"/>
    </row>
    <row r="27" spans="1:8" ht="13.2">
      <c r="A27" s="16" t="s">
        <v>25</v>
      </c>
      <c r="B27" s="285" t="s">
        <v>26</v>
      </c>
      <c r="C27" s="286"/>
      <c r="D27" s="286"/>
      <c r="E27" s="286"/>
      <c r="F27" s="286"/>
      <c r="G27" s="286"/>
      <c r="H27" s="10"/>
    </row>
    <row r="28" spans="1:8" ht="13.2">
      <c r="A28" s="9"/>
      <c r="B28" s="10"/>
      <c r="C28" s="10"/>
      <c r="D28" s="10"/>
      <c r="E28" s="10"/>
      <c r="F28" s="10"/>
      <c r="G28" s="10"/>
      <c r="H28" s="10"/>
    </row>
    <row r="29" spans="1:8" ht="13.2">
      <c r="A29" s="1" t="s">
        <v>27</v>
      </c>
      <c r="B29" s="288" t="s">
        <v>28</v>
      </c>
      <c r="C29" s="286"/>
      <c r="D29" s="286"/>
      <c r="E29" s="286"/>
      <c r="F29" s="286"/>
      <c r="G29" s="286"/>
      <c r="H29" s="286"/>
    </row>
    <row r="30" spans="1:8" ht="13.2">
      <c r="A30" s="1" t="s">
        <v>29</v>
      </c>
      <c r="B30" s="288" t="s">
        <v>30</v>
      </c>
      <c r="C30" s="286"/>
      <c r="D30" s="286"/>
      <c r="E30" s="286"/>
      <c r="F30" s="286"/>
      <c r="G30" s="286"/>
      <c r="H30" s="286"/>
    </row>
    <row r="31" spans="1:8" ht="13.2">
      <c r="A31" s="1"/>
      <c r="B31" s="3"/>
      <c r="C31" s="3"/>
      <c r="D31" s="3"/>
      <c r="E31" s="3"/>
      <c r="F31" s="3"/>
      <c r="G31" s="3"/>
      <c r="H31" s="3"/>
    </row>
    <row r="32" spans="1:8" ht="26.4">
      <c r="A32" s="1" t="s">
        <v>31</v>
      </c>
      <c r="B32" s="288" t="s">
        <v>32</v>
      </c>
      <c r="C32" s="286"/>
      <c r="D32" s="286"/>
      <c r="E32" s="286"/>
      <c r="F32" s="286"/>
      <c r="G32" s="286"/>
      <c r="H32" s="286"/>
    </row>
    <row r="33" spans="1:8" ht="13.2">
      <c r="A33" s="1"/>
      <c r="B33" s="3"/>
      <c r="C33" s="3"/>
      <c r="D33" s="3"/>
      <c r="E33" s="3"/>
      <c r="F33" s="3"/>
      <c r="G33" s="3"/>
      <c r="H33" s="3"/>
    </row>
    <row r="34" spans="1:8" ht="13.2">
      <c r="A34" s="17" t="s">
        <v>33</v>
      </c>
      <c r="B34" s="288" t="s">
        <v>34</v>
      </c>
      <c r="C34" s="286"/>
      <c r="D34" s="286"/>
      <c r="E34" s="286"/>
      <c r="F34" s="286"/>
      <c r="G34" s="286"/>
      <c r="H34" s="286"/>
    </row>
    <row r="35" spans="1:8" ht="13.2">
      <c r="A35" s="1" t="s">
        <v>35</v>
      </c>
      <c r="B35" s="288" t="s">
        <v>36</v>
      </c>
      <c r="C35" s="286"/>
      <c r="D35" s="286"/>
      <c r="E35" s="286"/>
      <c r="F35" s="286"/>
      <c r="G35" s="286"/>
      <c r="H35" s="286"/>
    </row>
    <row r="36" spans="1:8" ht="13.2">
      <c r="A36" s="18"/>
      <c r="B36" s="3"/>
      <c r="C36" s="3"/>
      <c r="D36" s="7"/>
      <c r="E36" s="3"/>
      <c r="F36" s="3"/>
      <c r="G36" s="3"/>
      <c r="H36" s="19"/>
    </row>
    <row r="37" spans="1:8" ht="13.2">
      <c r="A37" s="20"/>
      <c r="B37" s="3"/>
      <c r="C37" s="3"/>
      <c r="D37" s="3"/>
      <c r="E37" s="3"/>
      <c r="F37" s="3"/>
      <c r="G37" s="3"/>
      <c r="H37" s="3"/>
    </row>
    <row r="38" spans="1:8" ht="13.2">
      <c r="A38" s="1" t="s">
        <v>37</v>
      </c>
      <c r="B38" s="288" t="s">
        <v>38</v>
      </c>
      <c r="C38" s="286"/>
      <c r="D38" s="286"/>
      <c r="E38" s="286"/>
      <c r="F38" s="286"/>
      <c r="G38" s="286"/>
      <c r="H38" s="286"/>
    </row>
    <row r="39" spans="1:8" ht="13.2">
      <c r="A39" s="1" t="s">
        <v>39</v>
      </c>
      <c r="B39" s="288" t="s">
        <v>40</v>
      </c>
      <c r="C39" s="286"/>
      <c r="D39" s="286"/>
      <c r="E39" s="286"/>
      <c r="F39" s="286"/>
      <c r="G39" s="286"/>
      <c r="H39" s="286"/>
    </row>
    <row r="40" spans="1:8" ht="13.2">
      <c r="A40" s="20"/>
      <c r="B40" s="3"/>
      <c r="C40" s="3"/>
      <c r="D40" s="3"/>
      <c r="E40" s="3"/>
      <c r="F40" s="3"/>
      <c r="G40" s="3"/>
      <c r="H40" s="3"/>
    </row>
    <row r="41" spans="1:8" ht="13.2">
      <c r="A41" s="289" t="s">
        <v>41</v>
      </c>
      <c r="B41" s="288" t="s">
        <v>42</v>
      </c>
      <c r="C41" s="286"/>
      <c r="D41" s="286"/>
      <c r="E41" s="286"/>
      <c r="F41" s="286"/>
      <c r="G41" s="286"/>
      <c r="H41" s="286"/>
    </row>
    <row r="42" spans="1:8" ht="13.2">
      <c r="A42" s="286"/>
      <c r="B42" s="288" t="s">
        <v>43</v>
      </c>
      <c r="C42" s="286"/>
      <c r="D42" s="286"/>
      <c r="E42" s="286"/>
      <c r="F42" s="286"/>
      <c r="G42" s="286"/>
      <c r="H42" s="286"/>
    </row>
    <row r="43" spans="1:8" ht="13.2">
      <c r="A43" s="286"/>
      <c r="B43" s="288" t="s">
        <v>44</v>
      </c>
      <c r="C43" s="286"/>
      <c r="D43" s="286"/>
      <c r="E43" s="286"/>
      <c r="F43" s="286"/>
      <c r="G43" s="286"/>
      <c r="H43" s="286"/>
    </row>
    <row r="44" spans="1:8" ht="13.2">
      <c r="A44" s="286"/>
      <c r="B44" s="288" t="s">
        <v>45</v>
      </c>
      <c r="C44" s="286"/>
      <c r="D44" s="286"/>
      <c r="E44" s="286"/>
      <c r="F44" s="286"/>
      <c r="G44" s="286"/>
      <c r="H44" s="286"/>
    </row>
    <row r="45" spans="1:8" ht="13.2">
      <c r="A45" s="286"/>
      <c r="B45" s="288" t="s">
        <v>46</v>
      </c>
      <c r="C45" s="286"/>
      <c r="D45" s="286"/>
      <c r="E45" s="286"/>
      <c r="F45" s="286"/>
      <c r="G45" s="286"/>
      <c r="H45" s="286"/>
    </row>
    <row r="46" spans="1:8" ht="13.2">
      <c r="A46" s="286"/>
      <c r="B46" s="288" t="s">
        <v>47</v>
      </c>
      <c r="C46" s="286"/>
      <c r="D46" s="286"/>
      <c r="E46" s="286"/>
      <c r="F46" s="286"/>
      <c r="G46" s="286"/>
      <c r="H46" s="286"/>
    </row>
    <row r="47" spans="1:8" ht="13.2">
      <c r="A47" s="286"/>
      <c r="B47" s="288" t="s">
        <v>48</v>
      </c>
      <c r="C47" s="286"/>
      <c r="D47" s="286"/>
      <c r="E47" s="286"/>
      <c r="F47" s="286"/>
      <c r="G47" s="286"/>
      <c r="H47" s="286"/>
    </row>
    <row r="48" spans="1:8" ht="26.4">
      <c r="A48" s="286"/>
      <c r="B48" s="11" t="str">
        <f>HYPERLINK("https://uva.onlinejudge.org/index.php?option=com_content&amp;task=view&amp;id=16&amp;Itemid=31","Put problem Status")</f>
        <v>Put problem Status</v>
      </c>
      <c r="C48" s="19" t="s">
        <v>49</v>
      </c>
      <c r="D48" s="19" t="s">
        <v>50</v>
      </c>
      <c r="E48" s="290" t="s">
        <v>51</v>
      </c>
      <c r="F48" s="286"/>
      <c r="G48" s="286"/>
      <c r="H48" s="286"/>
    </row>
    <row r="49" spans="1:8" ht="13.2">
      <c r="A49" s="286"/>
      <c r="B49" s="288" t="s">
        <v>52</v>
      </c>
      <c r="C49" s="286"/>
      <c r="D49" s="286"/>
      <c r="E49" s="286"/>
      <c r="F49" s="286"/>
      <c r="G49" s="286"/>
      <c r="H49" s="286"/>
    </row>
    <row r="50" spans="1:8" ht="13.2">
      <c r="A50" s="286"/>
      <c r="B50" s="288" t="s">
        <v>53</v>
      </c>
      <c r="C50" s="286"/>
      <c r="D50" s="286"/>
      <c r="E50" s="286"/>
      <c r="F50" s="286"/>
      <c r="G50" s="286"/>
      <c r="H50" s="286"/>
    </row>
    <row r="51" spans="1:8" ht="13.2">
      <c r="A51" s="286"/>
      <c r="B51" s="288" t="s">
        <v>54</v>
      </c>
      <c r="C51" s="286"/>
      <c r="D51" s="286"/>
      <c r="E51" s="286"/>
      <c r="F51" s="286"/>
      <c r="G51" s="286"/>
      <c r="H51" s="286"/>
    </row>
    <row r="52" spans="1:8" ht="13.2">
      <c r="A52" s="20"/>
      <c r="B52" s="3"/>
      <c r="C52" s="3"/>
      <c r="D52" s="3"/>
      <c r="E52" s="3"/>
      <c r="F52" s="3"/>
      <c r="G52" s="3"/>
      <c r="H52" s="3"/>
    </row>
    <row r="53" spans="1:8" ht="13.2">
      <c r="A53" s="20" t="s">
        <v>55</v>
      </c>
      <c r="B53" s="288" t="s">
        <v>56</v>
      </c>
      <c r="C53" s="286"/>
      <c r="D53" s="286"/>
      <c r="E53" s="286"/>
      <c r="F53" s="286"/>
      <c r="G53" s="286"/>
      <c r="H53" s="286"/>
    </row>
    <row r="54" spans="1:8" ht="13.2">
      <c r="A54" s="20"/>
      <c r="B54" s="3"/>
      <c r="C54" s="3"/>
      <c r="D54" s="3"/>
      <c r="E54" s="3"/>
      <c r="F54" s="3"/>
      <c r="G54" s="3"/>
      <c r="H54" s="3"/>
    </row>
    <row r="55" spans="1:8" ht="13.2">
      <c r="A55" s="289" t="s">
        <v>57</v>
      </c>
      <c r="B55" s="21" t="str">
        <f>HYPERLINK("http://codeforces.com/contest/136/problem/A","CF136-D2-A")</f>
        <v>CF136-D2-A</v>
      </c>
      <c r="C55" s="288" t="s">
        <v>58</v>
      </c>
      <c r="D55" s="286"/>
      <c r="E55" s="286"/>
      <c r="F55" s="286"/>
      <c r="G55" s="286"/>
      <c r="H55" s="286"/>
    </row>
    <row r="56" spans="1:8" ht="26.4">
      <c r="A56" s="286"/>
      <c r="B56" s="3" t="s">
        <v>59</v>
      </c>
      <c r="C56" s="288" t="s">
        <v>60</v>
      </c>
      <c r="D56" s="286"/>
      <c r="E56" s="286"/>
      <c r="F56" s="286"/>
      <c r="G56" s="286"/>
      <c r="H56" s="286"/>
    </row>
    <row r="57" spans="1:8" ht="13.2">
      <c r="A57" s="20"/>
      <c r="B57" s="282" t="s">
        <v>61</v>
      </c>
      <c r="C57" s="283"/>
      <c r="D57" s="283"/>
      <c r="E57" s="283"/>
      <c r="F57" s="283"/>
      <c r="G57" s="283"/>
      <c r="H57" s="284"/>
    </row>
    <row r="58" spans="1:8" ht="13.2">
      <c r="A58" s="20"/>
      <c r="B58" s="3"/>
      <c r="C58" s="3"/>
      <c r="D58" s="3"/>
      <c r="E58" s="3"/>
      <c r="F58" s="3"/>
      <c r="G58" s="3"/>
      <c r="H58" s="3"/>
    </row>
    <row r="59" spans="1:8" ht="13.2">
      <c r="A59" s="289" t="s">
        <v>62</v>
      </c>
      <c r="B59" s="22" t="str">
        <f>HYPERLINK("http://codeforces.com/contest/483/problem/A","CF483-D2-A")</f>
        <v>CF483-D2-A</v>
      </c>
      <c r="C59" s="285" t="s">
        <v>63</v>
      </c>
      <c r="D59" s="286"/>
      <c r="E59" s="286"/>
      <c r="F59" s="286"/>
      <c r="G59" s="286"/>
      <c r="H59" s="286"/>
    </row>
    <row r="60" spans="1:8" ht="13.2">
      <c r="A60" s="286"/>
      <c r="B60" s="23" t="str">
        <f>HYPERLINK("https://uva.onlinejudge.org/index.php?option=onlinejudge&amp;page=show_problem&amp;problem=1183","UVA 10242")</f>
        <v>UVA 10242</v>
      </c>
      <c r="C60" s="285" t="s">
        <v>64</v>
      </c>
      <c r="D60" s="286"/>
      <c r="E60" s="286"/>
      <c r="F60" s="286"/>
      <c r="G60" s="286"/>
      <c r="H60" s="286"/>
    </row>
    <row r="61" spans="1:8" ht="13.2">
      <c r="A61" s="286"/>
      <c r="B61" s="24" t="str">
        <f>HYPERLINK("http://www.spoj.com/problems/CDOWN/","SPOJ CDOWN")</f>
        <v>SPOJ CDOWN</v>
      </c>
      <c r="C61" s="285" t="s">
        <v>65</v>
      </c>
      <c r="D61" s="286"/>
      <c r="E61" s="286"/>
      <c r="F61" s="286"/>
      <c r="G61" s="286"/>
      <c r="H61" s="286"/>
    </row>
    <row r="62" spans="1:8" ht="17.25" customHeight="1">
      <c r="A62" s="286"/>
      <c r="B62" s="25" t="str">
        <f>HYPERLINK("http://codeforces.com/contest/518/problem/B","CF518-D2-B")</f>
        <v>CF518-D2-B</v>
      </c>
      <c r="C62" s="285" t="s">
        <v>66</v>
      </c>
      <c r="D62" s="286"/>
      <c r="E62" s="286"/>
      <c r="F62" s="286"/>
      <c r="G62" s="286"/>
      <c r="H62" s="286"/>
    </row>
    <row r="63" spans="1:8" ht="13.2">
      <c r="A63" s="20"/>
      <c r="B63" s="10"/>
      <c r="C63" s="10"/>
      <c r="D63" s="10"/>
      <c r="E63" s="10"/>
      <c r="F63" s="10"/>
      <c r="G63" s="10"/>
      <c r="H63" s="10"/>
    </row>
    <row r="64" spans="1:8" ht="13.2">
      <c r="A64" s="1" t="s">
        <v>67</v>
      </c>
      <c r="B64" s="285" t="s">
        <v>68</v>
      </c>
      <c r="C64" s="286"/>
      <c r="D64" s="286"/>
      <c r="E64" s="286"/>
      <c r="F64" s="286"/>
      <c r="G64" s="286"/>
      <c r="H64" s="286"/>
    </row>
    <row r="65" spans="1:8" ht="13.2">
      <c r="A65" s="20"/>
      <c r="B65" s="10"/>
      <c r="C65" s="10"/>
      <c r="D65" s="10"/>
      <c r="E65" s="10"/>
      <c r="F65" s="10"/>
      <c r="G65" s="10"/>
      <c r="H65" s="10"/>
    </row>
    <row r="66" spans="1:8" ht="13.2">
      <c r="A66" s="1" t="s">
        <v>69</v>
      </c>
      <c r="B66" s="285" t="s">
        <v>70</v>
      </c>
      <c r="C66" s="286"/>
      <c r="D66" s="286"/>
      <c r="E66" s="286"/>
      <c r="F66" s="286"/>
      <c r="G66" s="286"/>
      <c r="H66" s="286"/>
    </row>
    <row r="67" spans="1:8" ht="13.2">
      <c r="A67" s="20"/>
      <c r="B67" s="10"/>
      <c r="C67" s="10"/>
      <c r="D67" s="10"/>
      <c r="E67" s="10"/>
      <c r="F67" s="10"/>
      <c r="G67" s="10"/>
      <c r="H67" s="10"/>
    </row>
    <row r="68" spans="1:8" ht="13.2">
      <c r="A68" s="289" t="s">
        <v>71</v>
      </c>
      <c r="B68" s="287" t="str">
        <f>HYPERLINK("https://github.com/lnishan/awesome-competitive-programming","Awesome Competitive Programming")</f>
        <v>Awesome Competitive Programming</v>
      </c>
      <c r="C68" s="286"/>
      <c r="D68" s="288" t="s">
        <v>72</v>
      </c>
      <c r="E68" s="286"/>
      <c r="F68" s="286"/>
      <c r="G68" s="286"/>
      <c r="H68" s="286"/>
    </row>
    <row r="69" spans="1:8" ht="13.2">
      <c r="A69" s="286"/>
      <c r="B69" s="287" t="str">
        <f>HYPERLINK("https://github.com/AhmadElsagheer/Competitive-programming-library/tree/master/curriculum","Ahmed Elsaghir Trainnig")</f>
        <v>Ahmed Elsaghir Trainnig</v>
      </c>
      <c r="C69" s="286"/>
      <c r="D69" s="288" t="s">
        <v>73</v>
      </c>
      <c r="E69" s="286"/>
      <c r="F69" s="286"/>
      <c r="G69" s="286"/>
      <c r="H69" s="286"/>
    </row>
    <row r="70" spans="1:8" ht="13.2">
      <c r="A70" s="286"/>
      <c r="B70" s="287" t="str">
        <f>HYPERLINK("https://a2oj.com/ladders","A2oj Ladders")</f>
        <v>A2oj Ladders</v>
      </c>
      <c r="C70" s="286"/>
      <c r="D70" s="288" t="s">
        <v>74</v>
      </c>
      <c r="E70" s="286"/>
      <c r="F70" s="286"/>
      <c r="G70" s="286"/>
      <c r="H70" s="286"/>
    </row>
    <row r="71" spans="1:8" ht="13.2">
      <c r="A71" s="286"/>
      <c r="B71" s="293" t="str">
        <f>HYPERLINK("https://www.youtube.com/watch?v=mUSajNUEWxg&amp;list=PLb7yniFBnvZIdfxYIKqNlGsTf5oZy4dKk","Prgramming Ahmed M sayd")</f>
        <v>Prgramming Ahmed M sayd</v>
      </c>
      <c r="C71" s="286"/>
      <c r="D71" s="288" t="s">
        <v>75</v>
      </c>
      <c r="E71" s="286"/>
      <c r="F71" s="286"/>
      <c r="G71" s="286"/>
      <c r="H71" s="286"/>
    </row>
    <row r="72" spans="1:8" ht="13.2">
      <c r="A72" s="286"/>
      <c r="B72" s="294" t="s">
        <v>76</v>
      </c>
      <c r="C72" s="286"/>
      <c r="D72" s="288" t="s">
        <v>75</v>
      </c>
      <c r="E72" s="286"/>
      <c r="F72" s="286"/>
      <c r="G72" s="286"/>
      <c r="H72" s="286"/>
    </row>
    <row r="73" spans="1:8" ht="13.2">
      <c r="A73" s="286"/>
      <c r="B73" s="26" t="str">
        <f>HYPERLINK("https://www.youtube.com/playlist?list=PLPt2dINI2MIZi6jW3pFvP9AHDsNi5XlD1","More Resources")</f>
        <v>More Resources</v>
      </c>
      <c r="C73" s="13"/>
      <c r="D73" s="288" t="s">
        <v>77</v>
      </c>
      <c r="E73" s="286"/>
      <c r="F73" s="286"/>
      <c r="G73" s="286"/>
      <c r="H73" s="286"/>
    </row>
    <row r="74" spans="1:8" ht="13.2">
      <c r="A74" s="20"/>
      <c r="B74" s="3"/>
      <c r="C74" s="3"/>
      <c r="D74" s="3"/>
      <c r="E74" s="3"/>
      <c r="F74" s="3"/>
      <c r="G74" s="3"/>
      <c r="H74" s="3"/>
    </row>
    <row r="75" spans="1:8" ht="13.2">
      <c r="A75" s="289" t="s">
        <v>78</v>
      </c>
      <c r="B75" s="292" t="s">
        <v>79</v>
      </c>
      <c r="C75" s="286"/>
      <c r="D75" s="286"/>
      <c r="E75" s="286"/>
      <c r="F75" s="286"/>
      <c r="G75" s="286"/>
      <c r="H75" s="286"/>
    </row>
    <row r="76" spans="1:8" ht="13.2">
      <c r="A76" s="286"/>
      <c r="B76" s="292" t="s">
        <v>80</v>
      </c>
      <c r="C76" s="286"/>
      <c r="D76" s="286"/>
      <c r="E76" s="286"/>
      <c r="F76" s="286"/>
      <c r="G76" s="286"/>
      <c r="H76" s="286"/>
    </row>
    <row r="77" spans="1:8" ht="13.2">
      <c r="A77" s="286"/>
      <c r="B77" s="288" t="s">
        <v>81</v>
      </c>
      <c r="C77" s="286"/>
      <c r="D77" s="286"/>
      <c r="E77" s="286"/>
      <c r="F77" s="286"/>
      <c r="G77" s="286"/>
      <c r="H77" s="286"/>
    </row>
    <row r="78" spans="1:8" ht="13.2">
      <c r="A78" s="286"/>
      <c r="B78" s="288" t="s">
        <v>82</v>
      </c>
      <c r="C78" s="286"/>
      <c r="D78" s="286"/>
      <c r="E78" s="286"/>
      <c r="F78" s="286"/>
      <c r="G78" s="286"/>
      <c r="H78" s="286"/>
    </row>
    <row r="79" spans="1:8" ht="13.2">
      <c r="A79" s="286"/>
      <c r="B79" s="3" t="s">
        <v>83</v>
      </c>
      <c r="C79" s="3"/>
      <c r="D79" s="3"/>
      <c r="E79" s="3"/>
      <c r="F79" s="3"/>
      <c r="G79" s="3"/>
      <c r="H79" s="3"/>
    </row>
    <row r="80" spans="1:8" ht="13.2">
      <c r="A80" s="286"/>
      <c r="B80" s="288" t="s">
        <v>84</v>
      </c>
      <c r="C80" s="286"/>
      <c r="D80" s="286"/>
      <c r="E80" s="286"/>
      <c r="F80" s="286"/>
      <c r="G80" s="286"/>
      <c r="H80" s="286"/>
    </row>
    <row r="81" spans="1:8" ht="13.2">
      <c r="A81" s="286"/>
      <c r="B81" s="288" t="s">
        <v>85</v>
      </c>
      <c r="C81" s="286"/>
      <c r="D81" s="286"/>
      <c r="E81" s="286"/>
      <c r="F81" s="286"/>
      <c r="G81" s="286"/>
      <c r="H81" s="286"/>
    </row>
    <row r="82" spans="1:8" ht="13.2">
      <c r="A82" s="27"/>
      <c r="B82" s="10"/>
      <c r="C82" s="10"/>
      <c r="D82" s="10"/>
      <c r="E82" s="10"/>
      <c r="F82" s="10"/>
      <c r="G82" s="10"/>
      <c r="H82" s="10"/>
    </row>
    <row r="83" spans="1:8" ht="13.2">
      <c r="A83" s="27"/>
      <c r="B83" s="10"/>
      <c r="C83" s="10"/>
      <c r="D83" s="10"/>
      <c r="E83" s="10"/>
      <c r="F83" s="10"/>
      <c r="G83" s="10"/>
      <c r="H83" s="10"/>
    </row>
    <row r="84" spans="1:8" ht="13.2">
      <c r="A84" s="291" t="s">
        <v>86</v>
      </c>
      <c r="B84" s="286"/>
      <c r="C84" s="286"/>
      <c r="D84" s="286"/>
      <c r="E84" s="286"/>
      <c r="F84" s="286"/>
      <c r="G84" s="286"/>
      <c r="H84" s="286"/>
    </row>
    <row r="85" spans="1:8" ht="13.2">
      <c r="A85" s="291" t="s">
        <v>87</v>
      </c>
      <c r="B85" s="286"/>
      <c r="C85" s="286"/>
      <c r="D85" s="286"/>
      <c r="E85" s="286"/>
      <c r="F85" s="286"/>
      <c r="G85" s="286"/>
      <c r="H85" s="286"/>
    </row>
    <row r="86" spans="1:8" ht="13.2">
      <c r="A86" s="291" t="s">
        <v>88</v>
      </c>
      <c r="B86" s="286"/>
      <c r="C86" s="286"/>
      <c r="D86" s="286"/>
      <c r="E86" s="286"/>
      <c r="F86" s="286"/>
      <c r="G86" s="286"/>
      <c r="H86" s="286"/>
    </row>
  </sheetData>
  <mergeCells count="79">
    <mergeCell ref="B8:D8"/>
    <mergeCell ref="B9:D9"/>
    <mergeCell ref="B10:D10"/>
    <mergeCell ref="B11:G11"/>
    <mergeCell ref="A1:A14"/>
    <mergeCell ref="B1:H1"/>
    <mergeCell ref="B2:H2"/>
    <mergeCell ref="B3:C3"/>
    <mergeCell ref="B4:E4"/>
    <mergeCell ref="B5:C5"/>
    <mergeCell ref="B7:E7"/>
    <mergeCell ref="B13:G13"/>
    <mergeCell ref="B14:F14"/>
    <mergeCell ref="A16:A18"/>
    <mergeCell ref="B16:F16"/>
    <mergeCell ref="B17:D17"/>
    <mergeCell ref="B18:G18"/>
    <mergeCell ref="B53:H53"/>
    <mergeCell ref="A55:A56"/>
    <mergeCell ref="C55:H55"/>
    <mergeCell ref="C56:H56"/>
    <mergeCell ref="B24:E24"/>
    <mergeCell ref="B25:E25"/>
    <mergeCell ref="A20:A25"/>
    <mergeCell ref="B20:E20"/>
    <mergeCell ref="B21:E21"/>
    <mergeCell ref="F21:H21"/>
    <mergeCell ref="B22:E22"/>
    <mergeCell ref="B23:E23"/>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A84:H84"/>
    <mergeCell ref="A85:H85"/>
    <mergeCell ref="A86:H86"/>
    <mergeCell ref="D73:H73"/>
    <mergeCell ref="B75:H75"/>
    <mergeCell ref="B76:H76"/>
    <mergeCell ref="B77:H77"/>
    <mergeCell ref="B78:H78"/>
    <mergeCell ref="B80:H80"/>
    <mergeCell ref="B81:H81"/>
    <mergeCell ref="B27:G27"/>
    <mergeCell ref="B29:H29"/>
    <mergeCell ref="B30:H30"/>
    <mergeCell ref="B32:H32"/>
    <mergeCell ref="B34:H34"/>
    <mergeCell ref="B35:H35"/>
    <mergeCell ref="B38:H38"/>
    <mergeCell ref="B46:H46"/>
    <mergeCell ref="B47:H47"/>
    <mergeCell ref="E48:H48"/>
    <mergeCell ref="B49:H49"/>
    <mergeCell ref="B39:H39"/>
    <mergeCell ref="A41:A51"/>
    <mergeCell ref="B41:H41"/>
    <mergeCell ref="B42:H42"/>
    <mergeCell ref="B43:H43"/>
    <mergeCell ref="B44:H44"/>
    <mergeCell ref="B45:H45"/>
    <mergeCell ref="B50:H50"/>
    <mergeCell ref="B51:H51"/>
    <mergeCell ref="B57:H57"/>
    <mergeCell ref="C59:H59"/>
    <mergeCell ref="C60:H60"/>
    <mergeCell ref="C61:H61"/>
    <mergeCell ref="B69:C69"/>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D976"/>
  <sheetViews>
    <sheetView workbookViewId="0">
      <pane xSplit="2" ySplit="1" topLeftCell="C519" activePane="bottomRight" state="frozen"/>
      <selection pane="topRight" activeCell="C1" sqref="C1"/>
      <selection pane="bottomLeft" activeCell="A3" sqref="A3"/>
      <selection pane="bottomRight" activeCell="B207" sqref="B207"/>
    </sheetView>
  </sheetViews>
  <sheetFormatPr defaultColWidth="15.109375" defaultRowHeight="15.75" customHeight="1"/>
  <cols>
    <col min="1" max="1" width="41.44140625" bestFit="1" customWidth="1"/>
    <col min="2" max="2" width="27.6640625" bestFit="1" customWidth="1"/>
    <col min="3" max="3" width="8" bestFit="1" customWidth="1"/>
    <col min="4" max="4" width="168.109375" bestFit="1" customWidth="1"/>
  </cols>
  <sheetData>
    <row r="1" spans="1:4" ht="13.2">
      <c r="A1" s="259" t="s">
        <v>1199</v>
      </c>
      <c r="B1" s="260" t="s">
        <v>147</v>
      </c>
      <c r="C1" s="316" t="s">
        <v>1806</v>
      </c>
      <c r="D1" s="261" t="s">
        <v>1200</v>
      </c>
    </row>
    <row r="2" spans="1:4" ht="13.2">
      <c r="A2" s="51" t="s">
        <v>161</v>
      </c>
      <c r="B2" s="263" t="str">
        <f>HYPERLINK("http://codeforces.com/contest/677/problem/A","CF677-D2-A")</f>
        <v>CF677-D2-A</v>
      </c>
      <c r="C2" s="317" t="s">
        <v>160</v>
      </c>
      <c r="D2" s="170" t="s">
        <v>1201</v>
      </c>
    </row>
    <row r="3" spans="1:4" ht="13.2">
      <c r="A3" s="51" t="s">
        <v>162</v>
      </c>
      <c r="B3" s="263" t="str">
        <f>HYPERLINK("http://codeforces.com/contest/734/problem/A","CF734-D2-A")</f>
        <v>CF734-D2-A</v>
      </c>
      <c r="C3" s="281" t="s">
        <v>160</v>
      </c>
      <c r="D3" s="170" t="s">
        <v>1201</v>
      </c>
    </row>
    <row r="4" spans="1:4" ht="13.2">
      <c r="A4" s="51" t="s">
        <v>167</v>
      </c>
      <c r="B4" s="263" t="str">
        <f>HYPERLINK("http://codeforces.com/contest/112/problem/A","CF112-D2-A")</f>
        <v>CF112-D2-A</v>
      </c>
      <c r="C4" s="56"/>
      <c r="D4" s="170" t="s">
        <v>1201</v>
      </c>
    </row>
    <row r="5" spans="1:4" ht="13.2">
      <c r="A5" s="51" t="s">
        <v>178</v>
      </c>
      <c r="B5" s="263" t="str">
        <f>HYPERLINK("http://codeforces.com/contest/228/problem/A","CF228-D2-A")</f>
        <v>CF228-D2-A</v>
      </c>
      <c r="C5" s="35"/>
      <c r="D5" s="170" t="s">
        <v>1201</v>
      </c>
    </row>
    <row r="6" spans="1:4" ht="13.2">
      <c r="A6" s="51" t="s">
        <v>164</v>
      </c>
      <c r="B6" s="263" t="str">
        <f>HYPERLINK("http://codeforces.com/contest/231/problem/A","CF231-D2-A")</f>
        <v>CF231-D2-A</v>
      </c>
      <c r="C6" s="281" t="s">
        <v>160</v>
      </c>
      <c r="D6" s="170" t="s">
        <v>1201</v>
      </c>
    </row>
    <row r="7" spans="1:4" ht="13.2">
      <c r="A7" s="51" t="s">
        <v>168</v>
      </c>
      <c r="B7" s="263" t="str">
        <f>HYPERLINK("http://codeforces.com/contest/236/problem/A","CF236-D2-A")</f>
        <v>CF236-D2-A</v>
      </c>
      <c r="C7" s="318" t="s">
        <v>160</v>
      </c>
      <c r="D7" s="170" t="s">
        <v>1201</v>
      </c>
    </row>
    <row r="8" spans="1:4" ht="13.2">
      <c r="A8" s="51" t="s">
        <v>165</v>
      </c>
      <c r="B8" s="263" t="str">
        <f>HYPERLINK("http://codeforces.com/contest/263/problem/A","CF263-D2-A")</f>
        <v>CF263-D2-A</v>
      </c>
      <c r="C8" s="281" t="s">
        <v>160</v>
      </c>
      <c r="D8" s="170" t="s">
        <v>1201</v>
      </c>
    </row>
    <row r="9" spans="1:4" ht="13.2">
      <c r="A9" s="51" t="s">
        <v>179</v>
      </c>
      <c r="B9" s="263" t="str">
        <f>HYPERLINK("http://codeforces.com/contest/265/problem/A","CF265-D2-A")</f>
        <v>CF265-D2-A</v>
      </c>
      <c r="C9" s="35"/>
      <c r="D9" s="170" t="s">
        <v>1201</v>
      </c>
    </row>
    <row r="10" spans="1:4" ht="13.2">
      <c r="A10" s="51" t="s">
        <v>172</v>
      </c>
      <c r="B10" s="263" t="str">
        <f>HYPERLINK("http://codeforces.com/contest/266/problem/A","CF266-D2-A")</f>
        <v>CF266-D2-A</v>
      </c>
      <c r="C10" s="281" t="s">
        <v>160</v>
      </c>
      <c r="D10" s="170" t="s">
        <v>1201</v>
      </c>
    </row>
    <row r="11" spans="1:4" ht="13.2">
      <c r="A11" s="51" t="s">
        <v>176</v>
      </c>
      <c r="B11" s="263" t="str">
        <f>HYPERLINK("http://codeforces.com/contest/268/problem/A","CF268-D2-A")</f>
        <v>CF268-D2-A</v>
      </c>
      <c r="C11" s="35"/>
      <c r="D11" s="170" t="s">
        <v>1201</v>
      </c>
    </row>
    <row r="12" spans="1:4" ht="13.2">
      <c r="A12" s="51" t="s">
        <v>250</v>
      </c>
      <c r="B12" s="263" t="str">
        <f>HYPERLINK("http://codeforces.com/contest/281/problem/A","CF281-D2-A")</f>
        <v>CF281-D2-A</v>
      </c>
      <c r="C12" s="318" t="s">
        <v>160</v>
      </c>
      <c r="D12" s="170" t="s">
        <v>1201</v>
      </c>
    </row>
    <row r="13" spans="1:4" ht="13.2">
      <c r="A13" s="51" t="s">
        <v>170</v>
      </c>
      <c r="B13" s="263" t="str">
        <f>HYPERLINK("http://codeforces.com/contest/344/problem/A","CF344-D2-A")</f>
        <v>CF344-D2-A</v>
      </c>
      <c r="C13" s="318" t="s">
        <v>160</v>
      </c>
      <c r="D13" s="170" t="s">
        <v>1201</v>
      </c>
    </row>
    <row r="14" spans="1:4" ht="13.2">
      <c r="A14" s="51" t="s">
        <v>171</v>
      </c>
      <c r="B14" s="263" t="str">
        <f>HYPERLINK("http://codeforces.com/contest/381/problem/A","CF381-D2-A")</f>
        <v>CF381-D2-A</v>
      </c>
      <c r="C14" s="318" t="s">
        <v>160</v>
      </c>
      <c r="D14" s="170" t="s">
        <v>1201</v>
      </c>
    </row>
    <row r="15" spans="1:4" ht="13.2">
      <c r="A15" s="51" t="s">
        <v>166</v>
      </c>
      <c r="B15" s="263" t="str">
        <f>HYPERLINK("http://codeforces.com/contest/405/problem/A","CF405-D2-A")</f>
        <v>CF405-D2-A</v>
      </c>
      <c r="C15" s="318" t="s">
        <v>160</v>
      </c>
      <c r="D15" s="170" t="s">
        <v>1201</v>
      </c>
    </row>
    <row r="16" spans="1:4" ht="13.2">
      <c r="A16" s="51" t="s">
        <v>173</v>
      </c>
      <c r="B16" s="263" t="str">
        <f>HYPERLINK("http://codeforces.com/contest/427/problem/A","CF427-D2-A")</f>
        <v>CF427-D2-A</v>
      </c>
      <c r="C16" s="281" t="s">
        <v>160</v>
      </c>
      <c r="D16" s="170" t="s">
        <v>1201</v>
      </c>
    </row>
    <row r="17" spans="1:4" ht="13.2">
      <c r="A17" s="51" t="s">
        <v>174</v>
      </c>
      <c r="B17" s="263" t="str">
        <f>HYPERLINK("http://codeforces.com/contest/431/problem/A","CF431-D2-A")</f>
        <v>CF431-D2-A</v>
      </c>
      <c r="C17" s="35"/>
      <c r="D17" s="170" t="s">
        <v>1201</v>
      </c>
    </row>
    <row r="18" spans="1:4" ht="13.2">
      <c r="A18" s="51" t="s">
        <v>169</v>
      </c>
      <c r="B18" s="263" t="str">
        <f>HYPERLINK("http://codeforces.com/contest/59/problem/A","CF59-D2-A")</f>
        <v>CF59-D2-A</v>
      </c>
      <c r="C18" s="318" t="s">
        <v>160</v>
      </c>
      <c r="D18" s="170" t="s">
        <v>1201</v>
      </c>
    </row>
    <row r="19" spans="1:4" ht="13.2">
      <c r="A19" s="51" t="s">
        <v>175</v>
      </c>
      <c r="B19" s="263" t="str">
        <f>HYPERLINK("http://codeforces.com/contest/731/problem/A","CF731-D2-A")</f>
        <v>CF731-D2-A</v>
      </c>
      <c r="C19" s="35"/>
      <c r="D19" s="170" t="s">
        <v>1201</v>
      </c>
    </row>
    <row r="20" spans="1:4" ht="13.2">
      <c r="A20" s="51" t="s">
        <v>177</v>
      </c>
      <c r="B20" s="263" t="str">
        <f>HYPERLINK("http://codeforces.com/contest/732/problem/A","CF732-D2-A")</f>
        <v>CF732-D2-A</v>
      </c>
      <c r="C20" s="35"/>
      <c r="D20" s="170" t="s">
        <v>1201</v>
      </c>
    </row>
    <row r="21" spans="1:4" ht="13.2">
      <c r="A21" s="51" t="s">
        <v>163</v>
      </c>
      <c r="B21" s="263" t="str">
        <f>HYPERLINK("codeforces.com/contest/791/problem/A","CF791-D2-A")</f>
        <v>CF791-D2-A</v>
      </c>
      <c r="C21" s="281" t="s">
        <v>160</v>
      </c>
      <c r="D21" s="170" t="s">
        <v>1201</v>
      </c>
    </row>
    <row r="22" spans="1:4" ht="13.2">
      <c r="A22" s="51" t="s">
        <v>229</v>
      </c>
      <c r="B22" s="263" t="str">
        <f>HYPERLINK("http://codeforces.com/contest/365/problem/A","CF365-D2-A")</f>
        <v>CF365-D2-A</v>
      </c>
      <c r="C22" s="76"/>
      <c r="D22" s="262" t="s">
        <v>1202</v>
      </c>
    </row>
    <row r="23" spans="1:4" ht="13.2">
      <c r="A23" s="51" t="s">
        <v>240</v>
      </c>
      <c r="B23" s="263" t="str">
        <f>HYPERLINK("http://codeforces.com/contest/298/problem/A","CF298-D2-A")</f>
        <v>CF298-D2-A</v>
      </c>
      <c r="C23" s="56"/>
      <c r="D23" s="262" t="s">
        <v>1202</v>
      </c>
    </row>
    <row r="24" spans="1:4" ht="13.2">
      <c r="A24" s="51" t="s">
        <v>256</v>
      </c>
      <c r="B24" s="263" t="str">
        <f>HYPERLINK("http://codeforces.com/contest/118/problem/A","CF118-D2-A")</f>
        <v>CF118-D2-A</v>
      </c>
      <c r="C24" s="318" t="s">
        <v>160</v>
      </c>
      <c r="D24" s="170" t="s">
        <v>1201</v>
      </c>
    </row>
    <row r="25" spans="1:4" ht="13.2">
      <c r="A25" s="51" t="s">
        <v>195</v>
      </c>
      <c r="B25" s="263" t="str">
        <f>HYPERLINK("http://codeforces.com/contest/136/problem/A","CF136-D2-A")</f>
        <v>CF136-D2-A</v>
      </c>
      <c r="C25" s="56"/>
      <c r="D25" s="170" t="s">
        <v>1201</v>
      </c>
    </row>
    <row r="26" spans="1:4" ht="13.2">
      <c r="A26" s="51" t="s">
        <v>251</v>
      </c>
      <c r="B26" s="263" t="str">
        <f>HYPERLINK("http://codeforces.com/contest/158/problem/A","CF158-D12-A")</f>
        <v>CF158-D12-A</v>
      </c>
      <c r="C26" s="318" t="s">
        <v>160</v>
      </c>
      <c r="D26" s="170" t="s">
        <v>1201</v>
      </c>
    </row>
    <row r="27" spans="1:4" ht="13.2">
      <c r="A27" s="51" t="s">
        <v>201</v>
      </c>
      <c r="B27" s="263" t="str">
        <f>HYPERLINK("http://codeforces.com/contest/160/problem/A","CF160-D2-A")</f>
        <v>CF160-D2-A</v>
      </c>
      <c r="C27" s="56"/>
      <c r="D27" s="170" t="s">
        <v>1201</v>
      </c>
    </row>
    <row r="28" spans="1:4" ht="13.2">
      <c r="A28" s="51" t="s">
        <v>215</v>
      </c>
      <c r="B28" s="263" t="str">
        <f>HYPERLINK("http://codeforces.com/contest/208/problem/A","CF208-D2-A")</f>
        <v>CF208-D2-A</v>
      </c>
      <c r="C28" s="56"/>
      <c r="D28" s="170" t="s">
        <v>1201</v>
      </c>
    </row>
    <row r="29" spans="1:4" ht="13.2">
      <c r="A29" s="51" t="s">
        <v>232</v>
      </c>
      <c r="B29" s="263" t="str">
        <f>HYPERLINK("http://codeforces.com/contest/218/problem/A","CF218-D2-A")</f>
        <v>CF218-D2-A</v>
      </c>
      <c r="C29" s="76"/>
      <c r="D29" s="170" t="s">
        <v>1201</v>
      </c>
    </row>
    <row r="30" spans="1:4" ht="13.2">
      <c r="A30" s="51" t="s">
        <v>230</v>
      </c>
      <c r="B30" s="263" t="str">
        <f>HYPERLINK("http://codeforces.com/contest/225/problem/A","CF225-D2-A")</f>
        <v>CF225-D2-A</v>
      </c>
      <c r="C30" s="76"/>
      <c r="D30" s="170" t="s">
        <v>1201</v>
      </c>
    </row>
    <row r="31" spans="1:4" ht="13.2">
      <c r="A31" s="51" t="s">
        <v>226</v>
      </c>
      <c r="B31" s="263" t="str">
        <f>HYPERLINK("http://codeforces.com/contest/270/problem/A","CF270-D2-A")</f>
        <v>CF270-D2-A</v>
      </c>
      <c r="C31" s="56"/>
      <c r="D31" s="170" t="s">
        <v>1201</v>
      </c>
    </row>
    <row r="32" spans="1:4" ht="13.2">
      <c r="A32" s="51" t="s">
        <v>253</v>
      </c>
      <c r="B32" s="263" t="str">
        <f>HYPERLINK("http://codeforces.com/contest/282/problem/A","CF282-D2-A")</f>
        <v>CF282-D2-A</v>
      </c>
      <c r="C32" s="318" t="s">
        <v>160</v>
      </c>
      <c r="D32" s="170" t="s">
        <v>1201</v>
      </c>
    </row>
    <row r="33" spans="1:4" ht="13.2">
      <c r="A33" s="51" t="s">
        <v>238</v>
      </c>
      <c r="B33" s="263" t="str">
        <f>HYPERLINK("http://codeforces.com/contest/287/problem/A","CF287-D2-A")</f>
        <v>CF287-D2-A</v>
      </c>
      <c r="C33" s="56"/>
      <c r="D33" s="170" t="s">
        <v>1201</v>
      </c>
    </row>
    <row r="34" spans="1:4" ht="13.2">
      <c r="A34" s="51" t="s">
        <v>237</v>
      </c>
      <c r="B34" s="263" t="str">
        <f>HYPERLINK("http://codeforces.com/contest/289/problem/A","CF289-D2-A")</f>
        <v>CF289-D2-A</v>
      </c>
      <c r="C34" s="56"/>
      <c r="D34" s="170" t="s">
        <v>1201</v>
      </c>
    </row>
    <row r="35" spans="1:4" ht="13.2">
      <c r="A35" s="51" t="s">
        <v>181</v>
      </c>
      <c r="B35" s="263" t="str">
        <f>HYPERLINK("http://codeforces.com/contest/294/problem/A","CF294-D2-A")</f>
        <v>CF294-D2-A</v>
      </c>
      <c r="C35" s="56"/>
      <c r="D35" s="170" t="s">
        <v>1201</v>
      </c>
    </row>
    <row r="36" spans="1:4" ht="13.2">
      <c r="A36" s="51" t="s">
        <v>239</v>
      </c>
      <c r="B36" s="263" t="str">
        <f>HYPERLINK("http://codeforces.com/contest/296/problem/A","CF296-D2-A")</f>
        <v>CF296-D2-A</v>
      </c>
      <c r="C36" s="56"/>
      <c r="D36" s="170" t="s">
        <v>1201</v>
      </c>
    </row>
    <row r="37" spans="1:4" ht="13.2">
      <c r="A37" s="51" t="s">
        <v>209</v>
      </c>
      <c r="B37" s="263" t="str">
        <f>HYPERLINK("http://codeforces.com/contest/318/problem/A","CF318-D2-A")</f>
        <v>CF318-D2-A</v>
      </c>
      <c r="C37" s="56"/>
      <c r="D37" s="170" t="s">
        <v>1201</v>
      </c>
    </row>
    <row r="38" spans="1:4" ht="13.2">
      <c r="A38" s="51" t="s">
        <v>187</v>
      </c>
      <c r="B38" s="263" t="str">
        <f>HYPERLINK("http://codeforces.com/contest/339/problem/A","CF339-D2-A")</f>
        <v>CF339-D2-A</v>
      </c>
      <c r="C38" s="56"/>
      <c r="D38" s="170" t="s">
        <v>1201</v>
      </c>
    </row>
    <row r="39" spans="1:4" ht="13.2">
      <c r="A39" s="51" t="s">
        <v>235</v>
      </c>
      <c r="B39" s="263" t="str">
        <f>HYPERLINK("http://codeforces.com/contest/382/problem/A","CF382-D2-A")</f>
        <v>CF382-D2-A</v>
      </c>
      <c r="C39" s="76"/>
      <c r="D39" s="170" t="s">
        <v>1201</v>
      </c>
    </row>
    <row r="40" spans="1:4" ht="13.2">
      <c r="A40" s="51" t="s">
        <v>255</v>
      </c>
      <c r="B40" s="263" t="str">
        <f>HYPERLINK("http://codeforces.com/contest/41/problem/A","CF41-D2-A")</f>
        <v>CF41-D2-A</v>
      </c>
      <c r="C40" s="318" t="s">
        <v>160</v>
      </c>
      <c r="D40" s="170" t="s">
        <v>1201</v>
      </c>
    </row>
    <row r="41" spans="1:4" ht="13.2">
      <c r="A41" s="51" t="s">
        <v>213</v>
      </c>
      <c r="B41" s="263" t="str">
        <f>HYPERLINK("http://codeforces.com/contest/43/problem/A","CF43-D2-A")</f>
        <v>CF43-D2-A</v>
      </c>
      <c r="C41" s="56"/>
      <c r="D41" s="170" t="s">
        <v>1201</v>
      </c>
    </row>
    <row r="42" spans="1:4" ht="13.2">
      <c r="A42" s="51" t="s">
        <v>184</v>
      </c>
      <c r="B42" s="263" t="str">
        <f>HYPERLINK("http://codeforces.com/contest/443/problem/A","CF443-D2-A")</f>
        <v>CF443-D2-A</v>
      </c>
      <c r="C42" s="56"/>
      <c r="D42" s="170" t="s">
        <v>1201</v>
      </c>
    </row>
    <row r="43" spans="1:4" ht="13.2">
      <c r="A43" s="51" t="s">
        <v>257</v>
      </c>
      <c r="B43" s="263" t="str">
        <f>HYPERLINK("http://codeforces.com/contest/456/problem/A","CF456-D2-A")</f>
        <v>CF456-D2-A</v>
      </c>
      <c r="C43" s="76"/>
      <c r="D43" s="170" t="s">
        <v>1201</v>
      </c>
    </row>
    <row r="44" spans="1:4" ht="13.2">
      <c r="A44" s="51" t="s">
        <v>210</v>
      </c>
      <c r="B44" s="263" t="str">
        <f>HYPERLINK("http://codeforces.com/contest/469/problem/A","CF469-D2-A")</f>
        <v>CF469-D2-A</v>
      </c>
      <c r="C44" s="56"/>
      <c r="D44" s="170" t="s">
        <v>1201</v>
      </c>
    </row>
    <row r="45" spans="1:4" ht="13.2">
      <c r="A45" s="51" t="s">
        <v>202</v>
      </c>
      <c r="B45" s="263" t="str">
        <f>HYPERLINK("http://codeforces.com/contest/474/problem/A","CF474-D2-A")</f>
        <v>CF474-D2-A</v>
      </c>
      <c r="C45" s="56"/>
      <c r="D45" s="170" t="s">
        <v>1201</v>
      </c>
    </row>
    <row r="46" spans="1:4" ht="13.2">
      <c r="A46" s="51" t="s">
        <v>222</v>
      </c>
      <c r="B46" s="263" t="str">
        <f>HYPERLINK("http://codeforces.com/contest/483/problem/A","CF483-D2-A")</f>
        <v>CF483-D2-A</v>
      </c>
      <c r="C46" s="76"/>
      <c r="D46" s="170" t="s">
        <v>1201</v>
      </c>
    </row>
    <row r="47" spans="1:4" ht="13.2">
      <c r="A47" s="51" t="s">
        <v>218</v>
      </c>
      <c r="B47" s="263" t="str">
        <f>HYPERLINK("http://codeforces.com/contest/486/problem/A","CF486-D2-A")</f>
        <v>CF486-D2-A</v>
      </c>
      <c r="C47" s="56"/>
      <c r="D47" s="170" t="s">
        <v>1201</v>
      </c>
    </row>
    <row r="48" spans="1:4" ht="13.2">
      <c r="A48" s="51" t="s">
        <v>188</v>
      </c>
      <c r="B48" s="263" t="str">
        <f>HYPERLINK("http://codeforces.com/contest/490/problem/A","CF490-D2-A")</f>
        <v>CF490-D2-A</v>
      </c>
      <c r="C48" s="56"/>
      <c r="D48" s="170" t="s">
        <v>1201</v>
      </c>
    </row>
    <row r="49" spans="1:4" ht="13.2">
      <c r="A49" s="51" t="s">
        <v>234</v>
      </c>
      <c r="B49" s="263" t="str">
        <f>HYPERLINK("http://codeforces.com/contest/514/problem/A","CF514-D2-A")</f>
        <v>CF514-D2-A</v>
      </c>
      <c r="C49" s="76"/>
      <c r="D49" s="170" t="s">
        <v>1201</v>
      </c>
    </row>
    <row r="50" spans="1:4" ht="13.2">
      <c r="A50" s="51" t="s">
        <v>200</v>
      </c>
      <c r="B50" s="263" t="str">
        <f>HYPERLINK("http://codeforces.com/contest/520/problem/A","CF520-D2-A")</f>
        <v>CF520-D2-A</v>
      </c>
      <c r="C50" s="56"/>
      <c r="D50" s="170" t="s">
        <v>1201</v>
      </c>
    </row>
    <row r="51" spans="1:4" ht="13.2">
      <c r="A51" s="51" t="s">
        <v>254</v>
      </c>
      <c r="B51" s="263" t="str">
        <f>HYPERLINK("http://codeforces.com/contest/556/problem/A","CF556-D2-A")</f>
        <v>CF556-D2-A</v>
      </c>
      <c r="C51" s="56"/>
      <c r="D51" s="170" t="s">
        <v>1201</v>
      </c>
    </row>
    <row r="52" spans="1:4" ht="13.2">
      <c r="A52" s="51" t="s">
        <v>196</v>
      </c>
      <c r="B52" s="263" t="str">
        <f>HYPERLINK("http://codeforces.com/contest/567/problem/A","CF567-D2-A")</f>
        <v>CF567-D2-A</v>
      </c>
      <c r="C52" s="56"/>
      <c r="D52" s="170" t="s">
        <v>1201</v>
      </c>
    </row>
    <row r="53" spans="1:4" ht="13.2">
      <c r="A53" s="51" t="s">
        <v>241</v>
      </c>
      <c r="B53" s="263" t="str">
        <f>HYPERLINK("http://codeforces.com/contest/579/problem/A","CF579-D2-A")</f>
        <v>CF579-D2-A</v>
      </c>
      <c r="C53" s="56"/>
      <c r="D53" s="170" t="s">
        <v>1201</v>
      </c>
    </row>
    <row r="54" spans="1:4" ht="13.2">
      <c r="A54" s="51" t="s">
        <v>212</v>
      </c>
      <c r="B54" s="263" t="str">
        <f>HYPERLINK("http://codeforces.com/contest/584/problem/A","CF584-D2-A")</f>
        <v>CF584-D2-A</v>
      </c>
      <c r="C54" s="56"/>
      <c r="D54" s="170" t="s">
        <v>1201</v>
      </c>
    </row>
    <row r="55" spans="1:4" ht="13.2">
      <c r="A55" s="51" t="s">
        <v>231</v>
      </c>
      <c r="B55" s="263" t="str">
        <f>HYPERLINK("http://codeforces.com/contest/682/problem/A","CF682-D2-A")</f>
        <v>CF682-D2-A</v>
      </c>
      <c r="C55" s="76"/>
      <c r="D55" s="170" t="s">
        <v>1201</v>
      </c>
    </row>
    <row r="56" spans="1:4" ht="13.2">
      <c r="A56" s="51" t="s">
        <v>186</v>
      </c>
      <c r="B56" s="263" t="str">
        <f>HYPERLINK("http://codeforces.com/contest/686/problem/A","CF686-D2-A")</f>
        <v>CF686-D2-A</v>
      </c>
      <c r="C56" s="56"/>
      <c r="D56" s="170" t="s">
        <v>1201</v>
      </c>
    </row>
    <row r="57" spans="1:4" ht="13.2">
      <c r="A57" s="51" t="s">
        <v>252</v>
      </c>
      <c r="B57" s="263" t="str">
        <f>HYPERLINK("http://codeforces.com/contest/69/problem/A","CF69-D2-A")</f>
        <v>CF69-D2-A</v>
      </c>
      <c r="C57" s="56"/>
      <c r="D57" s="170" t="s">
        <v>1201</v>
      </c>
    </row>
    <row r="58" spans="1:4" ht="13.2">
      <c r="A58" s="51" t="s">
        <v>236</v>
      </c>
      <c r="B58" s="263" t="str">
        <f>HYPERLINK("http://codeforces.com/contest/699/problem/A","CF699-D2-A")</f>
        <v>CF699-D2-A</v>
      </c>
      <c r="C58" s="76"/>
      <c r="D58" s="170" t="s">
        <v>1201</v>
      </c>
    </row>
    <row r="59" spans="1:4" ht="13.2">
      <c r="A59" s="51" t="s">
        <v>214</v>
      </c>
      <c r="B59" s="263" t="str">
        <f>HYPERLINK("http://codeforces.com/contest/707/problem/A","CF707-D2-A")</f>
        <v>CF707-D2-A</v>
      </c>
      <c r="C59" s="56"/>
      <c r="D59" s="170" t="s">
        <v>1201</v>
      </c>
    </row>
    <row r="60" spans="1:4" ht="13.2">
      <c r="A60" s="51" t="s">
        <v>185</v>
      </c>
      <c r="B60" s="263" t="str">
        <f>HYPERLINK("http://codeforces.com/contest/71/problem/A","CF71-D2-A")</f>
        <v>CF71-D2-A</v>
      </c>
      <c r="C60" s="56"/>
      <c r="D60" s="170" t="s">
        <v>1201</v>
      </c>
    </row>
    <row r="61" spans="1:4" ht="13.2">
      <c r="A61" s="51" t="s">
        <v>217</v>
      </c>
      <c r="B61" s="263" t="str">
        <f>HYPERLINK("http://codeforces.com/contest/742/problem/A","CF742-D2-A")</f>
        <v>CF742-D2-A</v>
      </c>
      <c r="C61" s="56"/>
      <c r="D61" s="170" t="s">
        <v>1201</v>
      </c>
    </row>
    <row r="62" spans="1:4" ht="13.2">
      <c r="A62" s="51" t="s">
        <v>197</v>
      </c>
      <c r="B62" s="263" t="str">
        <f>HYPERLINK("http://codeforces.com/contest/766/problem/A","CF766-D2-A")</f>
        <v>CF766-D2-A</v>
      </c>
      <c r="C62" s="56"/>
      <c r="D62" s="170" t="s">
        <v>1201</v>
      </c>
    </row>
    <row r="63" spans="1:4" ht="13.2">
      <c r="A63" s="51" t="s">
        <v>198</v>
      </c>
      <c r="B63" s="263" t="str">
        <f>HYPERLINK("http://codeforces.com/problemset/problem/767/A","CF767-D2-A")</f>
        <v>CF767-D2-A</v>
      </c>
      <c r="C63" s="56"/>
      <c r="D63" s="170" t="s">
        <v>1201</v>
      </c>
    </row>
    <row r="64" spans="1:4" ht="13.2">
      <c r="A64" s="51" t="s">
        <v>199</v>
      </c>
      <c r="B64" s="263" t="str">
        <f>HYPERLINK("http://codeforces.com/contest/768/problem/A","CF768-D2-A")</f>
        <v>CF768-D2-A</v>
      </c>
      <c r="C64" s="56"/>
      <c r="D64" s="170" t="s">
        <v>1201</v>
      </c>
    </row>
    <row r="65" spans="1:4" ht="13.2">
      <c r="A65" s="51" t="s">
        <v>189</v>
      </c>
      <c r="B65" s="263" t="str">
        <f>HYPERLINK("http://codeforces.com/contest/770/problem/A","CF770-D2-A")</f>
        <v>CF770-D2-A</v>
      </c>
      <c r="C65" s="56"/>
      <c r="D65" s="170" t="s">
        <v>1201</v>
      </c>
    </row>
    <row r="66" spans="1:4" ht="13.2">
      <c r="A66" s="51" t="s">
        <v>183</v>
      </c>
      <c r="B66" s="263" t="str">
        <f>HYPERLINK("http://codeforces.com/contest/799/problem/A","CF799-D2-A")</f>
        <v>CF799-D2-A</v>
      </c>
      <c r="C66" s="56"/>
      <c r="D66" s="170" t="s">
        <v>1201</v>
      </c>
    </row>
    <row r="67" spans="1:4" ht="13.2">
      <c r="A67" s="51" t="s">
        <v>221</v>
      </c>
      <c r="B67" s="263" t="str">
        <f>HYPERLINK("http://codeforces.com/contest/80/problem/A","CF80-D2-A")</f>
        <v>CF80-D2-A</v>
      </c>
      <c r="C67" s="56"/>
      <c r="D67" s="170" t="s">
        <v>1201</v>
      </c>
    </row>
    <row r="68" spans="1:4" ht="13.2">
      <c r="A68" s="51" t="s">
        <v>211</v>
      </c>
      <c r="B68" s="263" t="str">
        <f>HYPERLINK("http://codeforces.com/contest/807/problem/A","CF807-D2-A")</f>
        <v>CF807-D2-A</v>
      </c>
      <c r="C68" s="56"/>
      <c r="D68" s="170" t="s">
        <v>1201</v>
      </c>
    </row>
    <row r="69" spans="1:4" ht="13.2">
      <c r="A69" s="51" t="s">
        <v>180</v>
      </c>
      <c r="B69" s="263" t="str">
        <f>HYPERLINK("http://codeforces.com/contest/9/problem/A","CF9-D2-A")</f>
        <v>CF9-D2-A</v>
      </c>
      <c r="C69" s="56"/>
      <c r="D69" s="170" t="s">
        <v>1201</v>
      </c>
    </row>
    <row r="70" spans="1:4" ht="13.2">
      <c r="A70" s="51" t="s">
        <v>194</v>
      </c>
      <c r="B70" s="263" t="str">
        <f>HYPERLINK("https://uva.onlinejudge.org/index.php?option=onlinejudge&amp;page=show_problem&amp;problem=3300","UVA 12148")</f>
        <v>UVA 12148</v>
      </c>
      <c r="C70" s="56"/>
      <c r="D70" s="262" t="s">
        <v>1203</v>
      </c>
    </row>
    <row r="71" spans="1:4" ht="13.2">
      <c r="A71" s="51" t="s">
        <v>449</v>
      </c>
      <c r="B71" s="263" t="str">
        <f>HYPERLINK("http://acm.timus.ru/problem.aspx?space=1&amp;num=1100","TIMUS 1100")</f>
        <v>TIMUS 1100</v>
      </c>
      <c r="C71" s="35"/>
      <c r="D71" s="262" t="s">
        <v>1204</v>
      </c>
    </row>
    <row r="72" spans="1:4" ht="13.2">
      <c r="A72" s="51" t="s">
        <v>388</v>
      </c>
      <c r="B72" s="263" t="str">
        <f>HYPERLINK("http://codeforces.com/contest/6/problem/B","CF6-D2-B")</f>
        <v>CF6-D2-B</v>
      </c>
      <c r="C72" s="56"/>
      <c r="D72" s="262" t="s">
        <v>1205</v>
      </c>
    </row>
    <row r="73" spans="1:4" ht="13.2">
      <c r="A73" s="51" t="s">
        <v>372</v>
      </c>
      <c r="B73" s="263" t="str">
        <f>HYPERLINK("http://codeforces.com/contest/102/problem/B","CF102-D2-B")</f>
        <v>CF102-D2-B</v>
      </c>
      <c r="C73" s="56"/>
      <c r="D73" s="170" t="s">
        <v>1201</v>
      </c>
    </row>
    <row r="74" spans="1:4" ht="13.2">
      <c r="A74" s="51" t="s">
        <v>424</v>
      </c>
      <c r="B74" s="263" t="str">
        <f>HYPERLINK("http://codeforces.com/contest/144/problem/B","CF144-D2-B")</f>
        <v>CF144-D2-B</v>
      </c>
      <c r="C74" s="56"/>
      <c r="D74" s="170" t="s">
        <v>1201</v>
      </c>
    </row>
    <row r="75" spans="1:4" ht="13.2">
      <c r="A75" s="51" t="s">
        <v>409</v>
      </c>
      <c r="B75" s="263" t="str">
        <f>HYPERLINK("http://codeforces.com/contest/152/problem/B","CF152-D2-B")</f>
        <v>CF152-D2-B</v>
      </c>
      <c r="C75" s="56"/>
      <c r="D75" s="170" t="s">
        <v>1201</v>
      </c>
    </row>
    <row r="76" spans="1:4" ht="13.2">
      <c r="A76" s="51" t="s">
        <v>370</v>
      </c>
      <c r="B76" s="263" t="str">
        <f>HYPERLINK("http://codeforces.com/contest/16/problem/B","CF16-D2-B")</f>
        <v>CF16-D2-B</v>
      </c>
      <c r="C76" s="56"/>
      <c r="D76" s="170" t="s">
        <v>1201</v>
      </c>
    </row>
    <row r="77" spans="1:4" ht="13.2">
      <c r="A77" s="51" t="s">
        <v>410</v>
      </c>
      <c r="B77" s="263" t="str">
        <f>HYPERLINK("http://codeforces.com/contest/186/problem/B","CF186-D2-B")</f>
        <v>CF186-D2-B</v>
      </c>
      <c r="C77" s="56"/>
      <c r="D77" s="170" t="s">
        <v>1201</v>
      </c>
    </row>
    <row r="78" spans="1:4" ht="13.2">
      <c r="A78" s="51" t="s">
        <v>406</v>
      </c>
      <c r="B78" s="263" t="str">
        <f>HYPERLINK("http://codeforces.com/contest/215/problem/B","CF215-D2-B")</f>
        <v>CF215-D2-B</v>
      </c>
      <c r="C78" s="56"/>
      <c r="D78" s="170" t="s">
        <v>1201</v>
      </c>
    </row>
    <row r="79" spans="1:4" ht="13.2">
      <c r="A79" s="51" t="s">
        <v>374</v>
      </c>
      <c r="B79" s="263" t="str">
        <f>HYPERLINK("http://codeforces.com/contest/227/problem/B","CF227-D2-B")</f>
        <v>CF227-D2-B</v>
      </c>
      <c r="C79" s="56"/>
      <c r="D79" s="170" t="s">
        <v>1201</v>
      </c>
    </row>
    <row r="80" spans="1:4" ht="13.2">
      <c r="A80" s="51" t="s">
        <v>420</v>
      </c>
      <c r="B80" s="263" t="str">
        <f>HYPERLINK("http://codeforces.com/contest/262/problem/B","CF262-D2-B")</f>
        <v>CF262-D2-B</v>
      </c>
      <c r="C80" s="56"/>
      <c r="D80" s="170" t="s">
        <v>1201</v>
      </c>
    </row>
    <row r="81" spans="1:4" ht="13.2">
      <c r="A81" s="51" t="s">
        <v>458</v>
      </c>
      <c r="B81" s="263" t="str">
        <f>HYPERLINK("http://codeforces.com/contest/337/problem/B","CF337-D2-B")</f>
        <v>CF337-D2-B</v>
      </c>
      <c r="C81" s="56"/>
      <c r="D81" s="170" t="s">
        <v>1201</v>
      </c>
    </row>
    <row r="82" spans="1:4" ht="13.2">
      <c r="A82" s="51" t="s">
        <v>423</v>
      </c>
      <c r="B82" s="263" t="str">
        <f>HYPERLINK("http://codeforces.com/contest/352/problem/B","CF352-D2-B")</f>
        <v>CF352-D2-B</v>
      </c>
      <c r="C82" s="56"/>
      <c r="D82" s="170" t="s">
        <v>1201</v>
      </c>
    </row>
    <row r="83" spans="1:4" ht="13.2">
      <c r="A83" s="51" t="s">
        <v>422</v>
      </c>
      <c r="B83" s="263" t="str">
        <f>HYPERLINK("http://codeforces.com/contest/376/problem/B","CF376-D2-B")</f>
        <v>CF376-D2-B</v>
      </c>
      <c r="C83" s="56"/>
      <c r="D83" s="170" t="s">
        <v>1201</v>
      </c>
    </row>
    <row r="84" spans="1:4" ht="13.2">
      <c r="A84" s="51" t="s">
        <v>777</v>
      </c>
      <c r="B84" s="263" t="str">
        <f>HYPERLINK("http://codeforces.com/contest/384/problem/B","CF384-D2-B")</f>
        <v>CF384-D2-B</v>
      </c>
      <c r="C84" s="56"/>
      <c r="D84" s="170" t="s">
        <v>1201</v>
      </c>
    </row>
    <row r="85" spans="1:4" ht="13.2">
      <c r="A85" s="51" t="s">
        <v>421</v>
      </c>
      <c r="B85" s="263" t="str">
        <f>HYPERLINK("http://codeforces.com/contest/385/problem/B","CF385-D2-B")</f>
        <v>CF385-D2-B</v>
      </c>
      <c r="C85" s="56"/>
      <c r="D85" s="170" t="s">
        <v>1201</v>
      </c>
    </row>
    <row r="86" spans="1:4" ht="13.2">
      <c r="A86" s="51" t="s">
        <v>408</v>
      </c>
      <c r="B86" s="263" t="str">
        <f>HYPERLINK("http://codeforces.com/contest/400/problem/B","CF400-D2-B")</f>
        <v>CF400-D2-B</v>
      </c>
      <c r="C86" s="56"/>
      <c r="D86" s="170" t="s">
        <v>1201</v>
      </c>
    </row>
    <row r="87" spans="1:4" ht="13.2">
      <c r="A87" s="51" t="s">
        <v>451</v>
      </c>
      <c r="B87" s="263" t="str">
        <f>HYPERLINK("http://codeforces.com/contest/415/problem/B","CF415-D2-B")</f>
        <v>CF415-D2-B</v>
      </c>
      <c r="C87" s="56"/>
      <c r="D87" s="170" t="s">
        <v>1201</v>
      </c>
    </row>
    <row r="88" spans="1:4" ht="13.2">
      <c r="A88" s="51" t="s">
        <v>466</v>
      </c>
      <c r="B88" s="263" t="str">
        <f>HYPERLINK("http://codeforces.com/contest/435/problem/B","CF435-D2-B")</f>
        <v>CF435-D2-B</v>
      </c>
      <c r="C88" s="56"/>
      <c r="D88" s="170" t="s">
        <v>1201</v>
      </c>
    </row>
    <row r="89" spans="1:4" ht="13.2">
      <c r="A89" s="51" t="s">
        <v>434</v>
      </c>
      <c r="B89" s="263" t="str">
        <f>HYPERLINK("http://codeforces.com/contest/445/problem/B","CF445-D2-B")</f>
        <v>CF445-D2-B</v>
      </c>
      <c r="C89" s="56"/>
      <c r="D89" s="170" t="s">
        <v>1201</v>
      </c>
    </row>
    <row r="90" spans="1:4" ht="13.2">
      <c r="A90" s="51" t="s">
        <v>437</v>
      </c>
      <c r="B90" s="263" t="str">
        <f>HYPERLINK("http://codeforces.com/contest/448/problem/B","CF448-D2-B")</f>
        <v>CF448-D2-B</v>
      </c>
      <c r="C90" s="56"/>
      <c r="D90" s="170" t="s">
        <v>1201</v>
      </c>
    </row>
    <row r="91" spans="1:4" ht="13.2">
      <c r="A91" s="51" t="s">
        <v>405</v>
      </c>
      <c r="B91" s="263" t="str">
        <f>HYPERLINK("http://codeforces.com/contest/469/problem/B","CF469-D2-B")</f>
        <v>CF469-D2-B</v>
      </c>
      <c r="C91" s="56"/>
      <c r="D91" s="170" t="s">
        <v>1201</v>
      </c>
    </row>
    <row r="92" spans="1:4" ht="13.2">
      <c r="A92" s="51" t="s">
        <v>373</v>
      </c>
      <c r="B92" s="263" t="str">
        <f>HYPERLINK("http://codeforces.com/contest/47/problem/B","CF47-D2-B")</f>
        <v>CF47-D2-B</v>
      </c>
      <c r="C92" s="56"/>
      <c r="D92" s="170" t="s">
        <v>1201</v>
      </c>
    </row>
    <row r="93" spans="1:4" ht="13.2">
      <c r="A93" s="51" t="s">
        <v>455</v>
      </c>
      <c r="B93" s="263" t="str">
        <f>HYPERLINK("http://codeforces.com/contest/486/problem/B","CF486-D2-B")</f>
        <v>CF486-D2-B</v>
      </c>
      <c r="C93" s="56"/>
      <c r="D93" s="170" t="s">
        <v>1201</v>
      </c>
    </row>
    <row r="94" spans="1:4" ht="13.2">
      <c r="A94" s="51" t="s">
        <v>459</v>
      </c>
      <c r="B94" s="263" t="str">
        <f>HYPERLINK("http://codeforces.com/contest/493/problem/B","CF493-D2-B")</f>
        <v>CF493-D2-B</v>
      </c>
      <c r="C94" s="56"/>
      <c r="D94" s="170" t="s">
        <v>1201</v>
      </c>
    </row>
    <row r="95" spans="1:4" ht="13.2">
      <c r="A95" s="51" t="s">
        <v>793</v>
      </c>
      <c r="B95" s="263" t="str">
        <f>HYPERLINK("http://codeforces.com/contest/496/problem/B","CF496-D2-B")</f>
        <v>CF496-D2-B</v>
      </c>
      <c r="C95" s="56"/>
      <c r="D95" s="170" t="s">
        <v>1201</v>
      </c>
    </row>
    <row r="96" spans="1:4" ht="13.2">
      <c r="A96" s="51" t="s">
        <v>433</v>
      </c>
      <c r="B96" s="263" t="str">
        <f>HYPERLINK("http://codeforces.com/contest/505/problem/B","CF505-D2-B")</f>
        <v>CF505-D2-B</v>
      </c>
      <c r="C96" s="56"/>
      <c r="D96" s="170" t="s">
        <v>1201</v>
      </c>
    </row>
    <row r="97" spans="1:4" ht="13.2">
      <c r="A97" s="51" t="s">
        <v>457</v>
      </c>
      <c r="B97" s="263" t="str">
        <f>HYPERLINK("http://codeforces.com/contest/510/problem/B","CF510-D2-B")</f>
        <v>CF510-D2-B</v>
      </c>
      <c r="C97" s="56"/>
      <c r="D97" s="170" t="s">
        <v>1201</v>
      </c>
    </row>
    <row r="98" spans="1:4" ht="13.2">
      <c r="A98" s="51" t="s">
        <v>468</v>
      </c>
      <c r="B98" s="263" t="str">
        <f>HYPERLINK("http://codeforces.com/contest/525/problem/B","CF525-D2-B")</f>
        <v>CF525-D2-B</v>
      </c>
      <c r="C98" s="56"/>
      <c r="D98" s="170" t="s">
        <v>1201</v>
      </c>
    </row>
    <row r="99" spans="1:4" ht="13.2">
      <c r="A99" s="51" t="s">
        <v>439</v>
      </c>
      <c r="B99" s="263" t="str">
        <f>HYPERLINK("http://codeforces.com/contest/544/problem/B","CF544-D2-B")</f>
        <v>CF544-D2-B</v>
      </c>
      <c r="C99" s="56"/>
      <c r="D99" s="170" t="s">
        <v>1201</v>
      </c>
    </row>
    <row r="100" spans="1:4" ht="13.2">
      <c r="A100" s="51" t="s">
        <v>462</v>
      </c>
      <c r="B100" s="263" t="str">
        <f>HYPERLINK("http://codeforces.com/contest/580/problem/B","CF580-D2-B")</f>
        <v>CF580-D2-B</v>
      </c>
      <c r="C100" s="56"/>
      <c r="D100" s="170" t="s">
        <v>1201</v>
      </c>
    </row>
    <row r="101" spans="1:4" ht="13.2">
      <c r="A101" s="51" t="s">
        <v>436</v>
      </c>
      <c r="B101" s="263" t="str">
        <f>HYPERLINK("http://codeforces.com/contest/584/problem/B","CF584-D2-B")</f>
        <v>CF584-D2-B</v>
      </c>
      <c r="C101" s="56"/>
      <c r="D101" s="170" t="s">
        <v>1201</v>
      </c>
    </row>
    <row r="102" spans="1:4" ht="13.2">
      <c r="A102" s="51" t="s">
        <v>452</v>
      </c>
      <c r="B102" s="263" t="str">
        <f>HYPERLINK("http://codeforces.com/contest/602/problem/B","CF602-D2-B")</f>
        <v>CF602-D2-B</v>
      </c>
      <c r="C102" s="56"/>
      <c r="D102" s="170" t="s">
        <v>1201</v>
      </c>
    </row>
    <row r="103" spans="1:4" ht="13.2">
      <c r="A103" s="51" t="s">
        <v>460</v>
      </c>
      <c r="B103" s="263" t="str">
        <f>HYPERLINK("http://codeforces.com/contest/608/problem/B","CF608-D2-B")</f>
        <v>CF608-D2-B</v>
      </c>
      <c r="C103" s="56"/>
      <c r="D103" s="170" t="s">
        <v>1201</v>
      </c>
    </row>
    <row r="104" spans="1:4" ht="13.2">
      <c r="A104" s="51" t="s">
        <v>368</v>
      </c>
      <c r="B104" s="263" t="str">
        <f>HYPERLINK("http://codeforces.com/contest/66/problem/B","CF66-D2-B")</f>
        <v>CF66-D2-B</v>
      </c>
      <c r="C104" s="56"/>
      <c r="D104" s="170" t="s">
        <v>1201</v>
      </c>
    </row>
    <row r="105" spans="1:4" ht="13.2">
      <c r="A105" s="51" t="s">
        <v>369</v>
      </c>
      <c r="B105" s="263" t="str">
        <f>HYPERLINK("http://codeforces.com/contest/680/problem/B","CF680-D2-B")</f>
        <v>CF680-D2-B</v>
      </c>
      <c r="C105" s="56"/>
      <c r="D105" s="170" t="s">
        <v>1201</v>
      </c>
    </row>
    <row r="106" spans="1:4" ht="13.2">
      <c r="A106" s="51" t="s">
        <v>407</v>
      </c>
      <c r="B106" s="263" t="str">
        <f>HYPERLINK("http://codeforces.com/contest/714/problem/B","CF714-D2-B")</f>
        <v>CF714-D2-B</v>
      </c>
      <c r="C106" s="56"/>
      <c r="D106" s="170" t="s">
        <v>1201</v>
      </c>
    </row>
    <row r="107" spans="1:4" ht="13.2">
      <c r="A107" s="51" t="s">
        <v>438</v>
      </c>
      <c r="B107" s="263" t="str">
        <f>HYPERLINK("http://codeforces.com/contest/716/problem/B","CF716-D2-B")</f>
        <v>CF716-D2-B</v>
      </c>
      <c r="C107" s="56"/>
      <c r="D107" s="170" t="s">
        <v>1201</v>
      </c>
    </row>
    <row r="108" spans="1:4" ht="13.2">
      <c r="A108" s="51" t="s">
        <v>375</v>
      </c>
      <c r="B108" s="263" t="str">
        <f>HYPERLINK("http://codeforces.com/contest/78/problem/B","CF78-D2-B")</f>
        <v>CF78-D2-B</v>
      </c>
      <c r="C108" s="56"/>
      <c r="D108" s="170" t="s">
        <v>1201</v>
      </c>
    </row>
    <row r="109" spans="1:4" ht="13.2">
      <c r="A109" s="51" t="s">
        <v>440</v>
      </c>
      <c r="B109" s="263" t="str">
        <f>HYPERLINK("http://codeforces.com/contest/141/problem/B","CF141-D2-B")</f>
        <v>CF141-D2-B</v>
      </c>
      <c r="C109" s="56"/>
      <c r="D109" s="170" t="s">
        <v>1201</v>
      </c>
    </row>
    <row r="110" spans="1:4" ht="13.2">
      <c r="A110" s="51" t="s">
        <v>429</v>
      </c>
      <c r="B110" s="263" t="str">
        <f>HYPERLINK("http://codeforces.com/contest/253/problem/B","CF253-D2-B")</f>
        <v>CF253-D2-B</v>
      </c>
      <c r="C110" s="56"/>
      <c r="D110" s="170" t="s">
        <v>1201</v>
      </c>
    </row>
    <row r="111" spans="1:4" ht="13.2">
      <c r="A111" s="51" t="s">
        <v>467</v>
      </c>
      <c r="B111" s="263" t="str">
        <f>HYPERLINK("http://codeforces.com/contest/276/problem/B","CF276-D2-B")</f>
        <v>CF276-D2-B</v>
      </c>
      <c r="C111" s="56"/>
      <c r="D111" s="170" t="s">
        <v>1201</v>
      </c>
    </row>
    <row r="112" spans="1:4" ht="13.2">
      <c r="A112" s="51" t="s">
        <v>465</v>
      </c>
      <c r="B112" s="263" t="str">
        <f>HYPERLINK("http://codeforces.com/contest/282/problem/B","CF282-D2-B")</f>
        <v>CF282-D2-B</v>
      </c>
      <c r="C112" s="56"/>
      <c r="D112" s="170" t="s">
        <v>1201</v>
      </c>
    </row>
    <row r="113" spans="1:4" ht="13.2">
      <c r="A113" s="51" t="s">
        <v>387</v>
      </c>
      <c r="B113" s="263" t="str">
        <f>HYPERLINK("http://codeforces.com/contest/363/problem/B","CF363-D2-B")</f>
        <v>CF363-D2-B</v>
      </c>
      <c r="C113" s="56"/>
      <c r="D113" s="170" t="s">
        <v>1206</v>
      </c>
    </row>
    <row r="114" spans="1:4" ht="13.2">
      <c r="A114" s="51" t="s">
        <v>441</v>
      </c>
      <c r="B114" s="263" t="str">
        <f>HYPERLINK("http://codeforces.com/contest/369/problem/B","CF369-D2-B")</f>
        <v>CF369-D2-B</v>
      </c>
      <c r="C114" s="56"/>
      <c r="D114" s="170" t="s">
        <v>1201</v>
      </c>
    </row>
    <row r="115" spans="1:4" ht="13.2">
      <c r="A115" s="51" t="s">
        <v>427</v>
      </c>
      <c r="B115" s="263" t="str">
        <f>HYPERLINK("http://codeforces.com/contest/514/problem/B","CF514-D2-B")</f>
        <v>CF514-D2-B</v>
      </c>
      <c r="C115" s="56"/>
      <c r="D115" s="170" t="s">
        <v>1201</v>
      </c>
    </row>
    <row r="116" spans="1:4" ht="13.2">
      <c r="A116" s="51" t="s">
        <v>430</v>
      </c>
      <c r="B116" s="263" t="str">
        <f>HYPERLINK("http://codeforces.com/contest/520/problem/B","CF520-D2-B")</f>
        <v>CF520-D2-B</v>
      </c>
      <c r="C116" s="56"/>
      <c r="D116" s="170" t="s">
        <v>1201</v>
      </c>
    </row>
    <row r="117" spans="1:4" ht="13.2">
      <c r="A117" s="51" t="s">
        <v>463</v>
      </c>
      <c r="B117" s="263" t="str">
        <f>HYPERLINK("http://codeforces.com/contest/535/problem/B","CF535-D2-B")</f>
        <v>CF535-D2-B</v>
      </c>
      <c r="C117" s="56"/>
      <c r="D117" s="170" t="s">
        <v>1201</v>
      </c>
    </row>
    <row r="118" spans="1:4" ht="13.2">
      <c r="A118" s="51" t="s">
        <v>443</v>
      </c>
      <c r="B118" s="263" t="str">
        <f>HYPERLINK("http://codeforces.com/contest/550/problem/B","CF550-D2-B")</f>
        <v>CF550-D2-B</v>
      </c>
      <c r="C118" s="35"/>
      <c r="D118" s="170" t="s">
        <v>1201</v>
      </c>
    </row>
    <row r="119" spans="1:4" ht="13.2">
      <c r="A119" s="51" t="s">
        <v>389</v>
      </c>
      <c r="B119" s="263" t="str">
        <f>HYPERLINK("http://codeforces.com/contest/688/problem/B","CF688-D2-B")</f>
        <v>CF688-D2-B</v>
      </c>
      <c r="C119" s="56"/>
      <c r="D119" s="170" t="s">
        <v>1201</v>
      </c>
    </row>
    <row r="120" spans="1:4" ht="13.2">
      <c r="A120" s="51" t="s">
        <v>804</v>
      </c>
      <c r="B120" s="263" t="str">
        <f>HYPERLINK("http://codeforces.com/contest/719/problem/B","CF719-D2-B")</f>
        <v>CF719-D2-B</v>
      </c>
      <c r="C120" s="56"/>
      <c r="D120" s="170" t="s">
        <v>1201</v>
      </c>
    </row>
    <row r="121" spans="1:4" ht="13.2">
      <c r="A121" s="51" t="s">
        <v>376</v>
      </c>
      <c r="B121" s="263" t="str">
        <f>HYPERLINK("http://codeforces.com/contest/746/problem/B","CF746-D2-B")</f>
        <v>CF746-D2-B</v>
      </c>
      <c r="C121" s="56"/>
      <c r="D121" s="170" t="s">
        <v>1201</v>
      </c>
    </row>
    <row r="122" spans="1:4" ht="13.2">
      <c r="A122" s="51" t="s">
        <v>442</v>
      </c>
      <c r="B122" s="263" t="str">
        <f>HYPERLINK("http://codeforces.com/contest/791/problem/B","CF791-D2-B")</f>
        <v>CF791-D2-B</v>
      </c>
      <c r="C122" s="35"/>
      <c r="D122" s="170" t="s">
        <v>1201</v>
      </c>
    </row>
    <row r="123" spans="1:4" ht="13.2">
      <c r="A123" s="51" t="s">
        <v>202</v>
      </c>
      <c r="B123" s="263" t="str">
        <f>HYPERLINK("http://codeforces.com/contest/88/problem/B","CF88-D2-B")</f>
        <v>CF88-D2-B</v>
      </c>
      <c r="C123" s="56"/>
      <c r="D123" s="170" t="s">
        <v>1201</v>
      </c>
    </row>
    <row r="124" spans="1:4" ht="13.2">
      <c r="A124" s="51" t="s">
        <v>386</v>
      </c>
      <c r="B124" s="263" t="str">
        <f>HYPERLINK("http://codeforces.com/contest/433/problem/B","CF433-D2-B")</f>
        <v>CF433-D2-B</v>
      </c>
      <c r="C124" s="56"/>
      <c r="D124" s="262" t="s">
        <v>1207</v>
      </c>
    </row>
    <row r="125" spans="1:4" ht="13.2">
      <c r="A125" s="51" t="s">
        <v>629</v>
      </c>
      <c r="B125" s="263" t="str">
        <f>HYPERLINK("http://codeforces.com/contest/610/problem/B","CF610-D2-B")</f>
        <v>CF610-D2-B</v>
      </c>
      <c r="C125" s="56"/>
      <c r="D125" s="262" t="s">
        <v>1207</v>
      </c>
    </row>
    <row r="126" spans="1:4" ht="13.2">
      <c r="A126" s="51"/>
      <c r="B126" s="81" t="str">
        <f>HYPERLINK("https://codeforces.com/contest/1237/problem/B","CF1237-D12-B")</f>
        <v>CF1237-D12-B</v>
      </c>
      <c r="C126" s="56"/>
      <c r="D126" s="262" t="s">
        <v>1207</v>
      </c>
    </row>
    <row r="127" spans="1:4" ht="13.2">
      <c r="A127" s="51" t="s">
        <v>718</v>
      </c>
      <c r="B127" s="263" t="str">
        <f>HYPERLINK("http://codeforces.com/contest/740/problem/C","CF740-D2-C")</f>
        <v>CF740-D2-C</v>
      </c>
      <c r="C127" s="56"/>
      <c r="D127" s="262" t="s">
        <v>1208</v>
      </c>
    </row>
    <row r="128" spans="1:4" ht="13.2">
      <c r="A128" s="51"/>
      <c r="B128" s="263" t="str">
        <f>HYPERLINK("https://uva.onlinejudge.org/index.php?option=onlinejudge&amp;page=show_problem&amp;problem=1994","UVA 11053")</f>
        <v>UVA 11053</v>
      </c>
      <c r="C128" s="56"/>
      <c r="D128" s="262" t="s">
        <v>1209</v>
      </c>
    </row>
    <row r="129" spans="1:4" ht="13.2">
      <c r="A129" s="48" t="s">
        <v>732</v>
      </c>
      <c r="B129" s="263" t="str">
        <f>HYPERLINK("http://codeforces.com/contest/816/problem/B","CF816-D2-B")</f>
        <v>CF816-D2-B</v>
      </c>
      <c r="C129" s="56"/>
      <c r="D129" s="262" t="s">
        <v>1207</v>
      </c>
    </row>
    <row r="130" spans="1:4" ht="13.2">
      <c r="A130" s="51"/>
      <c r="B130" s="263" t="str">
        <f>HYPERLINK("http://codeforces.com/contest/1043/problem/C","CF1043-D12-C")</f>
        <v>CF1043-D12-C</v>
      </c>
      <c r="C130" s="56"/>
      <c r="D130" s="262" t="s">
        <v>1208</v>
      </c>
    </row>
    <row r="131" spans="1:4" ht="13.2">
      <c r="A131" s="51"/>
      <c r="B131" s="263" t="str">
        <f>HYPERLINK("http://codeforces.com/contest/1075/problem/C","CF1075-D2-C")</f>
        <v>CF1075-D2-C</v>
      </c>
      <c r="C131" s="56"/>
      <c r="D131" s="262" t="s">
        <v>1210</v>
      </c>
    </row>
    <row r="132" spans="1:4" ht="13.2">
      <c r="A132" s="51"/>
      <c r="B132" s="81" t="str">
        <f>HYPERLINK("https://codeforces.com/contest/1237/problem/C2","CF1237-D12-C2")</f>
        <v>CF1237-D12-C2</v>
      </c>
      <c r="C132" s="56"/>
      <c r="D132" s="262" t="s">
        <v>1208</v>
      </c>
    </row>
    <row r="133" spans="1:4" ht="13.2">
      <c r="A133" s="51" t="s">
        <v>803</v>
      </c>
      <c r="B133" s="263" t="str">
        <f>HYPERLINK("http://codeforces.com/contest/776/problem/C","CF776-D2-C")</f>
        <v>CF776-D2-C</v>
      </c>
      <c r="C133" s="56"/>
      <c r="D133" s="262" t="s">
        <v>1202</v>
      </c>
    </row>
    <row r="134" spans="1:4" ht="13.2">
      <c r="A134" s="51" t="s">
        <v>774</v>
      </c>
      <c r="B134" s="263" t="str">
        <f>HYPERLINK("http://codeforces.com/contest/466/problem/C","CF466-D2-C")</f>
        <v>CF466-D2-C</v>
      </c>
      <c r="C134" s="56"/>
      <c r="D134" s="262" t="s">
        <v>1202</v>
      </c>
    </row>
    <row r="135" spans="1:4" ht="13.2">
      <c r="A135" s="51"/>
      <c r="B135" s="51" t="s">
        <v>769</v>
      </c>
      <c r="C135" s="56"/>
      <c r="D135" s="262" t="s">
        <v>1211</v>
      </c>
    </row>
    <row r="136" spans="1:4" ht="13.2">
      <c r="A136" s="51"/>
      <c r="B136" s="51" t="s">
        <v>635</v>
      </c>
      <c r="C136" s="56"/>
      <c r="D136" s="262" t="s">
        <v>1212</v>
      </c>
    </row>
    <row r="137" spans="1:4" ht="13.2">
      <c r="A137" s="51"/>
      <c r="B137" s="51" t="s">
        <v>716</v>
      </c>
      <c r="C137" s="56"/>
      <c r="D137" s="262" t="s">
        <v>1213</v>
      </c>
    </row>
    <row r="138" spans="1:4" ht="13.2">
      <c r="A138" s="51" t="s">
        <v>1038</v>
      </c>
      <c r="B138" s="263" t="str">
        <f>HYPERLINK("http://codeforces.com/contest/194/problem/C","CF194-D2-C")</f>
        <v>CF194-D2-C</v>
      </c>
      <c r="C138" s="56"/>
      <c r="D138" s="262" t="s">
        <v>1202</v>
      </c>
    </row>
    <row r="139" spans="1:4" ht="13.2">
      <c r="A139" s="51" t="s">
        <v>661</v>
      </c>
      <c r="B139" s="263" t="str">
        <f>HYPERLINK("http://codeforces.com/contest/822/problem/C","CF822-D2-C")</f>
        <v>CF822-D2-C</v>
      </c>
      <c r="C139" s="56"/>
      <c r="D139" s="262" t="s">
        <v>1202</v>
      </c>
    </row>
    <row r="140" spans="1:4" ht="13.2">
      <c r="A140" s="51" t="s">
        <v>567</v>
      </c>
      <c r="B140" s="263" t="str">
        <f>HYPERLINK("http://codeforces.com/contest/296/problem/C","CF296-D2-C")</f>
        <v>CF296-D2-C</v>
      </c>
      <c r="C140" s="56"/>
      <c r="D140" s="262" t="s">
        <v>1207</v>
      </c>
    </row>
    <row r="141" spans="1:4" ht="13.2">
      <c r="A141" s="51"/>
      <c r="B141" s="263" t="str">
        <f>HYPERLINK("https://codeforces.com/contest/1066/problem/E","CF1066-D3-E")</f>
        <v>CF1066-D3-E</v>
      </c>
      <c r="C141" s="56"/>
      <c r="D141" s="262" t="s">
        <v>1214</v>
      </c>
    </row>
    <row r="142" spans="1:4" ht="13.2">
      <c r="A142" s="41" t="s">
        <v>724</v>
      </c>
      <c r="B142" s="45" t="str">
        <f>HYPERLINK("https://codeforces.com/contest/1206/problem/C","CF1206-D2-C")</f>
        <v>CF1206-D2-C</v>
      </c>
      <c r="C142" s="56"/>
      <c r="D142" s="262" t="s">
        <v>1208</v>
      </c>
    </row>
    <row r="143" spans="1:4" ht="13.2">
      <c r="A143" s="51" t="s">
        <v>892</v>
      </c>
      <c r="B143" s="263" t="str">
        <f>HYPERLINK("http://codeforces.com/contest/189/problem/C","CF189-D2-C")</f>
        <v>CF189-D2-C</v>
      </c>
      <c r="C143" s="264"/>
      <c r="D143" s="262" t="s">
        <v>1202</v>
      </c>
    </row>
    <row r="144" spans="1:4" ht="13.2">
      <c r="A144" s="51"/>
      <c r="B144" s="51" t="s">
        <v>636</v>
      </c>
      <c r="C144" s="56"/>
      <c r="D144" s="262" t="s">
        <v>1215</v>
      </c>
    </row>
    <row r="145" spans="1:4" ht="13.2">
      <c r="A145" s="51" t="s">
        <v>885</v>
      </c>
      <c r="B145" s="263" t="str">
        <f>HYPERLINK("http://codeforces.com/contest/808/problem/D","CF808-D2-D")</f>
        <v>CF808-D2-D</v>
      </c>
      <c r="C145" s="56"/>
      <c r="D145" s="262" t="s">
        <v>1216</v>
      </c>
    </row>
    <row r="146" spans="1:4" ht="13.2">
      <c r="A146" s="51" t="s">
        <v>749</v>
      </c>
      <c r="B146" s="263" t="str">
        <f>HYPERLINK("http://codeforces.com/contest/124/problem/C","CF124-D2-C")</f>
        <v>CF124-D2-C</v>
      </c>
      <c r="C146" s="56"/>
      <c r="D146" s="262" t="s">
        <v>1208</v>
      </c>
    </row>
    <row r="147" spans="1:4" ht="13.2">
      <c r="A147" s="51" t="s">
        <v>754</v>
      </c>
      <c r="B147" s="263" t="str">
        <f>HYPERLINK("http://codeforces.com/contest/195/problem/C","CF195-D2-C")</f>
        <v>CF195-D2-C</v>
      </c>
      <c r="C147" s="56"/>
      <c r="D147" s="262" t="s">
        <v>1217</v>
      </c>
    </row>
    <row r="148" spans="1:4" ht="13.2">
      <c r="A148" s="51" t="s">
        <v>1094</v>
      </c>
      <c r="B148" s="263" t="str">
        <f>HYPERLINK("http://codeforces.com/contest/59/problem/C","CF59-D2-C")</f>
        <v>CF59-D2-C</v>
      </c>
      <c r="C148" s="264"/>
      <c r="D148" s="262" t="s">
        <v>1217</v>
      </c>
    </row>
    <row r="149" spans="1:4" ht="13.2">
      <c r="A149" s="51"/>
      <c r="B149" s="263" t="str">
        <f>HYPERLINK("http://codeforces.com/contest/309/problem/C","CF309-D1-C")</f>
        <v>CF309-D1-C</v>
      </c>
      <c r="C149" s="56"/>
      <c r="D149" s="262" t="s">
        <v>1218</v>
      </c>
    </row>
    <row r="150" spans="1:4" ht="13.2">
      <c r="A150" s="51"/>
      <c r="B150" s="51" t="s">
        <v>882</v>
      </c>
      <c r="C150" s="56"/>
      <c r="D150" s="262" t="s">
        <v>1219</v>
      </c>
    </row>
    <row r="151" spans="1:4" ht="13.2">
      <c r="A151" s="51" t="s">
        <v>1172</v>
      </c>
      <c r="B151" s="263" t="str">
        <f>HYPERLINK("http://codeforces.com/contest/122/problem/D","CF122-D2-D")</f>
        <v>CF122-D2-D</v>
      </c>
      <c r="C151" s="264"/>
      <c r="D151" s="262" t="s">
        <v>1220</v>
      </c>
    </row>
    <row r="152" spans="1:4" ht="13.2">
      <c r="A152" s="51"/>
      <c r="B152" s="51" t="s">
        <v>1013</v>
      </c>
      <c r="C152" s="264"/>
      <c r="D152" s="262" t="s">
        <v>1221</v>
      </c>
    </row>
    <row r="153" spans="1:4" ht="13.2">
      <c r="A153" s="51"/>
      <c r="B153" s="263" t="str">
        <f>HYPERLINK("https://www.codechef.com/LTIME64B/problems/OPPOSITE", "CODECHEF OPPOSITE")</f>
        <v>CODECHEF OPPOSITE</v>
      </c>
      <c r="C153" s="56"/>
      <c r="D153" s="262" t="s">
        <v>1202</v>
      </c>
    </row>
    <row r="154" spans="1:4" ht="13.2">
      <c r="A154" s="51"/>
      <c r="B154" s="51" t="s">
        <v>811</v>
      </c>
      <c r="C154" s="56"/>
      <c r="D154" s="262" t="s">
        <v>1222</v>
      </c>
    </row>
    <row r="155" spans="1:4" ht="13.2">
      <c r="A155" s="51" t="s">
        <v>1145</v>
      </c>
      <c r="B155" s="263" t="str">
        <f>HYPERLINK("http://codeforces.com/contest/298/problem/D","CF298-D2-D")</f>
        <v>CF298-D2-D</v>
      </c>
      <c r="C155" s="264"/>
      <c r="D155" s="262" t="s">
        <v>1202</v>
      </c>
    </row>
    <row r="156" spans="1:4" ht="13.2">
      <c r="A156" s="51" t="s">
        <v>856</v>
      </c>
      <c r="B156" s="263" t="str">
        <f>HYPERLINK("http://codeforces.com/contest/63/problem/D","CF63-D2-D")</f>
        <v>CF63-D2-D</v>
      </c>
      <c r="C156" s="56"/>
      <c r="D156" s="262" t="s">
        <v>1202</v>
      </c>
    </row>
    <row r="157" spans="1:4" ht="13.2">
      <c r="A157" s="51" t="s">
        <v>735</v>
      </c>
      <c r="B157" s="263" t="str">
        <f>HYPERLINK("http://codeforces.com/contest/591/problem/C","CF591-D2-C")</f>
        <v>CF591-D2-C</v>
      </c>
      <c r="C157" s="56"/>
      <c r="D157" s="262" t="s">
        <v>1223</v>
      </c>
    </row>
    <row r="158" spans="1:4" ht="13.2">
      <c r="A158" s="51"/>
      <c r="B158" s="263" t="str">
        <f>HYPERLINK("http://codeforces.com/contest/23/problem/C","CF23-D12-C")</f>
        <v>CF23-D12-C</v>
      </c>
      <c r="C158" s="56"/>
      <c r="D158" s="262" t="s">
        <v>1224</v>
      </c>
    </row>
    <row r="159" spans="1:4" ht="13.2">
      <c r="A159" s="51"/>
      <c r="B159" s="263" t="str">
        <f>HYPERLINK("http://codeforces.com/gym/101589/problem/F","CF101589-GYM-F")</f>
        <v>CF101589-GYM-F</v>
      </c>
      <c r="C159" s="56"/>
      <c r="D159" s="262" t="s">
        <v>1202</v>
      </c>
    </row>
    <row r="160" spans="1:4" ht="13.2">
      <c r="A160" s="51"/>
      <c r="B160" s="263" t="str">
        <f>HYPERLINK("https://beta.atcoder.jp/contests/arc092/tasks/arc092_b","Atcoder092-ARC-B")</f>
        <v>Atcoder092-ARC-B</v>
      </c>
      <c r="C160" s="56"/>
      <c r="D160" s="262" t="s">
        <v>1225</v>
      </c>
    </row>
    <row r="161" spans="1:4" ht="13.2">
      <c r="A161" s="51" t="s">
        <v>586</v>
      </c>
      <c r="B161" s="263" t="str">
        <f>HYPERLINK("https://uva.onlinejudge.org/index.php?option=com_onlinejudge&amp;Itemid=8&amp;page=show_problem&amp;problem=1285","UVA 10344")</f>
        <v>UVA 10344</v>
      </c>
      <c r="C161" s="56"/>
      <c r="D161" s="262" t="s">
        <v>1226</v>
      </c>
    </row>
    <row r="162" spans="1:4" ht="13.2">
      <c r="A162" s="51" t="s">
        <v>587</v>
      </c>
      <c r="B162" s="263" t="str">
        <f>HYPERLINK("https://uva.onlinejudge.org/index.php?option=com_onlinejudge&amp;Itemid=8&amp;page=show_problem&amp;problem=691","UVA 750")</f>
        <v>UVA 750</v>
      </c>
      <c r="C162" s="56"/>
      <c r="D162" s="262" t="s">
        <v>1226</v>
      </c>
    </row>
    <row r="163" spans="1:4" ht="13.2">
      <c r="A163" s="51" t="s">
        <v>585</v>
      </c>
      <c r="B163" s="263" t="str">
        <f>HYPERLINK("https://uva.onlinejudge.org/index.php?option=com_onlinejudge&amp;Itemid=8&amp;page=show_problem&amp;problem=129","UVA 193")</f>
        <v>UVA 193</v>
      </c>
      <c r="C163" s="56"/>
      <c r="D163" s="262" t="s">
        <v>1227</v>
      </c>
    </row>
    <row r="164" spans="1:4" ht="13.2">
      <c r="A164" s="51" t="s">
        <v>953</v>
      </c>
      <c r="B164" s="263" t="str">
        <f>HYPERLINK("http://codeforces.com/contest/47/problem/D","CF47-D2-D")</f>
        <v>CF47-D2-D</v>
      </c>
      <c r="C164" s="56"/>
      <c r="D164" s="262" t="s">
        <v>1228</v>
      </c>
    </row>
    <row r="165" spans="1:4" ht="13.2">
      <c r="A165" s="51" t="s">
        <v>1005</v>
      </c>
      <c r="B165" s="263" t="str">
        <f>HYPERLINK("https://uva.onlinejudge.org/index.php?option=com_onlinejudge&amp;Itemid=8&amp;page=show_problem&amp;problem=999","UVA 10058")</f>
        <v>UVA 10058</v>
      </c>
      <c r="C165" s="264"/>
      <c r="D165" s="262" t="s">
        <v>1229</v>
      </c>
    </row>
    <row r="166" spans="1:4" ht="13.2">
      <c r="A166" s="51" t="s">
        <v>1098</v>
      </c>
      <c r="B166" s="263" t="str">
        <f>HYPERLINK("https://uva.onlinejudge.org/index.php?option=onlinejudge&amp;page=show_problem&amp;problem=563","UVA 622")</f>
        <v>UVA 622</v>
      </c>
      <c r="C166" s="264"/>
      <c r="D166" s="262" t="s">
        <v>1230</v>
      </c>
    </row>
    <row r="167" spans="1:4" ht="13.2">
      <c r="A167" s="51" t="s">
        <v>233</v>
      </c>
      <c r="B167" s="263" t="str">
        <f>HYPERLINK("http://codeforces.com/contest/143/problem/A","CF143-D2-A")</f>
        <v>CF143-D2-A</v>
      </c>
      <c r="C167" s="76"/>
      <c r="D167" s="262" t="s">
        <v>1231</v>
      </c>
    </row>
    <row r="168" spans="1:4" ht="13.2">
      <c r="A168" s="51" t="s">
        <v>1232</v>
      </c>
      <c r="B168" s="263" t="str">
        <f>HYPERLINK("http://codeforces.com/contest/560/problem/B","CF560-D2-B")</f>
        <v>CF560-D2-B</v>
      </c>
      <c r="C168" s="56"/>
      <c r="D168" s="262" t="s">
        <v>1231</v>
      </c>
    </row>
    <row r="169" spans="1:4" ht="13.2">
      <c r="A169" s="51" t="s">
        <v>596</v>
      </c>
      <c r="B169" s="263" t="str">
        <f>HYPERLINK("http://codeforces.com/contest/570/problem/B","CF570-D2-B")</f>
        <v>CF570-D2-B</v>
      </c>
      <c r="C169" s="56"/>
      <c r="D169" s="262" t="s">
        <v>1231</v>
      </c>
    </row>
    <row r="170" spans="1:4" ht="13.2">
      <c r="A170" s="51" t="s">
        <v>403</v>
      </c>
      <c r="B170" s="263" t="str">
        <f>HYPERLINK("http://codeforces.com/contest/129/problem/B","CF129-D2-B")</f>
        <v>CF129-D2-B</v>
      </c>
      <c r="C170" s="56"/>
      <c r="D170" s="170" t="s">
        <v>1231</v>
      </c>
    </row>
    <row r="171" spans="1:4" ht="13.2">
      <c r="A171" s="51" t="s">
        <v>725</v>
      </c>
      <c r="B171" s="263" t="str">
        <f>HYPERLINK("http://codeforces.com/contest/430/problem/B","CF430-D2-B")</f>
        <v>CF430-D2-B</v>
      </c>
      <c r="C171" s="56"/>
      <c r="D171" s="262" t="s">
        <v>1233</v>
      </c>
    </row>
    <row r="172" spans="1:4" ht="13.2">
      <c r="A172" s="51" t="s">
        <v>652</v>
      </c>
      <c r="B172" s="263" t="str">
        <f>HYPERLINK("http://codeforces.com/contest/189/problem/A","CF189-D2-A")</f>
        <v>CF189-D2-A</v>
      </c>
      <c r="C172" s="56"/>
      <c r="D172" s="262" t="s">
        <v>1231</v>
      </c>
    </row>
    <row r="173" spans="1:4" ht="13.2">
      <c r="A173" s="51" t="s">
        <v>578</v>
      </c>
      <c r="B173" s="263" t="str">
        <f>HYPERLINK("http://codeforces.com/contest/402/problem/C","CF402-D2-C")</f>
        <v>CF402-D2-C</v>
      </c>
      <c r="C173" s="56"/>
      <c r="D173" s="262" t="s">
        <v>1234</v>
      </c>
    </row>
    <row r="174" spans="1:4" ht="13.2">
      <c r="A174" s="51" t="s">
        <v>733</v>
      </c>
      <c r="B174" s="263" t="str">
        <f>HYPERLINK("http://codeforces.com/contest/63/problem/C","CF63-D2-C")</f>
        <v>CF63-D2-C</v>
      </c>
      <c r="C174" s="56"/>
      <c r="D174" s="262" t="s">
        <v>1235</v>
      </c>
    </row>
    <row r="175" spans="1:4" ht="13.2">
      <c r="A175" s="51" t="s">
        <v>1093</v>
      </c>
      <c r="B175" s="263" t="str">
        <f>HYPERLINK("http://codeforces.com/contest/255/problem/C","CF255-D2-C")</f>
        <v>CF255-D2-C</v>
      </c>
      <c r="C175" s="264"/>
      <c r="D175" s="262" t="s">
        <v>1231</v>
      </c>
    </row>
    <row r="176" spans="1:4" ht="13.2">
      <c r="A176" s="51" t="s">
        <v>855</v>
      </c>
      <c r="B176" s="263" t="str">
        <f>HYPERLINK("http://codeforces.com/contest/118/problem/C","CF118-D2-C")</f>
        <v>CF118-D2-C</v>
      </c>
      <c r="C176" s="56"/>
      <c r="D176" s="262" t="s">
        <v>1236</v>
      </c>
    </row>
    <row r="177" spans="1:4" ht="13.2">
      <c r="A177" s="51" t="s">
        <v>837</v>
      </c>
      <c r="B177" s="263" t="str">
        <f>HYPERLINK("http://codeforces.com/contest/672/problem/C","CF672-D2-C")</f>
        <v>CF672-D2-C</v>
      </c>
      <c r="C177" s="56"/>
      <c r="D177" s="262" t="s">
        <v>1236</v>
      </c>
    </row>
    <row r="178" spans="1:4" ht="13.2">
      <c r="A178" s="51" t="s">
        <v>959</v>
      </c>
      <c r="B178" s="263" t="str">
        <f>HYPERLINK("http://codeforces.com/contest/439/problem/C","CF439-D2-C")</f>
        <v>CF439-D2-C</v>
      </c>
      <c r="C178" s="56"/>
      <c r="D178" s="262" t="s">
        <v>1237</v>
      </c>
    </row>
    <row r="179" spans="1:4" ht="13.2">
      <c r="A179" s="51" t="s">
        <v>998</v>
      </c>
      <c r="B179" s="263" t="str">
        <f>HYPERLINK("http://codeforces.com/contest/200/problem/C","CF200-D2-C")</f>
        <v>CF200-D2-C</v>
      </c>
      <c r="C179" s="56"/>
      <c r="D179" s="262" t="s">
        <v>1235</v>
      </c>
    </row>
    <row r="180" spans="1:4" ht="13.2">
      <c r="A180" s="51" t="s">
        <v>704</v>
      </c>
      <c r="B180" s="263" t="str">
        <f>HYPERLINK("http://codeforces.com/contest/368/problem/C","CF368-D2-C")</f>
        <v>CF368-D2-C</v>
      </c>
      <c r="C180" s="56"/>
      <c r="D180" s="262" t="s">
        <v>1235</v>
      </c>
    </row>
    <row r="181" spans="1:4" ht="13.2">
      <c r="A181" s="51" t="s">
        <v>960</v>
      </c>
      <c r="B181" s="263" t="str">
        <f>HYPERLINK("http://codeforces.com/contest/557/problem/C","CF557-D2-C")</f>
        <v>CF557-D2-C</v>
      </c>
      <c r="C181" s="56"/>
      <c r="D181" s="262" t="s">
        <v>1238</v>
      </c>
    </row>
    <row r="182" spans="1:4" ht="13.2">
      <c r="A182" s="51"/>
      <c r="B182" s="263" t="str">
        <f>HYPERLINK("http://codeforces.com/contest/1036/problem/C","CF1036-D2-C")</f>
        <v>CF1036-D2-C</v>
      </c>
      <c r="C182" s="56"/>
      <c r="D182" s="262" t="s">
        <v>1239</v>
      </c>
    </row>
    <row r="183" spans="1:4" ht="13.2">
      <c r="A183" s="51" t="s">
        <v>825</v>
      </c>
      <c r="B183" s="263" t="str">
        <f>HYPERLINK("http://codeforces.com/contest/365/problem/C","CF365-D2-C")</f>
        <v>CF365-D2-C</v>
      </c>
      <c r="C183" s="56"/>
      <c r="D183" s="262" t="s">
        <v>1240</v>
      </c>
    </row>
    <row r="184" spans="1:4" ht="13.2">
      <c r="A184" s="51" t="s">
        <v>626</v>
      </c>
      <c r="B184" s="263" t="str">
        <f>HYPERLINK("http://codeforces.com/contest/496/problem/C","CF496-D2-C")</f>
        <v>CF496-D2-C</v>
      </c>
      <c r="C184" s="56"/>
      <c r="D184" s="262" t="s">
        <v>1231</v>
      </c>
    </row>
    <row r="185" spans="1:4" ht="13.2">
      <c r="A185" s="51"/>
      <c r="B185" s="51" t="s">
        <v>1109</v>
      </c>
      <c r="C185" s="264"/>
      <c r="D185" s="262" t="s">
        <v>1241</v>
      </c>
    </row>
    <row r="186" spans="1:4" ht="13.2">
      <c r="A186" s="51"/>
      <c r="B186" s="51" t="s">
        <v>904</v>
      </c>
      <c r="C186" s="56"/>
      <c r="D186" s="262" t="s">
        <v>1242</v>
      </c>
    </row>
    <row r="187" spans="1:4" ht="13.2">
      <c r="A187" s="51" t="s">
        <v>1116</v>
      </c>
      <c r="B187" s="263" t="str">
        <f>HYPERLINK("http://codeforces.com/contest/146/problem/D","CF146-D2-D")</f>
        <v>CF146-D2-D</v>
      </c>
      <c r="C187" s="264"/>
      <c r="D187" s="262" t="s">
        <v>1243</v>
      </c>
    </row>
    <row r="188" spans="1:4" ht="13.2">
      <c r="A188" s="51" t="s">
        <v>1021</v>
      </c>
      <c r="B188" s="263" t="str">
        <f>HYPERLINK("http://codeforces.com/contest/361/problem/C","CF361-D2-C")</f>
        <v>CF361-D2-C</v>
      </c>
      <c r="C188" s="56"/>
      <c r="D188" s="262" t="s">
        <v>1236</v>
      </c>
    </row>
    <row r="189" spans="1:4" ht="13.2">
      <c r="A189" s="51"/>
      <c r="B189" s="263" t="str">
        <f>HYPERLINK("http://codeforces.com/problemset/problem/1017/D","CF1017-D12-D")</f>
        <v>CF1017-D12-D</v>
      </c>
      <c r="C189" s="264"/>
      <c r="D189" s="262" t="s">
        <v>1244</v>
      </c>
    </row>
    <row r="190" spans="1:4" ht="13.2">
      <c r="A190" s="51"/>
      <c r="B190" s="263" t="str">
        <f>HYPERLINK("http://codeforces.com/contest/621/problem/D","CF621-D2-D")</f>
        <v>CF621-D2-D</v>
      </c>
      <c r="C190" s="56"/>
      <c r="D190" s="262" t="s">
        <v>1245</v>
      </c>
    </row>
    <row r="191" spans="1:4" ht="13.2">
      <c r="A191" s="51"/>
      <c r="B191" s="51" t="s">
        <v>887</v>
      </c>
      <c r="C191" s="56"/>
      <c r="D191" s="262" t="s">
        <v>1246</v>
      </c>
    </row>
    <row r="192" spans="1:4" ht="13.2">
      <c r="A192" s="51"/>
      <c r="B192" s="263" t="str">
        <f>HYPERLINK("http://codeforces.com/contest/633/problem/D","CF633-D12-D")</f>
        <v>CF633-D12-D</v>
      </c>
      <c r="C192" s="56"/>
      <c r="D192" s="262" t="s">
        <v>1247</v>
      </c>
    </row>
    <row r="193" spans="1:4" ht="13.2">
      <c r="A193" s="51"/>
      <c r="B193" s="51" t="s">
        <v>1051</v>
      </c>
      <c r="C193" s="264"/>
      <c r="D193" s="262" t="s">
        <v>1248</v>
      </c>
    </row>
    <row r="194" spans="1:4" ht="13.2">
      <c r="A194" s="51" t="s">
        <v>245</v>
      </c>
      <c r="B194" s="263" t="str">
        <f>HYPERLINK("http://codeforces.com/contest/287/problem/B","CF287-D2-B")</f>
        <v>CF287-D2-B</v>
      </c>
      <c r="C194" s="76"/>
      <c r="D194" s="262" t="s">
        <v>1249</v>
      </c>
    </row>
    <row r="195" spans="1:4" ht="13.2">
      <c r="A195" s="51" t="s">
        <v>385</v>
      </c>
      <c r="B195" s="263" t="str">
        <f>HYPERLINK("http://codeforces.com/contest/492/problem/B","CF492-D2-B")</f>
        <v>CF492-D2-B</v>
      </c>
      <c r="C195" s="56"/>
      <c r="D195" s="170" t="s">
        <v>1250</v>
      </c>
    </row>
    <row r="196" spans="1:4" ht="13.2">
      <c r="A196" s="51" t="s">
        <v>247</v>
      </c>
      <c r="B196" s="263" t="str">
        <f>HYPERLINK("http://www.spoj.com/problems/AGGRCOW/","SPOJ AGGRCOW")</f>
        <v>SPOJ AGGRCOW</v>
      </c>
      <c r="C196" s="56"/>
      <c r="D196" s="262" t="s">
        <v>1249</v>
      </c>
    </row>
    <row r="197" spans="1:4" ht="13.2">
      <c r="A197" s="51" t="s">
        <v>472</v>
      </c>
      <c r="B197" s="263" t="str">
        <f>HYPERLINK("https://uva.onlinejudge.org/index.php?option=onlinejudge&amp;page=show_problem&amp;problem=1217","UVA 10276")</f>
        <v>UVA 10276</v>
      </c>
      <c r="C197" s="56"/>
      <c r="D197" s="262" t="s">
        <v>1251</v>
      </c>
    </row>
    <row r="198" spans="1:4" ht="13.2">
      <c r="A198" s="51" t="s">
        <v>432</v>
      </c>
      <c r="B198" s="263" t="str">
        <f>HYPERLINK("https://uva.onlinejudge.org/index.php?option=com_onlinejudge&amp;Itemid=8&amp;page=show_problem&amp;problem=1018","UVA 10077")</f>
        <v>UVA 10077</v>
      </c>
      <c r="C198" s="56"/>
      <c r="D198" s="262" t="s">
        <v>1252</v>
      </c>
    </row>
    <row r="199" spans="1:4" ht="13.2">
      <c r="A199" s="51" t="s">
        <v>775</v>
      </c>
      <c r="B199" s="263" t="str">
        <f>HYPERLINK("http://codeforces.com/contest/270/problem/C","CF270-D2-C")</f>
        <v>CF270-D2-C</v>
      </c>
      <c r="C199" s="56"/>
      <c r="D199" s="262" t="s">
        <v>1253</v>
      </c>
    </row>
    <row r="200" spans="1:4" ht="13.2">
      <c r="A200" s="51" t="s">
        <v>1141</v>
      </c>
      <c r="B200" s="263" t="str">
        <f>HYPERLINK("http://codeforces.com/contest/651/problem/D","CF651-D2-D")</f>
        <v>CF651-D2-D</v>
      </c>
      <c r="C200" s="264"/>
      <c r="D200" s="262" t="s">
        <v>1254</v>
      </c>
    </row>
    <row r="201" spans="1:4" ht="13.2">
      <c r="A201" s="51" t="s">
        <v>691</v>
      </c>
      <c r="B201" s="263" t="str">
        <f>HYPERLINK("http://codeforces.com/contest/812/problem/C","CF812-D2-C")</f>
        <v>CF812-D2-C</v>
      </c>
      <c r="C201" s="56"/>
      <c r="D201" s="262" t="s">
        <v>1249</v>
      </c>
    </row>
    <row r="202" spans="1:4" ht="13.2">
      <c r="A202" s="51" t="s">
        <v>244</v>
      </c>
      <c r="B202" s="263" t="str">
        <f>HYPERLINK("https://uva.onlinejudge.org/index.php?option=com_onlinejudge&amp;Itemid=8&amp;page=show_problem&amp;problem=1552","UVA 10611")</f>
        <v>UVA 10611</v>
      </c>
      <c r="C202" s="56"/>
      <c r="D202" s="262" t="s">
        <v>1249</v>
      </c>
    </row>
    <row r="203" spans="1:4" ht="13.2">
      <c r="A203" s="51" t="s">
        <v>717</v>
      </c>
      <c r="B203" s="263" t="str">
        <f>HYPERLINK("http://codeforces.com/contest/75/problem/C","CF75-D2-C")</f>
        <v>CF75-D2-C</v>
      </c>
      <c r="C203" s="56"/>
      <c r="D203" s="262" t="s">
        <v>1255</v>
      </c>
    </row>
    <row r="204" spans="1:4" ht="13.2">
      <c r="A204" s="51" t="s">
        <v>1004</v>
      </c>
      <c r="B204" s="263" t="str">
        <f>HYPERLINK("http://www.spoj.com/problems/DICTSUB/","SPOJ DICTSUB")</f>
        <v>SPOJ DICTSUB</v>
      </c>
      <c r="C204" s="56"/>
      <c r="D204" s="262" t="s">
        <v>1256</v>
      </c>
    </row>
    <row r="205" spans="1:4" ht="13.2">
      <c r="A205" s="51" t="s">
        <v>1144</v>
      </c>
      <c r="B205" s="263" t="str">
        <f>HYPERLINK("http://codeforces.com/contest/255/problem/D","CF255-D2-D")</f>
        <v>CF255-D2-D</v>
      </c>
      <c r="C205" s="264"/>
      <c r="D205" s="262" t="s">
        <v>1249</v>
      </c>
    </row>
    <row r="206" spans="1:4" ht="13.2">
      <c r="A206" s="51"/>
      <c r="B206" s="263" t="str">
        <f>HYPERLINK("https://codeforces.com/contest/1060/problem/C","CF1060-D12-C")</f>
        <v>CF1060-D12-C</v>
      </c>
      <c r="C206" s="56"/>
      <c r="D206" s="262" t="s">
        <v>1257</v>
      </c>
    </row>
    <row r="207" spans="1:4" ht="13.2">
      <c r="A207" s="51" t="s">
        <v>351</v>
      </c>
      <c r="B207" s="263" t="str">
        <f>HYPERLINK("http://codeforces.com/contest/448/problem/D","CF448-D2-D")</f>
        <v>CF448-D2-D</v>
      </c>
      <c r="C207" s="56"/>
      <c r="D207" s="262" t="s">
        <v>1249</v>
      </c>
    </row>
    <row r="208" spans="1:4" ht="13.2">
      <c r="A208" s="51" t="s">
        <v>516</v>
      </c>
      <c r="B208" s="263" t="str">
        <f>HYPERLINK("https://uva.onlinejudge.org/index.php?option=onlinejudge&amp;page=show_problem&amp;problem=4330","UVA 1555")</f>
        <v>UVA 1555</v>
      </c>
      <c r="C208" s="56"/>
      <c r="D208" s="262" t="s">
        <v>1258</v>
      </c>
    </row>
    <row r="209" spans="1:4" ht="13.2">
      <c r="A209" s="51"/>
      <c r="B209" s="51" t="s">
        <v>900</v>
      </c>
      <c r="C209" s="56"/>
      <c r="D209" s="262" t="s">
        <v>1259</v>
      </c>
    </row>
    <row r="210" spans="1:4" ht="13.2">
      <c r="A210" s="51" t="s">
        <v>1152</v>
      </c>
      <c r="B210" s="263" t="str">
        <f>HYPERLINK("http://www.spoj.com/problems/MSE07E/","SPOJ MSE07E")</f>
        <v>SPOJ MSE07E</v>
      </c>
      <c r="C210" s="264"/>
      <c r="D210" s="262" t="s">
        <v>1260</v>
      </c>
    </row>
    <row r="211" spans="1:4" ht="13.2">
      <c r="A211" s="51"/>
      <c r="B211" s="51" t="s">
        <v>1036</v>
      </c>
      <c r="C211" s="56"/>
      <c r="D211" s="262" t="s">
        <v>1261</v>
      </c>
    </row>
    <row r="212" spans="1:4" ht="13.2">
      <c r="A212" s="51"/>
      <c r="B212" s="51" t="s">
        <v>402</v>
      </c>
      <c r="C212" s="56"/>
      <c r="D212" s="48" t="s">
        <v>1262</v>
      </c>
    </row>
    <row r="213" spans="1:4" ht="13.2">
      <c r="A213" s="51" t="s">
        <v>583</v>
      </c>
      <c r="B213" s="263" t="str">
        <f>HYPERLINK("http://codeforces.com/contest/357/problem/C","CF357-D2-C")</f>
        <v>CF357-D2-C</v>
      </c>
      <c r="C213" s="56"/>
      <c r="D213" s="262" t="s">
        <v>1263</v>
      </c>
    </row>
    <row r="214" spans="1:4" ht="13.2">
      <c r="A214" s="51"/>
      <c r="B214" s="263" t="str">
        <f>HYPERLINK("https://icpcarchive.ecs.baylor.edu/index.php?option=com_onlinejudge&amp;Itemid=8&amp;page=show_problem&amp;problem=6100","LiveArchive 8078")</f>
        <v>LiveArchive 8078</v>
      </c>
      <c r="C214" s="56"/>
      <c r="D214" s="48" t="s">
        <v>1264</v>
      </c>
    </row>
    <row r="215" spans="1:4" ht="13.2">
      <c r="A215" s="51" t="s">
        <v>628</v>
      </c>
      <c r="B215" s="263" t="str">
        <f>HYPERLINK("http://codeforces.com/contest/92/problem/D","CF92-D2-D")</f>
        <v>CF92-D2-D</v>
      </c>
      <c r="C215" s="56"/>
      <c r="D215" s="262" t="s">
        <v>1265</v>
      </c>
    </row>
    <row r="216" spans="1:4" ht="13.2">
      <c r="A216" s="51" t="s">
        <v>622</v>
      </c>
      <c r="B216" s="263" t="str">
        <f>HYPERLINK("http://codeforces.com/contest/705/problem/C","CF705-D2-C")</f>
        <v>CF705-D2-C</v>
      </c>
      <c r="C216" s="56"/>
      <c r="D216" s="262" t="s">
        <v>1266</v>
      </c>
    </row>
    <row r="217" spans="1:4" ht="13.2">
      <c r="A217" s="51" t="s">
        <v>897</v>
      </c>
      <c r="B217" s="263" t="str">
        <f>HYPERLINK("https://uva.onlinejudge.org/index.php?option=com_onlinejudge&amp;Itemid=8&amp;page=show_problem&amp;problem=4467","UVA 1592")</f>
        <v>UVA 1592</v>
      </c>
      <c r="C217" s="56"/>
      <c r="D217" s="262" t="s">
        <v>1267</v>
      </c>
    </row>
    <row r="218" spans="1:4" ht="13.2">
      <c r="A218" s="51" t="s">
        <v>703</v>
      </c>
      <c r="B218" s="263" t="str">
        <f>HYPERLINK("http://codeforces.com/contest/276/problem/C","CF276-D2-C")</f>
        <v>CF276-D2-C</v>
      </c>
      <c r="C218" s="56"/>
      <c r="D218" s="262" t="s">
        <v>1268</v>
      </c>
    </row>
    <row r="219" spans="1:4" ht="13.2">
      <c r="A219" s="51" t="s">
        <v>702</v>
      </c>
      <c r="B219" s="263" t="str">
        <f>HYPERLINK("http://codeforces.com/contest/518/problem/C","CF518-D2-C")</f>
        <v>CF518-D2-C</v>
      </c>
      <c r="C219" s="56"/>
      <c r="D219" s="262" t="s">
        <v>1266</v>
      </c>
    </row>
    <row r="220" spans="1:4" ht="13.2">
      <c r="A220" s="51" t="s">
        <v>860</v>
      </c>
      <c r="B220" s="263" t="str">
        <f>HYPERLINK("http://codeforces.com/contest/697/problem/C","CF697-D2-C")</f>
        <v>CF697-D2-C</v>
      </c>
      <c r="C220" s="56"/>
      <c r="D220" s="262" t="s">
        <v>1269</v>
      </c>
    </row>
    <row r="221" spans="1:4" ht="13.2">
      <c r="A221" s="51" t="s">
        <v>1002</v>
      </c>
      <c r="B221" s="263" t="str">
        <f>HYPERLINK("http://www.spoj.com/problems/WEIRDFN/","SPOJ WEIRDFN")</f>
        <v>SPOJ WEIRDFN</v>
      </c>
      <c r="C221" s="264"/>
      <c r="D221" s="262" t="s">
        <v>1270</v>
      </c>
    </row>
    <row r="222" spans="1:4" ht="13.2">
      <c r="A222" s="51" t="s">
        <v>1150</v>
      </c>
      <c r="B222" s="263" t="str">
        <f>HYPERLINK("https://uva.onlinejudge.org/index.php?option=onlinejudge&amp;page=show_problem&amp;problem=442","UVA 501")</f>
        <v>UVA 501</v>
      </c>
      <c r="C222" s="264"/>
      <c r="D222" s="262" t="s">
        <v>1271</v>
      </c>
    </row>
    <row r="223" spans="1:4" ht="13.2">
      <c r="A223" s="51" t="s">
        <v>896</v>
      </c>
      <c r="B223" s="263" t="str">
        <f>HYPERLINK("https://icpcarchive.ecs.baylor.edu/index.php?option=com_onlinejudge&amp;Itemid=8&amp;category=19&amp;page=show_problem&amp;problem=1635","LiveArchive 3634")</f>
        <v>LiveArchive 3634</v>
      </c>
      <c r="C223" s="56"/>
      <c r="D223" s="262" t="s">
        <v>1272</v>
      </c>
    </row>
    <row r="224" spans="1:4" ht="13.2">
      <c r="A224" s="51"/>
      <c r="B224" s="263" t="str">
        <f>HYPERLINK("http://codeforces.com/problemset/problem/899/E","CF899-D2-E")</f>
        <v>CF899-D2-E</v>
      </c>
      <c r="C224" s="56"/>
      <c r="D224" s="262" t="s">
        <v>1273</v>
      </c>
    </row>
    <row r="225" spans="1:4" ht="13.2">
      <c r="A225" s="51" t="s">
        <v>1088</v>
      </c>
      <c r="B225" s="263" t="str">
        <f>HYPERLINK("http://codeforces.com/contest/548/problem/D","CF548-D2-D")</f>
        <v>CF548-D2-D</v>
      </c>
      <c r="C225" s="264"/>
      <c r="D225" s="262" t="s">
        <v>1274</v>
      </c>
    </row>
    <row r="226" spans="1:4" ht="13.2">
      <c r="A226" s="51" t="s">
        <v>1124</v>
      </c>
      <c r="B226" s="263" t="str">
        <f>HYPERLINK("https://uva.onlinejudge.org/index.php?option=com_onlinejudge&amp;Itemid=8&amp;page=show_problem&amp;problem=4395","UVA 12657")</f>
        <v>UVA 12657</v>
      </c>
      <c r="C226" s="264"/>
      <c r="D226" s="262" t="s">
        <v>1275</v>
      </c>
    </row>
    <row r="227" spans="1:4" ht="13.2">
      <c r="A227" s="51" t="s">
        <v>1151</v>
      </c>
      <c r="B227" s="263" t="str">
        <f>HYPERLINK("https://uva.onlinejudge.org/index.php?option=com_onlinejudge&amp;Itemid=8&amp;page=show_problem&amp;problem=2175","UVA 11234")</f>
        <v>UVA 11234</v>
      </c>
      <c r="C227" s="264"/>
      <c r="D227" s="262" t="s">
        <v>1276</v>
      </c>
    </row>
    <row r="228" spans="1:4" ht="13.2">
      <c r="A228" s="51"/>
      <c r="B228" s="51" t="s">
        <v>922</v>
      </c>
      <c r="C228" s="56"/>
      <c r="D228" s="262" t="s">
        <v>1277</v>
      </c>
    </row>
    <row r="229" spans="1:4" ht="13.2">
      <c r="A229" s="51" t="s">
        <v>616</v>
      </c>
      <c r="B229" s="263" t="str">
        <f>HYPERLINK("https://uva.onlinejudge.org/index.php?option=com_onlinejudge&amp;Itemid=8&amp;page=show_problem&amp;problem=944","UVA 10003")</f>
        <v>UVA 10003</v>
      </c>
      <c r="C229" s="56"/>
      <c r="D229" s="262" t="s">
        <v>1278</v>
      </c>
    </row>
    <row r="230" spans="1:4" ht="13.2">
      <c r="A230" s="51" t="s">
        <v>600</v>
      </c>
      <c r="B230" s="263" t="str">
        <f>HYPERLINK("https://uva.onlinejudge.org/index.php?option=com_onlinejudge&amp;Itemid=8&amp;page=show_problem&amp;problem=503","UVA 562")</f>
        <v>UVA 562</v>
      </c>
      <c r="C230" s="56"/>
      <c r="D230" s="262" t="s">
        <v>1279</v>
      </c>
    </row>
    <row r="231" spans="1:4" ht="13.2">
      <c r="A231" s="51" t="s">
        <v>598</v>
      </c>
      <c r="B231" s="263" t="str">
        <f>HYPERLINK("https://uva.onlinejudge.org/index.php?option=onlinejudge&amp;page=show_problem&amp;problem=1133","UVA 10192")</f>
        <v>UVA 10192</v>
      </c>
      <c r="C231" s="56"/>
      <c r="D231" s="262" t="s">
        <v>1280</v>
      </c>
    </row>
    <row r="232" spans="1:4" ht="13.2">
      <c r="A232" s="51" t="s">
        <v>605</v>
      </c>
      <c r="B232" s="263" t="str">
        <f>HYPERLINK("https://uva.onlinejudge.org/index.php?option=com_onlinejudge&amp;Itemid=8&amp;page=show_problem&amp;problem=977","UVA 10036")</f>
        <v>UVA 10036</v>
      </c>
      <c r="C232" s="56"/>
      <c r="D232" s="262" t="s">
        <v>1281</v>
      </c>
    </row>
    <row r="233" spans="1:4" ht="13.2">
      <c r="A233" s="51" t="s">
        <v>783</v>
      </c>
      <c r="B233" s="263" t="str">
        <f>HYPERLINK("https://uva.onlinejudge.org/index.php?option=onlinejudge&amp;page=show_problem&amp;problem=1041","UVA 10100")</f>
        <v>UVA 10100</v>
      </c>
      <c r="C233" s="56"/>
      <c r="D233" s="262" t="s">
        <v>1280</v>
      </c>
    </row>
    <row r="234" spans="1:4" ht="13.2">
      <c r="A234" s="51"/>
      <c r="B234" s="263" t="str">
        <f>HYPERLINK("https://codeforces.com/contest/1057/problem/C","CF1057-D12-C")</f>
        <v>CF1057-D12-C</v>
      </c>
      <c r="C234" s="56"/>
      <c r="D234" s="262" t="s">
        <v>1282</v>
      </c>
    </row>
    <row r="235" spans="1:4" ht="13.2">
      <c r="A235" s="51" t="s">
        <v>639</v>
      </c>
      <c r="B235" s="263" t="str">
        <f>HYPERLINK("http://codeforces.com/contest/604/problem/C","CF604-D2-C")</f>
        <v>CF604-D2-C</v>
      </c>
      <c r="C235" s="56"/>
      <c r="D235" s="262" t="s">
        <v>1283</v>
      </c>
    </row>
    <row r="236" spans="1:4" ht="13.2">
      <c r="A236" s="51" t="s">
        <v>689</v>
      </c>
      <c r="B236" s="263" t="str">
        <f>HYPERLINK("https://uva.onlinejudge.org/index.php?option=com_onlinejudge&amp;Itemid=8&amp;page=show_problem&amp;problem=1680","UVA 10739")</f>
        <v>UVA 10739</v>
      </c>
      <c r="C236" s="56"/>
      <c r="D236" s="262" t="s">
        <v>1279</v>
      </c>
    </row>
    <row r="237" spans="1:4" ht="13.2">
      <c r="A237" s="51" t="s">
        <v>690</v>
      </c>
      <c r="B237" s="263" t="str">
        <f>HYPERLINK("https://uva.onlinejudge.org/index.php?option=onlinejudge&amp;page=show_problem&amp;problem=1760","UVA 10819")</f>
        <v>UVA 10819</v>
      </c>
      <c r="C237" s="56"/>
      <c r="D237" s="262" t="s">
        <v>1284</v>
      </c>
    </row>
    <row r="238" spans="1:4" ht="13.2">
      <c r="A238" s="51" t="s">
        <v>415</v>
      </c>
      <c r="B238" s="263" t="str">
        <f>HYPERLINK("http://codeforces.com/contest/545/problem/C","CF545-D2-C")</f>
        <v>CF545-D2-C</v>
      </c>
      <c r="C238" s="56"/>
      <c r="D238" s="262" t="s">
        <v>1285</v>
      </c>
    </row>
    <row r="239" spans="1:4" ht="13.2">
      <c r="A239" s="51" t="s">
        <v>785</v>
      </c>
      <c r="B239" s="263" t="str">
        <f>HYPERLINK("https://uva.onlinejudge.org/index.php?option=com_onlinejudge&amp;Itemid=8&amp;page=show_problem&amp;problem=1139","UVA 10198")</f>
        <v>UVA 10198</v>
      </c>
      <c r="C239" s="56"/>
      <c r="D239" s="262" t="s">
        <v>1286</v>
      </c>
    </row>
    <row r="240" spans="1:4" ht="13.2">
      <c r="A240" s="51" t="s">
        <v>999</v>
      </c>
      <c r="B240" s="263" t="str">
        <f>HYPERLINK("http://codeforces.com/contest/489/problem/C","CF489-D2-C")</f>
        <v>CF489-D2-C</v>
      </c>
      <c r="C240" s="56"/>
      <c r="D240" s="262" t="s">
        <v>1287</v>
      </c>
    </row>
    <row r="241" spans="1:4" ht="13.2">
      <c r="A241" s="51" t="s">
        <v>688</v>
      </c>
      <c r="B241" s="263" t="str">
        <f>HYPERLINK("https://uva.onlinejudge.org/index.php?option=com_onlinejudge&amp;Itemid=8&amp;page=show_problem&amp;problem=438","UVA 497")</f>
        <v>UVA 497</v>
      </c>
      <c r="C241" s="56"/>
      <c r="D241" s="262" t="s">
        <v>1288</v>
      </c>
    </row>
    <row r="242" spans="1:4" ht="13.2">
      <c r="A242" s="51" t="s">
        <v>623</v>
      </c>
      <c r="B242" s="263" t="str">
        <f>HYPERLINK("http://codeforces.com/contest/706/problem/C","CF706-D2-C")</f>
        <v>CF706-D2-C</v>
      </c>
      <c r="C242" s="56"/>
      <c r="D242" s="262" t="s">
        <v>1279</v>
      </c>
    </row>
    <row r="243" spans="1:4" ht="13.2">
      <c r="A243" s="51" t="s">
        <v>685</v>
      </c>
      <c r="B243" s="263" t="str">
        <f>HYPERLINK("http://codeforces.com/contest/456/problem/C","CF456-D2-C")</f>
        <v>CF456-D2-C</v>
      </c>
      <c r="C243" s="56"/>
      <c r="D243" s="262" t="s">
        <v>1279</v>
      </c>
    </row>
    <row r="244" spans="1:4" ht="13.2">
      <c r="A244" s="51" t="s">
        <v>736</v>
      </c>
      <c r="B244" s="263" t="str">
        <f>HYPERLINK("http://codeforces.com/contest/711/problem/C","CF711-D2-C")</f>
        <v>CF711-D2-C</v>
      </c>
      <c r="C244" s="56"/>
      <c r="D244" s="262" t="s">
        <v>1279</v>
      </c>
    </row>
    <row r="245" spans="1:4" ht="13.2">
      <c r="A245" s="51" t="s">
        <v>614</v>
      </c>
      <c r="B245" s="263" t="str">
        <f>HYPERLINK("https://uva.onlinejudge.org/index.php?option=com_onlinejudge&amp;Itemid=8&amp;page=show_problem&amp;problem=1558","UVA 10617")</f>
        <v>UVA 10617</v>
      </c>
      <c r="C245" s="56"/>
      <c r="D245" s="262" t="s">
        <v>1279</v>
      </c>
    </row>
    <row r="246" spans="1:4" ht="13.2">
      <c r="A246" s="51" t="s">
        <v>1001</v>
      </c>
      <c r="B246" s="263" t="str">
        <f>HYPERLINK("https://uva.onlinejudge.org/index.php?option=onlinejudge&amp;page=show_problem&amp;problem=548","UVA 607")</f>
        <v>UVA 607</v>
      </c>
      <c r="C246" s="264"/>
      <c r="D246" s="262" t="s">
        <v>1279</v>
      </c>
    </row>
    <row r="247" spans="1:4" ht="13.2">
      <c r="A247" s="51" t="s">
        <v>644</v>
      </c>
      <c r="B247" s="263" t="str">
        <f>HYPERLINK("http://codeforces.com/contest/792/problem/C","CF792-D2-C")</f>
        <v>CF792-D2-C</v>
      </c>
      <c r="C247" s="56"/>
      <c r="D247" s="262" t="s">
        <v>1289</v>
      </c>
    </row>
    <row r="248" spans="1:4" ht="13.2">
      <c r="A248" s="51" t="s">
        <v>936</v>
      </c>
      <c r="B248" s="263" t="str">
        <f>HYPERLINK("https://uva.onlinejudge.org/index.php?option=com_onlinejudge&amp;Itemid=8&amp;page=show_problem&amp;problem=1475","UVA 10534")</f>
        <v>UVA 10534</v>
      </c>
      <c r="C248" s="56"/>
      <c r="D248" s="262" t="s">
        <v>1290</v>
      </c>
    </row>
    <row r="249" spans="1:4" ht="13.2">
      <c r="A249" s="51" t="s">
        <v>926</v>
      </c>
      <c r="B249" s="263" t="str">
        <f>HYPERLINK("http://codeforces.com/contest/265/problem/D","CF265-D2-D")</f>
        <v>CF265-D2-D</v>
      </c>
      <c r="C249" s="56"/>
      <c r="D249" s="262" t="s">
        <v>1291</v>
      </c>
    </row>
    <row r="250" spans="1:4" ht="13.2">
      <c r="A250" s="51" t="s">
        <v>1148</v>
      </c>
      <c r="B250" s="263" t="str">
        <f>HYPERLINK("http://codeforces.com/contest/366/problem/C","CF366-D2-C")</f>
        <v>CF366-D2-C</v>
      </c>
      <c r="C250" s="264"/>
      <c r="D250" s="262" t="s">
        <v>1292</v>
      </c>
    </row>
    <row r="251" spans="1:4" ht="13.2">
      <c r="A251" s="51"/>
      <c r="B251" s="263" t="str">
        <f>HYPERLINK("http://codeforces.com/contest/101/problem/B","CF101-D1-B")</f>
        <v>CF101-D1-B</v>
      </c>
      <c r="C251" s="56"/>
      <c r="D251" s="262" t="s">
        <v>1293</v>
      </c>
    </row>
    <row r="252" spans="1:4" ht="13.2">
      <c r="A252" s="51" t="s">
        <v>1118</v>
      </c>
      <c r="B252" s="263" t="str">
        <f>HYPERLINK("http://codeforces.com/contest/340/problem/D","CF340-D2-D")</f>
        <v>CF340-D2-D</v>
      </c>
      <c r="C252" s="264"/>
      <c r="D252" s="262" t="s">
        <v>1294</v>
      </c>
    </row>
    <row r="253" spans="1:4" ht="13.2">
      <c r="A253" s="51"/>
      <c r="B253" s="263" t="str">
        <f>HYPERLINK("http://codeforces.com/contest/506/problem/A", "CF506-D1-A")</f>
        <v>CF506-D1-A</v>
      </c>
      <c r="C253" s="56"/>
      <c r="D253" s="262" t="s">
        <v>1295</v>
      </c>
    </row>
    <row r="254" spans="1:4" ht="13.2">
      <c r="A254" s="51" t="s">
        <v>416</v>
      </c>
      <c r="B254" s="263" t="str">
        <f>HYPERLINK("http://codeforces.com/contest/225/problem/C","CF225-D2-C")</f>
        <v>CF225-D2-C</v>
      </c>
      <c r="C254" s="56"/>
      <c r="D254" s="262" t="s">
        <v>1279</v>
      </c>
    </row>
    <row r="255" spans="1:4" ht="13.2">
      <c r="A255" s="51" t="s">
        <v>414</v>
      </c>
      <c r="B255" s="263" t="str">
        <f>HYPERLINK("http://codeforces.com/contest/699/problem/C","CF699-D2-C")</f>
        <v>CF699-D2-C</v>
      </c>
      <c r="C255" s="56"/>
      <c r="D255" s="262" t="s">
        <v>1279</v>
      </c>
    </row>
    <row r="256" spans="1:4" ht="13.2">
      <c r="A256" s="51" t="s">
        <v>1019</v>
      </c>
      <c r="B256" s="263" t="str">
        <f>HYPERLINK("http://codeforces.com/contest/270/problem/D","CF270-D2-D")</f>
        <v>CF270-D2-D</v>
      </c>
      <c r="C256" s="56"/>
      <c r="D256" s="262" t="s">
        <v>1296</v>
      </c>
    </row>
    <row r="257" spans="1:4" ht="13.2">
      <c r="A257" s="51" t="s">
        <v>800</v>
      </c>
      <c r="B257" s="263" t="str">
        <f>HYPERLINK("http://codeforces.com/contest/721/problem/C","CF721-D2-C")</f>
        <v>CF721-D2-C</v>
      </c>
      <c r="C257" s="56"/>
      <c r="D257" s="262" t="s">
        <v>1297</v>
      </c>
    </row>
    <row r="258" spans="1:4" ht="13.2">
      <c r="A258" s="51"/>
      <c r="B258" s="263" t="str">
        <f>HYPERLINK("http://codeforces.com/contest/264/problem/C","CF264-D1-C")</f>
        <v>CF264-D1-C</v>
      </c>
      <c r="C258" s="56"/>
      <c r="D258" s="262" t="s">
        <v>1298</v>
      </c>
    </row>
    <row r="259" spans="1:4" ht="13.2">
      <c r="A259" s="51" t="s">
        <v>1014</v>
      </c>
      <c r="B259" s="263" t="str">
        <f>HYPERLINK("http://codeforces.com/contest/284/problem/D","CF284-D2-D")</f>
        <v>CF284-D2-D</v>
      </c>
      <c r="C259" s="56"/>
      <c r="D259" s="262" t="s">
        <v>1299</v>
      </c>
    </row>
    <row r="260" spans="1:4" ht="13.2">
      <c r="A260" s="51"/>
      <c r="B260" s="263" t="str">
        <f>HYPERLINK("https://codeforces.com/contest/1066/problem/F","CF1066-D3-F")</f>
        <v>CF1066-D3-F</v>
      </c>
      <c r="C260" s="56"/>
      <c r="D260" s="262" t="s">
        <v>1300</v>
      </c>
    </row>
    <row r="261" spans="1:4" ht="13.2">
      <c r="A261" s="51" t="s">
        <v>617</v>
      </c>
      <c r="B261" s="263" t="str">
        <f>HYPERLINK("https://uva.onlinejudge.org/index.php?option=com_onlinejudge&amp;Itemid=8&amp;page=show_problem&amp;problem=284","UVA 348")</f>
        <v>UVA 348</v>
      </c>
      <c r="C261" s="56"/>
      <c r="D261" s="262" t="s">
        <v>1301</v>
      </c>
    </row>
    <row r="262" spans="1:4" ht="13.2">
      <c r="A262" s="51"/>
      <c r="B262" s="51" t="s">
        <v>862</v>
      </c>
      <c r="C262" s="56"/>
      <c r="D262" s="262" t="s">
        <v>1302</v>
      </c>
    </row>
    <row r="263" spans="1:4" ht="13.2">
      <c r="A263" s="51" t="s">
        <v>1143</v>
      </c>
      <c r="B263" s="263" t="str">
        <f>HYPERLINK("http://codeforces.com/contest/313/problem/D","CF313-D2-D")</f>
        <v>CF313-D2-D</v>
      </c>
      <c r="C263" s="264"/>
      <c r="D263" s="262" t="s">
        <v>1303</v>
      </c>
    </row>
    <row r="264" spans="1:4" ht="13.2">
      <c r="A264" s="51"/>
      <c r="B264" s="51" t="s">
        <v>1076</v>
      </c>
      <c r="C264" s="56"/>
      <c r="D264" s="262" t="s">
        <v>1304</v>
      </c>
    </row>
    <row r="265" spans="1:4" ht="13.2">
      <c r="A265" s="51" t="s">
        <v>1034</v>
      </c>
      <c r="B265" s="263" t="str">
        <f>HYPERLINK("http://codeforces.com/contest/149/problem/D","CF149-D2-D")</f>
        <v>CF149-D2-D</v>
      </c>
      <c r="C265" s="264"/>
      <c r="D265" s="262" t="s">
        <v>1305</v>
      </c>
    </row>
    <row r="266" spans="1:4" ht="13.2">
      <c r="A266" s="51"/>
      <c r="B266" s="263" t="str">
        <f>HYPERLINK("http://codeforces.com/contest/1012/problem/C","CF1012-D1-C")</f>
        <v>CF1012-D1-C</v>
      </c>
      <c r="C266" s="264"/>
      <c r="D266" s="262" t="s">
        <v>1298</v>
      </c>
    </row>
    <row r="267" spans="1:4" ht="13.2">
      <c r="A267" s="51"/>
      <c r="B267" s="263" t="str">
        <f>HYPERLINK("http://codeforces.com/contest/623/problem/B","CF623-D1-B")</f>
        <v>CF623-D1-B</v>
      </c>
      <c r="C267" s="56"/>
      <c r="D267" s="262" t="s">
        <v>1306</v>
      </c>
    </row>
    <row r="268" spans="1:4" ht="13.2">
      <c r="A268" s="51"/>
      <c r="B268" s="263" t="str">
        <f>HYPERLINK("http://codeforces.com/contest/1071/problem/B","CF1072-D2-D")</f>
        <v>CF1072-D2-D</v>
      </c>
      <c r="C268" s="56"/>
      <c r="D268" s="262" t="s">
        <v>1307</v>
      </c>
    </row>
    <row r="269" spans="1:4" ht="13.2">
      <c r="A269" s="51"/>
      <c r="B269" s="263" t="str">
        <f>HYPERLINK("http://codeforces.com/contest/1025/problem/D","CF1025-D2-D")</f>
        <v>CF1025-D2-D</v>
      </c>
      <c r="C269" s="56"/>
      <c r="D269" s="262" t="s">
        <v>1308</v>
      </c>
    </row>
    <row r="270" spans="1:4" ht="13.2">
      <c r="A270" s="51"/>
      <c r="B270" s="263" t="str">
        <f>HYPERLINK("https://www.facebook.com/hackercup/problem/180494849326631/","FbHkrCup 18-R1-A")</f>
        <v>FbHkrCup 18-R1-A</v>
      </c>
      <c r="C270" s="56"/>
      <c r="D270" s="262" t="s">
        <v>1309</v>
      </c>
    </row>
    <row r="271" spans="1:4" ht="13.2">
      <c r="A271" s="51" t="s">
        <v>931</v>
      </c>
      <c r="B271" s="263" t="str">
        <f>HYPERLINK("http://codeforces.com/contest/580/problem/D","CF580-D2-D")</f>
        <v>CF580-D2-D</v>
      </c>
      <c r="C271" s="56"/>
      <c r="D271" s="262" t="s">
        <v>1310</v>
      </c>
    </row>
    <row r="272" spans="1:4" ht="13.2">
      <c r="A272" s="51" t="s">
        <v>892</v>
      </c>
      <c r="B272" s="263" t="str">
        <f>HYPERLINK("http://www.spoj.com/problems/PERMUT1/","SPOJ PERMUT1")</f>
        <v>SPOJ PERMUT1</v>
      </c>
      <c r="C272" s="56"/>
      <c r="D272" s="262" t="s">
        <v>1310</v>
      </c>
    </row>
    <row r="273" spans="1:4" ht="13.2">
      <c r="A273" s="51" t="s">
        <v>932</v>
      </c>
      <c r="B273" s="263" t="str">
        <f>HYPERLINK("http://www.spoj.com/problems/ASSIGN/","SPOJ ASSIGN")</f>
        <v>SPOJ ASSIGN</v>
      </c>
      <c r="C273" s="56"/>
      <c r="D273" s="262" t="s">
        <v>1310</v>
      </c>
    </row>
    <row r="274" spans="1:4" ht="13.2">
      <c r="A274" s="51" t="s">
        <v>930</v>
      </c>
      <c r="B274" s="263" t="str">
        <f>HYPERLINK("https://uva.onlinejudge.org/index.php?option=com_onlinejudge&amp;Itemid=8&amp;page=show_problem&amp;problem=1592","UVA 10651")</f>
        <v>UVA 10651</v>
      </c>
      <c r="C274" s="56"/>
      <c r="D274" s="262" t="s">
        <v>1310</v>
      </c>
    </row>
    <row r="275" spans="1:4" ht="13.2">
      <c r="A275" s="51"/>
      <c r="B275" s="51" t="s">
        <v>901</v>
      </c>
      <c r="C275" s="56"/>
      <c r="D275" s="262" t="s">
        <v>1311</v>
      </c>
    </row>
    <row r="276" spans="1:4" ht="13.2">
      <c r="A276" s="51" t="s">
        <v>1164</v>
      </c>
      <c r="B276" s="51" t="s">
        <v>1165</v>
      </c>
      <c r="C276" s="264"/>
      <c r="D276" s="262" t="s">
        <v>1312</v>
      </c>
    </row>
    <row r="277" spans="1:4" ht="14.25" customHeight="1">
      <c r="A277" s="51" t="s">
        <v>1015</v>
      </c>
      <c r="B277" s="263" t="str">
        <f>HYPERLINK("http://codeforces.com/contest/431/problem/D","CF431-D2-D")</f>
        <v>CF431-D2-D</v>
      </c>
      <c r="C277" s="56"/>
      <c r="D277" s="262" t="s">
        <v>1313</v>
      </c>
    </row>
    <row r="278" spans="1:4" ht="13.2">
      <c r="A278" s="51" t="s">
        <v>1027</v>
      </c>
      <c r="B278" s="51" t="s">
        <v>1028</v>
      </c>
      <c r="C278" s="264"/>
      <c r="D278" s="262" t="s">
        <v>1314</v>
      </c>
    </row>
    <row r="279" spans="1:4" ht="13.2">
      <c r="A279" s="51" t="s">
        <v>762</v>
      </c>
      <c r="B279" s="263" t="str">
        <f>HYPERLINK("https://uva.onlinejudge.org/index.php?option=com_onlinejudge&amp;Itemid=8&amp;page=show_problem&amp;problem=698","UVA 757")</f>
        <v>UVA 757</v>
      </c>
      <c r="C279" s="56"/>
      <c r="D279" s="262" t="s">
        <v>1315</v>
      </c>
    </row>
    <row r="280" spans="1:4" ht="13.2">
      <c r="A280" s="51" t="s">
        <v>759</v>
      </c>
      <c r="B280" s="263" t="str">
        <f>HYPERLINK("https://uva.onlinejudge.org/index.php?option=com_onlinejudge&amp;Itemid=8&amp;page=show_problem&amp;problem=1394","UVA 10453")</f>
        <v>UVA 10453</v>
      </c>
      <c r="C280" s="56"/>
      <c r="D280" s="262" t="s">
        <v>1316</v>
      </c>
    </row>
    <row r="281" spans="1:4" ht="13.2">
      <c r="A281" s="51" t="s">
        <v>760</v>
      </c>
      <c r="B281" s="263" t="str">
        <f>HYPERLINK("https://uva.onlinejudge.org/index.php?option=com_onlinejudge&amp;Itemid=8&amp;page=show_problem&amp;problem=603","UVA 662")</f>
        <v>UVA 662</v>
      </c>
      <c r="C281" s="56"/>
      <c r="D281" s="262" t="s">
        <v>1315</v>
      </c>
    </row>
    <row r="282" spans="1:4" ht="13.2">
      <c r="A282" s="51" t="s">
        <v>761</v>
      </c>
      <c r="B282" s="263" t="str">
        <f>HYPERLINK("https://uva.onlinejudge.org/index.php?option=onlinejudge&amp;page=show_problem&amp;problem=2399","UVA 11404")</f>
        <v>UVA 11404</v>
      </c>
      <c r="C282" s="56"/>
      <c r="D282" s="262" t="s">
        <v>1315</v>
      </c>
    </row>
    <row r="283" spans="1:4" ht="13.2">
      <c r="A283" s="51" t="s">
        <v>758</v>
      </c>
      <c r="B283" s="263" t="str">
        <f>HYPERLINK("https://uva.onlinejudge.org/index.php?option=com_onlinejudge&amp;Itemid=8&amp;page=show_problem&amp;problem=52","UVA 116")</f>
        <v>UVA 116</v>
      </c>
      <c r="C283" s="56"/>
      <c r="D283" s="262" t="s">
        <v>1315</v>
      </c>
    </row>
    <row r="284" spans="1:4" ht="13.2">
      <c r="A284" s="51" t="s">
        <v>1317</v>
      </c>
      <c r="B284" s="263" t="str">
        <f>HYPERLINK("http://codeforces.com/contest/56/problem/D","CF56-D2-D")</f>
        <v>CF56-D2-D</v>
      </c>
      <c r="C284" s="56"/>
      <c r="D284" s="262" t="s">
        <v>1318</v>
      </c>
    </row>
    <row r="285" spans="1:4" ht="13.2">
      <c r="A285" s="51" t="s">
        <v>766</v>
      </c>
      <c r="B285" s="263" t="str">
        <f>HYPERLINK("http://codeforces.com/contest/118/problem/D","CF118-D2-D")</f>
        <v>CF118-D2-D</v>
      </c>
      <c r="C285" s="56"/>
      <c r="D285" s="262" t="s">
        <v>1319</v>
      </c>
    </row>
    <row r="286" spans="1:4" ht="13.2">
      <c r="A286" s="263" t="str">
        <f>HYPERLINK("https://community.topcoder.com/stat?c=problem_statement&amp;pm=4471&amp;rd=10711","UnsealTheSafe")</f>
        <v>UnsealTheSafe</v>
      </c>
      <c r="B286" s="51" t="s">
        <v>767</v>
      </c>
      <c r="C286" s="56"/>
      <c r="D286" s="262" t="s">
        <v>1319</v>
      </c>
    </row>
    <row r="287" spans="1:4" ht="13.2">
      <c r="A287" s="51" t="s">
        <v>765</v>
      </c>
      <c r="B287" s="263" t="str">
        <f>HYPERLINK("http://codeforces.com/contest/431/problem/C","CF431-D2-C")</f>
        <v>CF431-D2-C</v>
      </c>
      <c r="C287" s="56"/>
      <c r="D287" s="262" t="s">
        <v>1320</v>
      </c>
    </row>
    <row r="288" spans="1:4" ht="13.2">
      <c r="A288" s="263" t="str">
        <f>HYPERLINK("https://community.topcoder.com/stat?c=problem_statement&amp;pm=7601&amp;rd=10673","DiceGames")</f>
        <v>DiceGames</v>
      </c>
      <c r="B288" s="51" t="s">
        <v>768</v>
      </c>
      <c r="C288" s="56"/>
      <c r="D288" s="262" t="s">
        <v>1319</v>
      </c>
    </row>
    <row r="289" spans="1:4" ht="13.2">
      <c r="A289" s="51" t="s">
        <v>857</v>
      </c>
      <c r="B289" s="263" t="str">
        <f>HYPERLINK("http://codeforces.com/contest/474/problem/D","CF474-D2-D")</f>
        <v>CF474-D2-D</v>
      </c>
      <c r="C289" s="56"/>
      <c r="D289" s="262" t="s">
        <v>1319</v>
      </c>
    </row>
    <row r="290" spans="1:4" ht="13.2">
      <c r="A290" s="51"/>
      <c r="B290" s="51" t="s">
        <v>886</v>
      </c>
      <c r="C290" s="56"/>
      <c r="D290" s="262" t="s">
        <v>1321</v>
      </c>
    </row>
    <row r="291" spans="1:4" ht="13.2">
      <c r="A291" s="51"/>
      <c r="B291" s="51" t="s">
        <v>1192</v>
      </c>
      <c r="C291" s="56"/>
      <c r="D291" s="262" t="s">
        <v>1322</v>
      </c>
    </row>
    <row r="292" spans="1:4" ht="13.2">
      <c r="A292" s="51"/>
      <c r="B292" s="51" t="s">
        <v>1045</v>
      </c>
      <c r="C292" s="56"/>
      <c r="D292" s="262" t="s">
        <v>1323</v>
      </c>
    </row>
    <row r="293" spans="1:4" ht="13.2">
      <c r="A293" s="51" t="s">
        <v>993</v>
      </c>
      <c r="B293" s="263" t="str">
        <f>HYPERLINK("http://codeforces.com/contest/276/problem/D","CF276-D2-D")</f>
        <v>CF276-D2-D</v>
      </c>
      <c r="C293" s="264"/>
      <c r="D293" s="262" t="s">
        <v>1324</v>
      </c>
    </row>
    <row r="294" spans="1:4" ht="13.2">
      <c r="A294" s="51" t="s">
        <v>1090</v>
      </c>
      <c r="B294" s="263" t="str">
        <f>HYPERLINK("http://codeforces.com/contest/401/problem/D","CF401-D2-D")</f>
        <v>CF401-D2-D</v>
      </c>
      <c r="C294" s="264"/>
      <c r="D294" s="262" t="s">
        <v>1325</v>
      </c>
    </row>
    <row r="295" spans="1:4" ht="13.2">
      <c r="A295" s="51" t="s">
        <v>776</v>
      </c>
      <c r="B295" s="263" t="str">
        <f>HYPERLINK("http://codeforces.com/contest/160/problem/C","CF160-D2-C")</f>
        <v>CF160-D2-C</v>
      </c>
      <c r="C295" s="56"/>
      <c r="D295" s="262" t="s">
        <v>1326</v>
      </c>
    </row>
    <row r="296" spans="1:4" ht="13.2">
      <c r="A296" s="263" t="str">
        <f>HYPERLINK("https://community.topcoder.com/stat?c=problem_statement&amp;pm=3491&amp;rd=6517","BagsOfGold")</f>
        <v>BagsOfGold</v>
      </c>
      <c r="B296" s="51" t="s">
        <v>984</v>
      </c>
      <c r="C296" s="56"/>
      <c r="D296" s="262" t="s">
        <v>1327</v>
      </c>
    </row>
    <row r="297" spans="1:4" ht="13.2">
      <c r="A297" s="51" t="s">
        <v>981</v>
      </c>
      <c r="B297" s="263" t="str">
        <f>HYPERLINK("https://uva.onlinejudge.org/index.php?option=com_onlinejudge&amp;Itemid=8&amp;page=show_problem&amp;problem=1345","UVA 10404")</f>
        <v>UVA 10404</v>
      </c>
      <c r="C297" s="56"/>
      <c r="D297" s="262" t="s">
        <v>1328</v>
      </c>
    </row>
    <row r="298" spans="1:4" ht="13.2">
      <c r="A298" s="263" t="str">
        <f>HYPERLINK("https://community.topcoder.com/stat?c=problem_statement&amp;pm=11566&amp;rd=14547","RowAndCoins")</f>
        <v>RowAndCoins</v>
      </c>
      <c r="B298" s="51" t="s">
        <v>983</v>
      </c>
      <c r="C298" s="56"/>
      <c r="D298" s="262" t="s">
        <v>1329</v>
      </c>
    </row>
    <row r="299" spans="1:4" ht="13.2">
      <c r="A299" s="51"/>
      <c r="B299" s="263" t="str">
        <f>HYPERLINK("https://codeforces.com/contest/1033/problem/C","CF1033-D12-C")</f>
        <v>CF1033-D12-C</v>
      </c>
      <c r="C299" s="56"/>
      <c r="D299" s="262" t="s">
        <v>1330</v>
      </c>
    </row>
    <row r="300" spans="1:4" ht="13.2">
      <c r="A300" s="263" t="str">
        <f>HYPERLINK("https://community.topcoder.com/stat?c=problem_statement&amp;pm=11791&amp;rd=14727","EllysCheckers")</f>
        <v>EllysCheckers</v>
      </c>
      <c r="B300" s="51" t="s">
        <v>982</v>
      </c>
      <c r="C300" s="56"/>
      <c r="D300" s="262" t="s">
        <v>1331</v>
      </c>
    </row>
    <row r="301" spans="1:4" ht="13.2">
      <c r="A301" s="51" t="s">
        <v>985</v>
      </c>
      <c r="B301" s="263" t="str">
        <f>HYPERLINK("http://codeforces.com/contest/148/problem/D","CF148-D2-D")</f>
        <v>CF148-D2-D</v>
      </c>
      <c r="C301" s="56"/>
      <c r="D301" s="262" t="s">
        <v>1332</v>
      </c>
    </row>
    <row r="302" spans="1:4" ht="13.2">
      <c r="A302" s="51" t="s">
        <v>1186</v>
      </c>
      <c r="B302" s="263" t="str">
        <f>HYPERLINK("https://uva.onlinejudge.org/index.php?option=com_onlinejudge&amp;Itemid=8&amp;page=show_problem&amp;problem=1519","UVA 10578")</f>
        <v>UVA 10578</v>
      </c>
      <c r="C302" s="264"/>
      <c r="D302" s="262" t="s">
        <v>1328</v>
      </c>
    </row>
    <row r="303" spans="1:4" ht="13.2">
      <c r="A303" s="51" t="s">
        <v>1099</v>
      </c>
      <c r="B303" s="263" t="str">
        <f>HYPERLINK("https://uva.onlinejudge.org/index.php?option=com_onlinejudge&amp;Itemid=8&amp;page=show_problem&amp;problem=1052","UVA 10111")</f>
        <v>UVA 10111</v>
      </c>
      <c r="C303" s="264"/>
      <c r="D303" s="262" t="s">
        <v>1333</v>
      </c>
    </row>
    <row r="304" spans="1:4" ht="13.2">
      <c r="A304" s="51" t="s">
        <v>917</v>
      </c>
      <c r="B304" s="263" t="str">
        <f>HYPERLINK("https://uva.onlinejudge.org/index.php?option=com_onlinejudge&amp;Itemid=8&amp;page=show_problem&amp;problem=3888","UVA 12457")</f>
        <v>UVA 12457</v>
      </c>
      <c r="C304" s="264"/>
      <c r="D304" s="262" t="s">
        <v>1334</v>
      </c>
    </row>
    <row r="305" spans="1:4" ht="13.2">
      <c r="A305" s="51" t="s">
        <v>969</v>
      </c>
      <c r="B305" s="263" t="str">
        <f>HYPERLINK("http://codeforces.com/contest/54/problem/C","CF54-D12-C")</f>
        <v>CF54-D12-C</v>
      </c>
      <c r="C305" s="56"/>
      <c r="D305" s="262" t="s">
        <v>1335</v>
      </c>
    </row>
    <row r="306" spans="1:4" ht="13.2">
      <c r="A306" s="51" t="s">
        <v>915</v>
      </c>
      <c r="B306" s="263" t="str">
        <f>HYPERLINK("https://uva.onlinejudge.org/index.php?option=onlinejudge&amp;page=show_problem&amp;problem=483","UVA 542")</f>
        <v>UVA 542</v>
      </c>
      <c r="C306" s="264"/>
      <c r="D306" s="262" t="s">
        <v>1336</v>
      </c>
    </row>
    <row r="307" spans="1:4" ht="13.2">
      <c r="A307" s="51" t="s">
        <v>1026</v>
      </c>
      <c r="B307" s="263" t="str">
        <f>HYPERLINK("http://codeforces.com/contest/540/problem/D","CF540-D2-D")</f>
        <v>CF540-D2-D</v>
      </c>
      <c r="C307" s="56"/>
      <c r="D307" s="262" t="s">
        <v>1335</v>
      </c>
    </row>
    <row r="308" spans="1:4" ht="13.2">
      <c r="A308" s="263" t="str">
        <f>HYPERLINK("https://community.topcoder.com/stat?c=problem_statement&amp;pm=7422&amp;rd=10663","TestBettingStrategy")</f>
        <v>TestBettingStrategy</v>
      </c>
      <c r="B308" s="51" t="s">
        <v>913</v>
      </c>
      <c r="C308" s="56"/>
      <c r="D308" s="262" t="s">
        <v>1335</v>
      </c>
    </row>
    <row r="309" spans="1:4" ht="13.2">
      <c r="A309" s="51" t="s">
        <v>912</v>
      </c>
      <c r="B309" s="263" t="str">
        <f>HYPERLINK("https://uva.onlinejudge.org/index.php?option=com_onlinejudge&amp;Itemid=8&amp;page=show_problem&amp;problem=1700","UVA 10759")</f>
        <v>UVA 10759</v>
      </c>
      <c r="C309" s="56"/>
      <c r="D309" s="262" t="s">
        <v>1337</v>
      </c>
    </row>
    <row r="310" spans="1:4" ht="13.2">
      <c r="A310" s="51" t="s">
        <v>1147</v>
      </c>
      <c r="B310" s="263" t="str">
        <f>HYPERLINK("http://codeforces.com/contest/168/problem/D","CF168-D2-D")</f>
        <v>CF168-D2-D</v>
      </c>
      <c r="C310" s="264"/>
      <c r="D310" s="262" t="s">
        <v>1335</v>
      </c>
    </row>
    <row r="311" spans="1:4" ht="13.2">
      <c r="A311" s="51"/>
      <c r="B311" s="263" t="str">
        <f>HYPERLINK("http://codeforces.com/contest/28/problem/C","CF28-D12-C")</f>
        <v>CF28-D12-C</v>
      </c>
      <c r="C311" s="264"/>
      <c r="D311" s="262" t="s">
        <v>1338</v>
      </c>
    </row>
    <row r="312" spans="1:4" ht="13.2">
      <c r="A312" s="51" t="s">
        <v>1100</v>
      </c>
      <c r="B312" s="263" t="str">
        <f>HYPERLINK("http://poj.org/problem?id=2151","PKU 2151")</f>
        <v>PKU 2151</v>
      </c>
      <c r="C312" s="264"/>
      <c r="D312" s="262" t="s">
        <v>1335</v>
      </c>
    </row>
    <row r="313" spans="1:4" ht="13.2">
      <c r="A313" s="51"/>
      <c r="B313" s="263" t="str">
        <f>HYPERLINK("http://codeforces.com/contest/16/problem/E","CF16-D2-E")</f>
        <v>CF16-D2-E</v>
      </c>
      <c r="C313" s="56"/>
      <c r="D313" s="262" t="s">
        <v>1339</v>
      </c>
    </row>
    <row r="314" spans="1:4" ht="13.2">
      <c r="A314" s="51" t="s">
        <v>655</v>
      </c>
      <c r="B314" s="263" t="str">
        <f>HYPERLINK("https://uva.onlinejudge.org/index.php?option=com_onlinejudge&amp;Itemid=8&amp;page=show_problem&amp;problem=1159","UVA 10218")</f>
        <v>UVA 10218</v>
      </c>
      <c r="C314" s="56"/>
      <c r="D314" s="262" t="s">
        <v>1340</v>
      </c>
    </row>
    <row r="315" spans="1:4" ht="13.2">
      <c r="A315" s="51" t="s">
        <v>916</v>
      </c>
      <c r="B315" s="263" t="str">
        <f>HYPERLINK("https://uva.onlinejudge.org/index.php?option=com_onlinejudge&amp;Itemid=8&amp;page=show_problem&amp;problem=1962","UVA 11021")</f>
        <v>UVA 11021</v>
      </c>
      <c r="C315" s="56"/>
      <c r="D315" s="262" t="s">
        <v>1341</v>
      </c>
    </row>
    <row r="316" spans="1:4" ht="13.2">
      <c r="A316" s="51" t="s">
        <v>914</v>
      </c>
      <c r="B316" s="263" t="str">
        <f>HYPERLINK("http://poj.org/problem?id=2096","PKU 2096")</f>
        <v>PKU 2096</v>
      </c>
      <c r="C316" s="264"/>
      <c r="D316" s="262" t="s">
        <v>1342</v>
      </c>
    </row>
    <row r="317" spans="1:4" ht="13.2">
      <c r="A317" s="51" t="s">
        <v>1105</v>
      </c>
      <c r="B317" s="263" t="str">
        <f>HYPERLINK("https://uva.onlinejudge.org/index.php?option=com_onlinejudge&amp;Itemid=8&amp;page=show_problem&amp;problem=2117","UVA 11176")</f>
        <v>UVA 11176</v>
      </c>
      <c r="C317" s="264"/>
      <c r="D317" s="262" t="s">
        <v>1335</v>
      </c>
    </row>
    <row r="318" spans="1:4" ht="13.2">
      <c r="A318" s="51" t="s">
        <v>613</v>
      </c>
      <c r="B318" s="263" t="str">
        <f>HYPERLINK("https://uva.onlinejudge.org/index.php?option=com_onlinejudge&amp;Itemid=8&amp;page=show_problem&amp;problem=2853","UVA 11753")</f>
        <v>UVA 11753</v>
      </c>
      <c r="C318" s="56"/>
      <c r="D318" s="262" t="s">
        <v>1343</v>
      </c>
    </row>
    <row r="319" spans="1:4" ht="13.2">
      <c r="A319" s="51"/>
      <c r="B319" s="263" t="str">
        <f>HYPERLINK("http://codeforces.com/gym/101294/problem/I","CF101294-GYM-I")</f>
        <v>CF101294-GYM-I</v>
      </c>
      <c r="C319" s="56"/>
      <c r="D319" s="262" t="s">
        <v>1344</v>
      </c>
    </row>
    <row r="320" spans="1:4" ht="13.2">
      <c r="A320" s="51"/>
      <c r="B320" s="51" t="s">
        <v>881</v>
      </c>
      <c r="C320" s="56"/>
      <c r="D320" s="262" t="s">
        <v>1345</v>
      </c>
    </row>
    <row r="321" spans="1:4" ht="13.2">
      <c r="A321" s="51"/>
      <c r="B321" s="51" t="s">
        <v>602</v>
      </c>
      <c r="C321" s="56"/>
      <c r="D321" s="262" t="s">
        <v>1346</v>
      </c>
    </row>
    <row r="322" spans="1:4" ht="13.2">
      <c r="A322" s="263" t="str">
        <f>HYPERLINK("https://community.topcoder.com/stat?c=problem_statement&amp;pm=1331&amp;rd=4550","MessageMess")</f>
        <v>MessageMess</v>
      </c>
      <c r="B322" s="51" t="s">
        <v>601</v>
      </c>
      <c r="C322" s="56"/>
      <c r="D322" s="262" t="s">
        <v>1347</v>
      </c>
    </row>
    <row r="323" spans="1:4" ht="13.2">
      <c r="A323" s="51"/>
      <c r="B323" s="51" t="s">
        <v>1047</v>
      </c>
      <c r="C323" s="56"/>
      <c r="D323" s="262" t="s">
        <v>1346</v>
      </c>
    </row>
    <row r="324" spans="1:4" ht="13.2">
      <c r="A324" s="51"/>
      <c r="B324" s="51" t="s">
        <v>1074</v>
      </c>
      <c r="C324" s="56"/>
      <c r="D324" s="262" t="s">
        <v>1348</v>
      </c>
    </row>
    <row r="325" spans="1:4" ht="13.2">
      <c r="A325" s="51" t="s">
        <v>615</v>
      </c>
      <c r="B325" s="263" t="str">
        <f>HYPERLINK("https://uva.onlinejudge.org/index.php?option=com_onlinejudge&amp;Itemid=8&amp;page=show_problem&amp;problem=4108","UVA 1362")</f>
        <v>UVA 1362</v>
      </c>
      <c r="C325" s="56"/>
      <c r="D325" s="262" t="s">
        <v>1344</v>
      </c>
    </row>
    <row r="326" spans="1:4" ht="13.2">
      <c r="A326" s="51" t="s">
        <v>1024</v>
      </c>
      <c r="B326" s="263" t="str">
        <f>HYPERLINK("https://uva.onlinejudge.org/index.php?option=com_onlinejudge&amp;Itemid=8&amp;page=show_problem&amp;problem=4501","UVA 1626")</f>
        <v>UVA 1626</v>
      </c>
      <c r="C326" s="264"/>
      <c r="D326" s="262" t="s">
        <v>1344</v>
      </c>
    </row>
    <row r="327" spans="1:4" ht="13.2">
      <c r="A327" s="51"/>
      <c r="B327" s="51" t="s">
        <v>1193</v>
      </c>
      <c r="C327" s="56"/>
      <c r="D327" s="262" t="s">
        <v>1349</v>
      </c>
    </row>
    <row r="328" spans="1:4" ht="13.2">
      <c r="A328" s="51"/>
      <c r="B328" s="263" t="str">
        <f>HYPERLINK("https://uva.onlinejudge.org/index.php?option=onlinejudge&amp;page=show_problem&amp;problem=448","UVA 507")</f>
        <v>UVA 507</v>
      </c>
      <c r="C328" s="56"/>
      <c r="D328" s="262" t="s">
        <v>1350</v>
      </c>
    </row>
    <row r="329" spans="1:4" ht="13.2">
      <c r="A329" s="51"/>
      <c r="B329" s="263" t="str">
        <f>HYPERLINK("https://uva.onlinejudge.org/index.php?option=com_onlinejudge&amp;Itemid=8&amp;page=show_problem&amp;problem=1608","UVA 10667")</f>
        <v>UVA 10667</v>
      </c>
      <c r="C329" s="56"/>
      <c r="D329" s="262" t="s">
        <v>1351</v>
      </c>
    </row>
    <row r="330" spans="1:4" ht="13.2">
      <c r="A330" s="51" t="s">
        <v>995</v>
      </c>
      <c r="B330" s="263" t="str">
        <f>HYPERLINK("http://codeforces.com/contest/75/problem/D","CF75-D2-D")</f>
        <v>CF75-D2-D</v>
      </c>
      <c r="C330" s="56"/>
      <c r="D330" s="262" t="s">
        <v>1352</v>
      </c>
    </row>
    <row r="331" spans="1:4" ht="13.2">
      <c r="A331" s="51"/>
      <c r="B331" s="51" t="s">
        <v>1112</v>
      </c>
      <c r="C331" s="264"/>
      <c r="D331" s="262" t="s">
        <v>1353</v>
      </c>
    </row>
    <row r="332" spans="1:4" ht="13.2">
      <c r="A332" s="51" t="s">
        <v>910</v>
      </c>
      <c r="B332" s="263" t="str">
        <f>HYPERLINK("http://codeforces.com/contest/667/problem/C","CF667-D2-C")</f>
        <v>CF667-D2-C</v>
      </c>
      <c r="C332" s="56"/>
      <c r="D332" s="262" t="s">
        <v>1354</v>
      </c>
    </row>
    <row r="333" spans="1:4" ht="13.2">
      <c r="A333" s="51" t="s">
        <v>1114</v>
      </c>
      <c r="B333" s="263" t="str">
        <f>HYPERLINK("http://codeforces.com/contest/478/problem/D","CF478-D2-D")</f>
        <v>CF478-D2-D</v>
      </c>
      <c r="C333" s="264"/>
      <c r="D333" s="262" t="s">
        <v>1355</v>
      </c>
    </row>
    <row r="334" spans="1:4" ht="13.2">
      <c r="A334" s="51" t="s">
        <v>1081</v>
      </c>
      <c r="B334" s="263" t="str">
        <f>HYPERLINK("http://codeforces.com/contest/418/problem/B","CF418-D1-B")</f>
        <v>CF418-D1-B</v>
      </c>
      <c r="C334" s="56"/>
      <c r="D334" s="262" t="s">
        <v>1356</v>
      </c>
    </row>
    <row r="335" spans="1:4" ht="13.2">
      <c r="A335" s="51"/>
      <c r="B335" s="51" t="s">
        <v>1120</v>
      </c>
      <c r="C335" s="264"/>
      <c r="D335" s="262" t="s">
        <v>1357</v>
      </c>
    </row>
    <row r="336" spans="1:4" ht="13.2">
      <c r="A336" s="51" t="s">
        <v>906</v>
      </c>
      <c r="B336" s="263" t="str">
        <f>HYPERLINK("http://codeforces.com/contest/814/problem/D","CF814-D2-D")</f>
        <v>CF814-D2-D</v>
      </c>
      <c r="C336" s="56"/>
      <c r="D336" s="262" t="s">
        <v>1358</v>
      </c>
    </row>
    <row r="337" spans="1:4" ht="13.2">
      <c r="A337" s="51"/>
      <c r="B337" s="263" t="str">
        <f>HYPERLINK("http://codeforces.com/contest/161/problem/D","CF161-D12-D")</f>
        <v>CF161-D12-D</v>
      </c>
      <c r="C337" s="56"/>
      <c r="D337" s="262" t="s">
        <v>1359</v>
      </c>
    </row>
    <row r="338" spans="1:4" ht="13.2">
      <c r="A338" s="51" t="s">
        <v>968</v>
      </c>
      <c r="B338" s="263" t="str">
        <f>HYPERLINK("http://www.spoj.com/problems/PT07X/","SPOJ PT07X")</f>
        <v>SPOJ PT07X</v>
      </c>
      <c r="C338" s="56"/>
      <c r="D338" s="262" t="s">
        <v>1360</v>
      </c>
    </row>
    <row r="339" spans="1:4" ht="13.2">
      <c r="A339" s="51"/>
      <c r="B339" s="263" t="str">
        <f>HYPERLINK("http://codeforces.com/contest/337/problem/D","CF337-D2-D")</f>
        <v>CF337-D2-D</v>
      </c>
      <c r="C339" s="264"/>
      <c r="D339" s="262" t="s">
        <v>1361</v>
      </c>
    </row>
    <row r="340" spans="1:4" ht="13.2">
      <c r="A340" s="51" t="s">
        <v>942</v>
      </c>
      <c r="B340" s="263" t="str">
        <f>HYPERLINK("http://codeforces.com/contest/743/problem/D","CF743-D2-D")</f>
        <v>CF743-D2-D</v>
      </c>
      <c r="C340" s="56"/>
      <c r="D340" s="262" t="s">
        <v>1360</v>
      </c>
    </row>
    <row r="341" spans="1:4" ht="13.2">
      <c r="A341" s="51"/>
      <c r="B341" s="51" t="s">
        <v>1138</v>
      </c>
      <c r="C341" s="264"/>
      <c r="D341" s="262" t="s">
        <v>1362</v>
      </c>
    </row>
    <row r="342" spans="1:4" ht="13.2">
      <c r="A342" s="51"/>
      <c r="B342" s="51" t="s">
        <v>1168</v>
      </c>
      <c r="C342" s="56"/>
      <c r="D342" s="262" t="s">
        <v>1363</v>
      </c>
    </row>
    <row r="343" spans="1:4" ht="13.2">
      <c r="A343" s="51" t="s">
        <v>611</v>
      </c>
      <c r="B343" s="263" t="str">
        <f>HYPERLINK("http://codeforces.com/contest/257/problem/B","CF257-D2-B")</f>
        <v>CF257-D2-B</v>
      </c>
      <c r="C343" s="56"/>
      <c r="D343" s="262" t="s">
        <v>1364</v>
      </c>
    </row>
    <row r="344" spans="1:4" ht="13.2">
      <c r="A344" s="51" t="s">
        <v>711</v>
      </c>
      <c r="B344" s="263" t="str">
        <f>HYPERLINK("https://uva.onlinejudge.org/index.php?option=onlinejudge&amp;page=show_problem&amp;problem=1309","UVA 10368")</f>
        <v>UVA 10368</v>
      </c>
      <c r="C344" s="56"/>
      <c r="D344" s="262" t="s">
        <v>1365</v>
      </c>
    </row>
    <row r="345" spans="1:4" ht="13.2">
      <c r="A345" s="51"/>
      <c r="B345" s="81" t="str">
        <f>HYPERLINK("https://codeforces.com/contest/1220/problem/C","CF1220-D12-C")</f>
        <v>CF1220-D12-C</v>
      </c>
      <c r="C345" s="56"/>
      <c r="D345" s="262" t="s">
        <v>1366</v>
      </c>
    </row>
    <row r="346" spans="1:4" ht="13.2">
      <c r="A346" s="51" t="s">
        <v>722</v>
      </c>
      <c r="B346" s="263" t="str">
        <f>HYPERLINK("http://codeforces.com/contest/347/problem/C","CF347-D2-C")</f>
        <v>CF347-D2-C</v>
      </c>
      <c r="C346" s="56"/>
      <c r="D346" s="262" t="s">
        <v>1367</v>
      </c>
    </row>
    <row r="347" spans="1:4" ht="13.2">
      <c r="A347" s="51" t="s">
        <v>710</v>
      </c>
      <c r="B347" s="263" t="str">
        <f>HYPERLINK("http://codeforces.com/contest/151/problem/C","CF151-D2-C")</f>
        <v>CF151-D2-C</v>
      </c>
      <c r="C347" s="56"/>
      <c r="D347" s="262" t="s">
        <v>1368</v>
      </c>
    </row>
    <row r="348" spans="1:4" ht="13.2">
      <c r="A348" s="51" t="s">
        <v>418</v>
      </c>
      <c r="B348" s="263" t="str">
        <f>HYPERLINK("https://uva.onlinejudge.org/index.php?option=onlinejudge&amp;page=show_problem&amp;problem=1806","UVA 10865")</f>
        <v>UVA 10865</v>
      </c>
      <c r="C348" s="56"/>
      <c r="D348" s="262" t="s">
        <v>1369</v>
      </c>
    </row>
    <row r="349" spans="1:4" ht="13.2">
      <c r="A349" s="51"/>
      <c r="B349" s="51" t="s">
        <v>747</v>
      </c>
      <c r="C349" s="56"/>
      <c r="D349" s="262" t="s">
        <v>1370</v>
      </c>
    </row>
    <row r="350" spans="1:4" ht="13.2">
      <c r="A350" s="51" t="s">
        <v>224</v>
      </c>
      <c r="B350" s="263" t="str">
        <f>HYPERLINK("https://uva.onlinejudge.org/index.php?option=onlinejudge&amp;page=show_problem&amp;problem=417","UVA 476")</f>
        <v>UVA 476</v>
      </c>
      <c r="C350" s="76"/>
      <c r="D350" s="262" t="s">
        <v>1369</v>
      </c>
    </row>
    <row r="351" spans="1:4" ht="13.2">
      <c r="A351" s="51" t="s">
        <v>791</v>
      </c>
      <c r="B351" s="263" t="str">
        <f>HYPERLINK("http://codeforces.com/contest/617/problem/C","CF617-D2-C")</f>
        <v>CF617-D2-C</v>
      </c>
      <c r="C351" s="56"/>
      <c r="D351" s="262" t="s">
        <v>1371</v>
      </c>
    </row>
    <row r="352" spans="1:4" ht="13.2">
      <c r="A352" s="51" t="s">
        <v>227</v>
      </c>
      <c r="B352" s="263" t="str">
        <f>HYPERLINK("http://codeforces.com/contest/667/problem/A","CF667-D2-A")</f>
        <v>CF667-D2-A</v>
      </c>
      <c r="C352" s="56"/>
      <c r="D352" s="262" t="s">
        <v>1372</v>
      </c>
    </row>
    <row r="353" spans="1:4" ht="13.2">
      <c r="A353" s="51" t="s">
        <v>228</v>
      </c>
      <c r="B353" s="263" t="str">
        <f>HYPERLINK("https://uva.onlinejudge.org/index.php?option=onlinejudge&amp;page=show_problem&amp;problem=1183","UVA 10242")</f>
        <v>UVA 10242</v>
      </c>
      <c r="C353" s="76"/>
      <c r="D353" s="262" t="s">
        <v>1373</v>
      </c>
    </row>
    <row r="354" spans="1:4" ht="13.2">
      <c r="A354" s="51" t="s">
        <v>801</v>
      </c>
      <c r="B354" s="263" t="str">
        <f>HYPERLINK("http://codeforces.com/contest/474/problem/C","CF474-D2-C")</f>
        <v>CF474-D2-C</v>
      </c>
      <c r="C354" s="56"/>
      <c r="D354" s="262" t="s">
        <v>1374</v>
      </c>
    </row>
    <row r="355" spans="1:4" ht="13.2">
      <c r="A355" s="51" t="s">
        <v>225</v>
      </c>
      <c r="B355" s="263" t="str">
        <f>HYPERLINK("https://uva.onlinejudge.org/index.php?option=onlinejudge&amp;page=show_problem&amp;problem=401","UVA 460")</f>
        <v>UVA 460</v>
      </c>
      <c r="C355" s="76"/>
      <c r="D355" s="262" t="s">
        <v>1369</v>
      </c>
    </row>
    <row r="356" spans="1:4" ht="13.2">
      <c r="A356" s="51" t="s">
        <v>1050</v>
      </c>
      <c r="B356" s="263" t="str">
        <f>HYPERLINK("https://www.hackerrank.com/challenges/xrange-and-pizza","HACKR xrange-and-pizza")</f>
        <v>HACKR xrange-and-pizza</v>
      </c>
      <c r="C356" s="264"/>
      <c r="D356" s="262" t="s">
        <v>1375</v>
      </c>
    </row>
    <row r="357" spans="1:4" ht="13.2">
      <c r="A357" s="51"/>
      <c r="B357" s="263" t="str">
        <f>HYPERLINK("https://www.hackerrank.com/challenges/a-circle-and-a-square","HACKR a-circle-and-a-square")</f>
        <v>HACKR a-circle-and-a-square</v>
      </c>
      <c r="C357" s="56"/>
      <c r="D357" s="262" t="s">
        <v>1376</v>
      </c>
    </row>
    <row r="358" spans="1:4" ht="13.2">
      <c r="A358" s="51"/>
      <c r="B358" s="51" t="s">
        <v>770</v>
      </c>
      <c r="C358" s="56"/>
      <c r="D358" s="262" t="s">
        <v>1377</v>
      </c>
    </row>
    <row r="359" spans="1:4" ht="13.2">
      <c r="A359" s="51" t="s">
        <v>608</v>
      </c>
      <c r="B359" s="263" t="str">
        <f>HYPERLINK("http://codeforces.com/contest/275/problem/C","CF275-D2-C")</f>
        <v>CF275-D2-C</v>
      </c>
      <c r="C359" s="56"/>
      <c r="D359" s="262" t="s">
        <v>1369</v>
      </c>
    </row>
    <row r="360" spans="1:4" ht="13.2">
      <c r="A360" s="51" t="s">
        <v>592</v>
      </c>
      <c r="B360" s="263" t="str">
        <f>HYPERLINK("http://codeforces.com/contest/560/problem/C","CF560-D2-C")</f>
        <v>CF560-D2-C</v>
      </c>
      <c r="C360" s="56"/>
      <c r="D360" s="262" t="s">
        <v>1369</v>
      </c>
    </row>
    <row r="361" spans="1:4" ht="13.2">
      <c r="A361" s="51" t="s">
        <v>756</v>
      </c>
      <c r="B361" s="263" t="str">
        <f>HYPERLINK("http://codeforces.com/contest/257/problem/C","CF257-D2-C")</f>
        <v>CF257-D2-C</v>
      </c>
      <c r="C361" s="56"/>
      <c r="D361" s="262" t="s">
        <v>1378</v>
      </c>
    </row>
    <row r="362" spans="1:4" ht="13.2">
      <c r="A362" s="51" t="s">
        <v>555</v>
      </c>
      <c r="B362" s="263" t="str">
        <f>HYPERLINK("http://codeforces.com/contest/651/problem/C","CF651-D2-C")</f>
        <v>CF651-D2-C</v>
      </c>
      <c r="C362" s="56"/>
      <c r="D362" s="262" t="s">
        <v>1379</v>
      </c>
    </row>
    <row r="363" spans="1:4" ht="13.2">
      <c r="A363" s="51" t="s">
        <v>1018</v>
      </c>
      <c r="B363" s="263" t="str">
        <f>HYPERLINK("http://codeforces.com/contest/659/problem/D","CF659-D2-D")</f>
        <v>CF659-D2-D</v>
      </c>
      <c r="C363" s="56"/>
      <c r="D363" s="262" t="s">
        <v>1380</v>
      </c>
    </row>
    <row r="364" spans="1:4" ht="13.2">
      <c r="A364" s="51" t="s">
        <v>712</v>
      </c>
      <c r="B364" s="263" t="str">
        <f>HYPERLINK("http://www.spoj.com/problems/PIR/","SPOJ PIR")</f>
        <v>SPOJ PIR</v>
      </c>
      <c r="C364" s="56"/>
      <c r="D364" s="262" t="s">
        <v>1381</v>
      </c>
    </row>
    <row r="365" spans="1:4" ht="13.2">
      <c r="A365" s="51" t="s">
        <v>591</v>
      </c>
      <c r="B365" s="263" t="str">
        <f>HYPERLINK("http://codeforces.com/contest/707/problem/C","CF707-D2-C")</f>
        <v>CF707-D2-C</v>
      </c>
      <c r="C365" s="56"/>
      <c r="D365" s="265" t="s">
        <v>1382</v>
      </c>
    </row>
    <row r="366" spans="1:4" ht="13.2">
      <c r="A366" s="51"/>
      <c r="B366" s="263" t="str">
        <f>HYPERLINK("https://www.spoj.com/problems/BILLIARD/","SPOJ BILLIARD")</f>
        <v>SPOJ BILLIARD</v>
      </c>
      <c r="C366" s="266"/>
      <c r="D366" s="262" t="s">
        <v>1383</v>
      </c>
    </row>
    <row r="367" spans="1:4" ht="13.2">
      <c r="A367" s="51" t="s">
        <v>928</v>
      </c>
      <c r="B367" s="263" t="str">
        <f>HYPERLINK("http://codeforces.com/contest/342/problem/C","CF342-D2-C")</f>
        <v>CF342-D2-C</v>
      </c>
      <c r="C367" s="56"/>
      <c r="D367" s="262" t="s">
        <v>1369</v>
      </c>
    </row>
    <row r="368" spans="1:4" ht="13.2">
      <c r="A368" s="51"/>
      <c r="B368" s="263" t="str">
        <f>HYPERLINK("https://codeforces.com/contest/1064/problem/E","CF1064-D2-E")</f>
        <v>CF1064-D2-E</v>
      </c>
      <c r="C368" s="56"/>
      <c r="D368" s="262" t="s">
        <v>1384</v>
      </c>
    </row>
    <row r="369" spans="1:4" ht="13.2">
      <c r="A369" s="51"/>
      <c r="B369" s="263" t="str">
        <f>HYPERLINK("http://codeforces.com/problemset/problem/961/D","CF961-D12-D")</f>
        <v>CF961-D12-D</v>
      </c>
      <c r="C369" s="56"/>
      <c r="D369" s="262" t="s">
        <v>1369</v>
      </c>
    </row>
    <row r="370" spans="1:4" ht="13.2">
      <c r="A370" s="51"/>
      <c r="B370" s="263" t="str">
        <f>HYPERLINK("https://codeforces.com/gym/101917/problem/E", "CF101917-D12-E")</f>
        <v>CF101917-D12-E</v>
      </c>
      <c r="C370" s="56"/>
      <c r="D370" s="262" t="s">
        <v>1385</v>
      </c>
    </row>
    <row r="371" spans="1:4" ht="13.2">
      <c r="A371" s="51"/>
      <c r="B371" s="263" t="str">
        <f>HYPERLINK("http://codeforces.com/contest/552/problem/D","CF552-D2-D")</f>
        <v>CF552-D2-D</v>
      </c>
      <c r="C371" s="56"/>
      <c r="D371" s="262" t="s">
        <v>1386</v>
      </c>
    </row>
    <row r="372" spans="1:4" ht="13.2">
      <c r="A372" s="51"/>
      <c r="B372" s="263" t="str">
        <f>HYPERLINK("https://github.com/racsosabe/CompetitiveProgramming/blob/master/CodeForces/CF1016-D2-E.cpp","CF1016-D2-E")</f>
        <v>CF1016-D2-E</v>
      </c>
      <c r="C372" s="56"/>
      <c r="D372" s="262" t="s">
        <v>1387</v>
      </c>
    </row>
    <row r="373" spans="1:4" ht="13.2">
      <c r="A373" s="51"/>
      <c r="B373" s="263" t="str">
        <f>HYPERLINK("http://codeforces.com/contest/1058/problem/D","CF1058-D2-D")</f>
        <v>CF1058-D2-D</v>
      </c>
      <c r="C373" s="56"/>
      <c r="D373" s="262" t="s">
        <v>1388</v>
      </c>
    </row>
    <row r="374" spans="1:4" ht="13.2">
      <c r="A374" s="51"/>
      <c r="B374" s="51" t="s">
        <v>1111</v>
      </c>
      <c r="C374" s="264"/>
      <c r="D374" s="262" t="s">
        <v>1389</v>
      </c>
    </row>
    <row r="375" spans="1:4" ht="13.2">
      <c r="A375" s="51"/>
      <c r="B375" s="263" t="str">
        <f>HYPERLINK("http://codeforces.com/gym/101864/problem/L","CF101864-GYM-L")</f>
        <v>CF101864-GYM-L</v>
      </c>
      <c r="C375" s="264"/>
      <c r="D375" s="262" t="s">
        <v>1390</v>
      </c>
    </row>
    <row r="376" spans="1:4" ht="13.2">
      <c r="A376" s="51"/>
      <c r="B376" s="263" t="str">
        <f>HYPERLINK("http://codeforces.com/contest/80/problem/D","CF80-D2-D")</f>
        <v>CF80-D2-D</v>
      </c>
      <c r="C376" s="56"/>
      <c r="D376" s="262" t="s">
        <v>1391</v>
      </c>
    </row>
    <row r="377" spans="1:4" ht="13.2">
      <c r="A377" s="51"/>
      <c r="B377" s="51" t="s">
        <v>1052</v>
      </c>
      <c r="C377" s="264"/>
      <c r="D377" s="262" t="s">
        <v>1392</v>
      </c>
    </row>
    <row r="378" spans="1:4" ht="13.2">
      <c r="A378" s="51"/>
      <c r="B378" s="51" t="s">
        <v>971</v>
      </c>
      <c r="C378" s="56"/>
      <c r="D378" s="262" t="s">
        <v>1393</v>
      </c>
    </row>
    <row r="379" spans="1:4" ht="13.2">
      <c r="A379" s="51" t="s">
        <v>1031</v>
      </c>
      <c r="B379" s="263" t="str">
        <f>HYPERLINK("http://codeforces.com/contest/203/problem/D","CF203-D2-D")</f>
        <v>CF203-D2-D</v>
      </c>
      <c r="C379" s="264"/>
      <c r="D379" s="262" t="s">
        <v>1394</v>
      </c>
    </row>
    <row r="380" spans="1:4" ht="13.2">
      <c r="A380" s="51"/>
      <c r="B380" s="51" t="s">
        <v>745</v>
      </c>
      <c r="C380" s="56"/>
      <c r="D380" s="262" t="s">
        <v>1395</v>
      </c>
    </row>
    <row r="381" spans="1:4" ht="13.2">
      <c r="A381" s="51" t="s">
        <v>808</v>
      </c>
      <c r="B381" s="263" t="str">
        <f>HYPERLINK("https://uva.onlinejudge.org/index.php?option=onlinejudge&amp;page=show_problem&amp;problem=4601","UVA 12748")</f>
        <v>UVA 12748</v>
      </c>
      <c r="C381" s="56"/>
      <c r="D381" s="262" t="s">
        <v>1396</v>
      </c>
    </row>
    <row r="382" spans="1:4" ht="13.2">
      <c r="A382" s="51" t="s">
        <v>764</v>
      </c>
      <c r="B382" s="263" t="str">
        <f>HYPERLINK("https://uva.onlinejudge.org/index.php?option=onlinejudge&amp;page=show_problem&amp;problem=1242","UVA 10301")</f>
        <v>UVA 10301</v>
      </c>
      <c r="C382" s="56"/>
      <c r="D382" s="262" t="s">
        <v>1397</v>
      </c>
    </row>
    <row r="383" spans="1:4" ht="13.2">
      <c r="A383" s="51" t="s">
        <v>744</v>
      </c>
      <c r="B383" s="263" t="str">
        <f>HYPERLINK("https://uva.onlinejudge.org/index.php?option=onlinejudge&amp;page=show_problem&amp;problem=292","UVA 356")</f>
        <v>UVA 356</v>
      </c>
      <c r="C383" s="56"/>
      <c r="D383" s="262" t="s">
        <v>1398</v>
      </c>
    </row>
    <row r="384" spans="1:4" ht="13.2">
      <c r="A384" s="51" t="s">
        <v>742</v>
      </c>
      <c r="B384" s="263" t="str">
        <f>HYPERLINK("https://uva.onlinejudge.org/index.php?option=onlinejudge&amp;page=show_problem&amp;problem=379","UVA 438")</f>
        <v>UVA 438</v>
      </c>
      <c r="C384" s="56"/>
      <c r="D384" s="262" t="s">
        <v>1398</v>
      </c>
    </row>
    <row r="385" spans="1:4" ht="13.2">
      <c r="A385" s="51" t="s">
        <v>743</v>
      </c>
      <c r="B385" s="263" t="str">
        <f>HYPERLINK("https://uva.onlinejudge.org/index.php?option=com_onlinejudge&amp;Itemid=8&amp;page=show_problem&amp;problem=418","UVA 477")</f>
        <v>UVA 477</v>
      </c>
      <c r="C385" s="56"/>
      <c r="D385" s="262" t="s">
        <v>1398</v>
      </c>
    </row>
    <row r="386" spans="1:4" ht="13.2">
      <c r="A386" s="51" t="s">
        <v>763</v>
      </c>
      <c r="B386" s="263" t="str">
        <f>HYPERLINK("http://codeforces.com/contest/199/problem/B","CF199-D2-B")</f>
        <v>CF199-D2-B</v>
      </c>
      <c r="C386" s="56"/>
      <c r="D386" s="262" t="s">
        <v>1399</v>
      </c>
    </row>
    <row r="387" spans="1:4" ht="13.2">
      <c r="A387" s="51" t="s">
        <v>642</v>
      </c>
      <c r="B387" s="263" t="str">
        <f>HYPERLINK("http://codeforces.com/contest/84/problem/C","CF84-D2-C")</f>
        <v>CF84-D2-C</v>
      </c>
      <c r="C387" s="56"/>
      <c r="D387" s="262" t="s">
        <v>1399</v>
      </c>
    </row>
    <row r="388" spans="1:4" ht="13.2">
      <c r="A388" s="51" t="s">
        <v>1042</v>
      </c>
      <c r="B388" s="263" t="str">
        <f>HYPERLINK("https://uva.onlinejudge.org/index.php?option=onlinejudge&amp;page=show_problem&amp;problem=946","UVA 10005")</f>
        <v>UVA 10005</v>
      </c>
      <c r="C388" s="264"/>
      <c r="D388" s="262" t="s">
        <v>1400</v>
      </c>
    </row>
    <row r="389" spans="1:4" ht="13.2">
      <c r="A389" s="51"/>
      <c r="B389" s="51" t="s">
        <v>1046</v>
      </c>
      <c r="C389" s="56"/>
      <c r="D389" s="262" t="s">
        <v>1401</v>
      </c>
    </row>
    <row r="390" spans="1:4" ht="13.2">
      <c r="A390" s="51"/>
      <c r="B390" s="263" t="str">
        <f>HYPERLINK("http://www.spoj.com/problems/ALIENS/","SPOJ ALIENS")</f>
        <v>SPOJ ALIENS</v>
      </c>
      <c r="C390" s="56"/>
      <c r="D390" s="262" t="s">
        <v>1402</v>
      </c>
    </row>
    <row r="391" spans="1:4" ht="13.2">
      <c r="A391" s="51"/>
      <c r="B391" s="263" t="str">
        <f>HYPERLINK("https://codeforces.com/contest/1059/problem/D","CF1059-D2-D")</f>
        <v>CF1059-D2-D</v>
      </c>
      <c r="C391" s="264"/>
      <c r="D391" s="262" t="s">
        <v>1403</v>
      </c>
    </row>
    <row r="392" spans="1:4" ht="13.2">
      <c r="A392" s="51"/>
      <c r="B392" s="263" t="str">
        <f>HYPERLINK("https://www.hackerrank.com/challenges/house-location","HACKR house-location")</f>
        <v>HACKR house-location</v>
      </c>
      <c r="C392" s="56"/>
      <c r="D392" s="262" t="s">
        <v>1404</v>
      </c>
    </row>
    <row r="393" spans="1:4" ht="13.2">
      <c r="A393" s="51"/>
      <c r="B393" s="51" t="s">
        <v>1071</v>
      </c>
      <c r="C393" s="56"/>
      <c r="D393" s="262" t="s">
        <v>1405</v>
      </c>
    </row>
    <row r="394" spans="1:4" ht="13.2">
      <c r="A394" s="51" t="s">
        <v>806</v>
      </c>
      <c r="B394" s="263" t="str">
        <f>HYPERLINK("https://uva.onlinejudge.org/index.php?option=onlinejudge&amp;page=show_problem&amp;problem=1204","UVA 10263")</f>
        <v>UVA 10263</v>
      </c>
      <c r="C394" s="56"/>
      <c r="D394" s="262" t="s">
        <v>1406</v>
      </c>
    </row>
    <row r="395" spans="1:4" ht="13.2">
      <c r="A395" s="51" t="s">
        <v>809</v>
      </c>
      <c r="B395" s="263" t="str">
        <f>HYPERLINK("https://uva.onlinejudge.org/index.php?option=com_onlinejudge&amp;Itemid=8&amp;page=show_problem&amp;problem=206","UVA 270")</f>
        <v>UVA 270</v>
      </c>
      <c r="C395" s="56"/>
      <c r="D395" s="262" t="s">
        <v>1407</v>
      </c>
    </row>
    <row r="396" spans="1:4" ht="13.2">
      <c r="A396" s="51" t="s">
        <v>1134</v>
      </c>
      <c r="B396" s="263" t="str">
        <f>HYPERLINK("https://uva.onlinejudge.org/index.php?option=onlinejudge&amp;page=show_problem&amp;problem=2468","UVA 11473")</f>
        <v>UVA 11473</v>
      </c>
      <c r="C396" s="264"/>
      <c r="D396" s="262" t="s">
        <v>1408</v>
      </c>
    </row>
    <row r="397" spans="1:4" ht="13.2">
      <c r="A397" s="51" t="s">
        <v>907</v>
      </c>
      <c r="B397" s="263" t="str">
        <f>HYPERLINK("http://codeforces.com/contest/617/problem/D","CF617-D2-D")</f>
        <v>CF617-D2-D</v>
      </c>
      <c r="C397" s="56"/>
      <c r="D397" s="262" t="s">
        <v>1409</v>
      </c>
    </row>
    <row r="398" spans="1:4" ht="13.2">
      <c r="A398" s="51" t="s">
        <v>782</v>
      </c>
      <c r="B398" s="263" t="str">
        <f>HYPERLINK("https://uva.onlinejudge.org/index.php?option=com_onlinejudge&amp;Itemid=8&amp;page=show_problem&amp;problem=209","UVA 273")</f>
        <v>UVA 273</v>
      </c>
      <c r="C398" s="56"/>
      <c r="D398" s="262" t="s">
        <v>1410</v>
      </c>
    </row>
    <row r="399" spans="1:4" ht="13.2">
      <c r="A399" s="51" t="s">
        <v>784</v>
      </c>
      <c r="B399" s="263" t="str">
        <f>HYPERLINK("https://uva.onlinejudge.org/index.php?option=com_onlinejudge&amp;Itemid=8&amp;page=show_problem&amp;problem=2318","UVA 11343")</f>
        <v>UVA 11343</v>
      </c>
      <c r="C399" s="56"/>
      <c r="D399" s="262" t="s">
        <v>1411</v>
      </c>
    </row>
    <row r="400" spans="1:4" ht="13.2">
      <c r="A400" s="51" t="s">
        <v>431</v>
      </c>
      <c r="B400" s="263" t="str">
        <f>HYPERLINK("https://uva.onlinejudge.org/index.php?option=com_onlinejudge&amp;Itemid=8&amp;page=show_problem&amp;problem=314","UVA 378")</f>
        <v>UVA 378</v>
      </c>
      <c r="C400" s="56"/>
      <c r="D400" s="262" t="s">
        <v>1412</v>
      </c>
    </row>
    <row r="401" spans="1:4" ht="13.2">
      <c r="A401" s="51"/>
      <c r="B401" s="51" t="s">
        <v>1069</v>
      </c>
      <c r="C401" s="264"/>
      <c r="D401" s="262" t="s">
        <v>1413</v>
      </c>
    </row>
    <row r="402" spans="1:4" ht="13.2">
      <c r="A402" s="51" t="s">
        <v>741</v>
      </c>
      <c r="B402" s="263" t="str">
        <f>HYPERLINK("https://uva.onlinejudge.org/index.php?option=com_onlinejudge&amp;Itemid=8&amp;page=show_problem&amp;problem=807","UVA 866")</f>
        <v>UVA 866</v>
      </c>
      <c r="C402" s="56"/>
      <c r="D402" s="262" t="s">
        <v>1411</v>
      </c>
    </row>
    <row r="403" spans="1:4" ht="13.2">
      <c r="A403" s="51"/>
      <c r="B403" s="51" t="s">
        <v>1068</v>
      </c>
      <c r="C403" s="264"/>
      <c r="D403" s="262" t="s">
        <v>1414</v>
      </c>
    </row>
    <row r="404" spans="1:4" ht="13.2">
      <c r="A404" s="51" t="s">
        <v>740</v>
      </c>
      <c r="B404" s="263" t="str">
        <f>HYPERLINK("https://uva.onlinejudge.org/index.php?option=onlinejudge&amp;page=show_problem&amp;problem=678","UVA 737")</f>
        <v>UVA 737</v>
      </c>
      <c r="C404" s="56"/>
      <c r="D404" s="262" t="s">
        <v>1411</v>
      </c>
    </row>
    <row r="405" spans="1:4" ht="13.2">
      <c r="A405" s="51" t="s">
        <v>918</v>
      </c>
      <c r="B405" s="263" t="str">
        <f>HYPERLINK("https://uva.onlinejudge.org/index.php?option=com_onlinejudge&amp;Itemid=8&amp;page=show_problem&amp;problem=774","UVA 833")</f>
        <v>UVA 833</v>
      </c>
      <c r="C405" s="264"/>
      <c r="D405" s="262" t="s">
        <v>1415</v>
      </c>
    </row>
    <row r="406" spans="1:4" ht="13.2">
      <c r="A406" s="51" t="s">
        <v>649</v>
      </c>
      <c r="B406" s="263" t="str">
        <f>HYPERLINK("https://uva.onlinejudge.org/index.php?option=onlinejudge&amp;page=show_problem&amp;problem=1731","UVA 10790")</f>
        <v>UVA 10790</v>
      </c>
      <c r="C406" s="56"/>
      <c r="D406" s="262" t="s">
        <v>1416</v>
      </c>
    </row>
    <row r="407" spans="1:4" ht="13.2">
      <c r="A407" s="51" t="s">
        <v>1066</v>
      </c>
      <c r="B407" s="51" t="s">
        <v>1067</v>
      </c>
      <c r="C407" s="264"/>
      <c r="D407" s="262" t="s">
        <v>1417</v>
      </c>
    </row>
    <row r="408" spans="1:4" ht="13.2">
      <c r="A408" s="263" t="str">
        <f>HYPERLINK("https://community.topcoder.com/stat?c=problem_statement&amp;pm=5923&amp;rd=8075","BestTriangulation")</f>
        <v>BestTriangulation</v>
      </c>
      <c r="B408" s="51" t="s">
        <v>1040</v>
      </c>
      <c r="C408" s="56"/>
      <c r="D408" s="262" t="s">
        <v>1418</v>
      </c>
    </row>
    <row r="409" spans="1:4" ht="13.2">
      <c r="A409" s="51" t="s">
        <v>772</v>
      </c>
      <c r="B409" s="263" t="str">
        <f>HYPERLINK("http://codeforces.com/contest/408/problem/C","CF408-D2-C")</f>
        <v>CF408-D2-C</v>
      </c>
      <c r="C409" s="56"/>
      <c r="D409" s="262" t="s">
        <v>1419</v>
      </c>
    </row>
    <row r="410" spans="1:4" ht="13.2">
      <c r="A410" s="51"/>
      <c r="B410" s="51" t="s">
        <v>1054</v>
      </c>
      <c r="C410" s="264"/>
      <c r="D410" s="262" t="s">
        <v>1420</v>
      </c>
    </row>
    <row r="411" spans="1:4" ht="13.2">
      <c r="A411" s="51"/>
      <c r="B411" s="51" t="s">
        <v>1055</v>
      </c>
      <c r="C411" s="264"/>
      <c r="D411" s="262" t="s">
        <v>1421</v>
      </c>
    </row>
    <row r="412" spans="1:4" ht="13.2">
      <c r="A412" s="51"/>
      <c r="B412" s="51" t="s">
        <v>1053</v>
      </c>
      <c r="C412" s="264"/>
      <c r="D412" s="262" t="s">
        <v>1422</v>
      </c>
    </row>
    <row r="413" spans="1:4" ht="13.2">
      <c r="A413" s="51"/>
      <c r="B413" s="263" t="str">
        <f>HYPERLINK("http://codeforces.com/contest/340/problem/B","CF340-D2-B")</f>
        <v>CF340-D2-B</v>
      </c>
      <c r="C413" s="56"/>
      <c r="D413" s="262" t="s">
        <v>1423</v>
      </c>
    </row>
    <row r="414" spans="1:4" ht="13.2">
      <c r="A414" s="51" t="s">
        <v>1189</v>
      </c>
      <c r="B414" s="263" t="str">
        <f>HYPERLINK("http://codeforces.com/contest/801/problem/D","CF801-D2-D")</f>
        <v>CF801-D2-D</v>
      </c>
      <c r="C414" s="266"/>
      <c r="D414" s="262" t="s">
        <v>1424</v>
      </c>
    </row>
    <row r="415" spans="1:4" ht="13.2">
      <c r="A415" s="51" t="s">
        <v>1056</v>
      </c>
      <c r="B415" s="263" t="str">
        <f>HYPERLINK("https://uva.onlinejudge.org/index.php?option=onlinejudge&amp;page=show_problem&amp;problem=73","UVA 137")</f>
        <v>UVA 137</v>
      </c>
      <c r="C415" s="264"/>
      <c r="D415" s="262" t="s">
        <v>1425</v>
      </c>
    </row>
    <row r="416" spans="1:4" ht="13.2">
      <c r="A416" s="51" t="s">
        <v>1188</v>
      </c>
      <c r="B416" s="263" t="str">
        <f>HYPERLINK("acm.tju.edu.cn/toj/showp1011.html","TJU 1011")</f>
        <v>TJU 1011</v>
      </c>
      <c r="C416" s="264"/>
      <c r="D416" s="262" t="s">
        <v>1426</v>
      </c>
    </row>
    <row r="417" spans="1:4" ht="13.2">
      <c r="A417" s="51" t="s">
        <v>1041</v>
      </c>
      <c r="B417" s="263" t="str">
        <f>HYPERLINK("https://uva.onlinejudge.org/index.php?option=onlinejudge&amp;page=show_problem&amp;problem=1029","UVA 10088")</f>
        <v>UVA 10088</v>
      </c>
      <c r="C417" s="264"/>
      <c r="D417" s="262" t="s">
        <v>1427</v>
      </c>
    </row>
    <row r="418" spans="1:4" ht="13.2">
      <c r="A418" s="51"/>
      <c r="B418" s="51" t="s">
        <v>1043</v>
      </c>
      <c r="C418" s="264"/>
      <c r="D418" s="262" t="s">
        <v>1428</v>
      </c>
    </row>
    <row r="419" spans="1:4" ht="13.2">
      <c r="A419" s="51" t="s">
        <v>1044</v>
      </c>
      <c r="B419" s="263" t="str">
        <f>HYPERLINK("https://uva.onlinejudge.org/index.php?option=com_onlinejudge&amp;Itemid=8&amp;page=show_problem&amp;problem=529","UVA 588")</f>
        <v>UVA 588</v>
      </c>
      <c r="C419" s="264"/>
      <c r="D419" s="262" t="s">
        <v>1429</v>
      </c>
    </row>
    <row r="420" spans="1:4" ht="13.2">
      <c r="A420" s="51" t="s">
        <v>471</v>
      </c>
      <c r="B420" s="263" t="str">
        <f>HYPERLINK("https://uva.onlinejudge.org/index.php?option=com_onlinejudge&amp;Itemid=8&amp;page=show_problem&amp;problem=41","UVA 105")</f>
        <v>UVA 105</v>
      </c>
      <c r="C420" s="56"/>
      <c r="D420" s="262" t="s">
        <v>1430</v>
      </c>
    </row>
    <row r="421" spans="1:4" ht="13.2">
      <c r="A421" s="51" t="s">
        <v>204</v>
      </c>
      <c r="B421" s="263" t="str">
        <f>HYPERLINK("https://uva.onlinejudge.org/index.php?option=onlinejudge&amp;page=show_problem&amp;problem=1393","UVA 10452")</f>
        <v>UVA 10452</v>
      </c>
      <c r="C421" s="56"/>
      <c r="D421" s="262" t="s">
        <v>1431</v>
      </c>
    </row>
    <row r="422" spans="1:4" ht="13.2">
      <c r="A422" s="51" t="s">
        <v>448</v>
      </c>
      <c r="B422" s="263" t="str">
        <f>HYPERLINK("https://uva.onlinejudge.org/index.php?option=com_onlinejudge&amp;Itemid=8&amp;page=show_problem&amp;problem=58","UVA 122")</f>
        <v>UVA 122</v>
      </c>
      <c r="C422" s="35"/>
      <c r="D422" s="262" t="s">
        <v>1432</v>
      </c>
    </row>
    <row r="423" spans="1:4" ht="13.2">
      <c r="A423" s="51" t="s">
        <v>796</v>
      </c>
      <c r="B423" s="263" t="str">
        <f>HYPERLINK("http://www.spoj.com/problems/PT07Z/","SPOJ PT07Z")</f>
        <v>SPOJ PT07Z</v>
      </c>
      <c r="C423" s="56"/>
      <c r="D423" s="262" t="s">
        <v>1433</v>
      </c>
    </row>
    <row r="424" spans="1:4" ht="13.2">
      <c r="A424" s="51" t="s">
        <v>797</v>
      </c>
      <c r="B424" s="263" t="str">
        <f>HYPERLINK("https://uva.onlinejudge.org/index.php?option=com_onlinejudge&amp;Itemid=8&amp;page=show_problem&amp;problem=1249","UVA 10308")</f>
        <v>UVA 10308</v>
      </c>
      <c r="C424" s="56"/>
      <c r="D424" s="262" t="s">
        <v>1433</v>
      </c>
    </row>
    <row r="425" spans="1:4" ht="13.2">
      <c r="A425" s="51"/>
      <c r="B425" s="263" t="str">
        <f>HYPERLINK("https://codeforces.com/contest/1068/problem/C","CF1068-D2-C")</f>
        <v>CF1068-D2-C</v>
      </c>
      <c r="C425" s="56"/>
      <c r="D425" s="262" t="s">
        <v>1434</v>
      </c>
    </row>
    <row r="426" spans="1:4" ht="13.2">
      <c r="A426" s="51" t="s">
        <v>884</v>
      </c>
      <c r="B426" s="263" t="str">
        <f>HYPERLINK("http://codeforces.com/contest/61/problem/D","CF61-D2-D")</f>
        <v>CF61-D2-D</v>
      </c>
      <c r="C426" s="56"/>
      <c r="D426" s="262" t="s">
        <v>1435</v>
      </c>
    </row>
    <row r="427" spans="1:4" ht="13.2">
      <c r="A427" s="51" t="s">
        <v>920</v>
      </c>
      <c r="B427" s="263" t="str">
        <f>HYPERLINK("https://uva.onlinejudge.org/index.php?option=com_onlinejudge&amp;Itemid=8&amp;page=show_problem&amp;problem=556","UVA 615")</f>
        <v>UVA 615</v>
      </c>
      <c r="C427" s="56"/>
      <c r="D427" s="262" t="s">
        <v>1432</v>
      </c>
    </row>
    <row r="428" spans="1:4" ht="13.2">
      <c r="A428" s="51" t="s">
        <v>723</v>
      </c>
      <c r="B428" s="263" t="str">
        <f>HYPERLINK("http://codeforces.com/contest/959/problem/C","CF959-D2-C")</f>
        <v>CF959-D2-C</v>
      </c>
      <c r="C428" s="56"/>
      <c r="D428" s="262" t="s">
        <v>1436</v>
      </c>
    </row>
    <row r="429" spans="1:4" ht="13.2">
      <c r="A429" s="51" t="s">
        <v>954</v>
      </c>
      <c r="B429" s="263" t="str">
        <f>HYPERLINK("https://uva.onlinejudge.org/index.php?option=onlinejudge&amp;page=show_problem&amp;problem=3801","UVA 12379")</f>
        <v>UVA 12379</v>
      </c>
      <c r="C429" s="56"/>
      <c r="D429" s="262" t="s">
        <v>1433</v>
      </c>
    </row>
    <row r="430" spans="1:4" ht="13.2">
      <c r="A430" s="51" t="s">
        <v>988</v>
      </c>
      <c r="B430" s="263" t="str">
        <f>HYPERLINK("https://uva.onlinejudge.org/index.php?option=onlinejudge&amp;page=show_problem&amp;problem=1400","UVA 10459")</f>
        <v>UVA 10459</v>
      </c>
      <c r="C430" s="56"/>
      <c r="D430" s="262" t="s">
        <v>1433</v>
      </c>
    </row>
    <row r="431" spans="1:4" ht="13.2">
      <c r="A431" s="51" t="s">
        <v>734</v>
      </c>
      <c r="B431" s="263" t="str">
        <f>HYPERLINK("http://codeforces.com/contest/430/problem/C","CF430-D2-C")</f>
        <v>CF430-D2-C</v>
      </c>
      <c r="C431" s="56"/>
      <c r="D431" s="262" t="s">
        <v>1437</v>
      </c>
    </row>
    <row r="432" spans="1:4" ht="13.2">
      <c r="A432" s="51" t="s">
        <v>1115</v>
      </c>
      <c r="B432" s="263" t="str">
        <f>HYPERLINK("http://codeforces.com/contest/363/problem/D","CF363-D2-D")</f>
        <v>CF363-D2-D</v>
      </c>
      <c r="C432" s="264"/>
      <c r="D432" s="262" t="s">
        <v>1438</v>
      </c>
    </row>
    <row r="433" spans="1:4" ht="13.2">
      <c r="A433" s="51" t="s">
        <v>1092</v>
      </c>
      <c r="B433" s="263" t="str">
        <f>HYPERLINK("http://codeforces.com/contest/550/problem/D","CF550-D2-D")</f>
        <v>CF550-D2-D</v>
      </c>
      <c r="C433" s="264"/>
      <c r="D433" s="262" t="s">
        <v>1439</v>
      </c>
    </row>
    <row r="434" spans="1:4" ht="13.2">
      <c r="A434" s="51"/>
      <c r="B434" s="263" t="str">
        <f>HYPERLINK("http://codeforces.com/contest/486/problem/D","CF486-D2-D")</f>
        <v>CF486-D2-D</v>
      </c>
      <c r="C434" s="56"/>
      <c r="D434" s="262" t="s">
        <v>1440</v>
      </c>
    </row>
    <row r="435" spans="1:4" ht="13.2">
      <c r="A435" s="51" t="s">
        <v>929</v>
      </c>
      <c r="B435" s="263" t="str">
        <f>HYPERLINK("http://codeforces.com/contest/233/problem/C","CF233-D2-C")</f>
        <v>CF233-D2-C</v>
      </c>
      <c r="C435" s="56"/>
      <c r="D435" s="262" t="s">
        <v>1441</v>
      </c>
    </row>
    <row r="436" spans="1:4" ht="13.2">
      <c r="A436" s="51"/>
      <c r="B436" s="263" t="str">
        <f>HYPERLINK("http://codeforces.com/contest/459/problem/E","CF459-D2-E")</f>
        <v>CF459-D2-E</v>
      </c>
      <c r="C436" s="56"/>
      <c r="D436" s="262" t="s">
        <v>1442</v>
      </c>
    </row>
    <row r="437" spans="1:4" ht="13.2">
      <c r="A437" s="51"/>
      <c r="B437" s="263" t="str">
        <f>HYPERLINK("https://codeforces.com/contest/1060/problem/D","CF1060-D12-D")</f>
        <v>CF1060-D12-D</v>
      </c>
      <c r="C437" s="264"/>
      <c r="D437" s="262" t="s">
        <v>1435</v>
      </c>
    </row>
    <row r="438" spans="1:4" ht="13.2">
      <c r="A438" s="51"/>
      <c r="B438" s="51" t="s">
        <v>1176</v>
      </c>
      <c r="C438" s="264"/>
      <c r="D438" s="262" t="s">
        <v>1443</v>
      </c>
    </row>
    <row r="439" spans="1:4" ht="13.2">
      <c r="A439" s="51"/>
      <c r="B439" s="263" t="str">
        <f>HYPERLINK("http://codeforces.com/contest/592/problem/D","CF592-D2-D")</f>
        <v>CF592-D2-D</v>
      </c>
      <c r="C439" s="56"/>
      <c r="D439" s="262" t="s">
        <v>1433</v>
      </c>
    </row>
    <row r="440" spans="1:4" ht="13.2">
      <c r="A440" s="51" t="s">
        <v>563</v>
      </c>
      <c r="B440" s="263" t="str">
        <f>HYPERLINK("http://www.spoj.com/problems/BITMAP/","SPOJ BITMAP")</f>
        <v>SPOJ BITMAP</v>
      </c>
      <c r="C440" s="56"/>
      <c r="D440" s="262" t="s">
        <v>1444</v>
      </c>
    </row>
    <row r="441" spans="1:4" ht="13.2">
      <c r="A441" s="51" t="s">
        <v>810</v>
      </c>
      <c r="B441" s="263" t="str">
        <f>HYPERLINK("http://www.spoj.com/problems/POUR1/","SPOJ POUR1")</f>
        <v>SPOJ POUR1</v>
      </c>
      <c r="C441" s="56"/>
      <c r="D441" s="262" t="s">
        <v>1445</v>
      </c>
    </row>
    <row r="442" spans="1:4" ht="13.2">
      <c r="A442" s="51" t="s">
        <v>727</v>
      </c>
      <c r="B442" s="263" t="str">
        <f>HYPERLINK("https://uva.onlinejudge.org/index.php?option=com_onlinejudge&amp;Itemid=8&amp;page=show_problem&amp;problem=512","UVA 571")</f>
        <v>UVA 571</v>
      </c>
      <c r="C442" s="56"/>
      <c r="D442" s="262" t="s">
        <v>1445</v>
      </c>
    </row>
    <row r="443" spans="1:4" ht="13.2">
      <c r="A443" s="51" t="s">
        <v>394</v>
      </c>
      <c r="B443" s="263" t="str">
        <f>HYPERLINK("http://www.spoj.com/problems/TOE1/","SPOJ TOE1")</f>
        <v>SPOJ TOE1</v>
      </c>
      <c r="C443" s="56"/>
      <c r="D443" s="262" t="s">
        <v>1445</v>
      </c>
    </row>
    <row r="444" spans="1:4" ht="13.2">
      <c r="A444" s="51" t="s">
        <v>395</v>
      </c>
      <c r="B444" s="263" t="str">
        <f>HYPERLINK("http://www.spoj.com/problems/TOE2/","SPOJ TOE2")</f>
        <v>SPOJ TOE2</v>
      </c>
      <c r="C444" s="56"/>
      <c r="D444" s="262" t="s">
        <v>1445</v>
      </c>
    </row>
    <row r="445" spans="1:4" ht="13.2">
      <c r="A445" s="51" t="s">
        <v>396</v>
      </c>
      <c r="B445" s="263" t="str">
        <f>HYPERLINK("https://uva.onlinejudge.org/index.php?option=com_onlinejudge&amp;Itemid=8&amp;page=show_problem&amp;problem=380","UVA 439")</f>
        <v>UVA 439</v>
      </c>
      <c r="C445" s="56"/>
      <c r="D445" s="262" t="s">
        <v>1446</v>
      </c>
    </row>
    <row r="446" spans="1:4" ht="13.2">
      <c r="A446" s="51" t="s">
        <v>397</v>
      </c>
      <c r="B446" s="263" t="str">
        <f>HYPERLINK("http://codeforces.com/contest/242/problem/C","CF242-D2-C")</f>
        <v>CF242-D2-C</v>
      </c>
      <c r="C446" s="56"/>
      <c r="D446" s="262" t="s">
        <v>1445</v>
      </c>
    </row>
    <row r="447" spans="1:4" ht="13.2">
      <c r="A447" s="51" t="s">
        <v>1080</v>
      </c>
      <c r="B447" s="263" t="str">
        <f>HYPERLINK("http://codeforces.com/contest/676/problem/D","CF676-D2-D")</f>
        <v>CF676-D2-D</v>
      </c>
      <c r="C447" s="56"/>
      <c r="D447" s="262" t="s">
        <v>1447</v>
      </c>
    </row>
    <row r="448" spans="1:4" ht="13.2">
      <c r="A448" s="51" t="s">
        <v>577</v>
      </c>
      <c r="B448" s="263" t="str">
        <f>HYPERLINK("http://www.spoj.com/problems/QUEEN/","SPOJ QUEEN")</f>
        <v>SPOJ QUEEN</v>
      </c>
      <c r="C448" s="56"/>
      <c r="D448" s="262" t="s">
        <v>1445</v>
      </c>
    </row>
    <row r="449" spans="1:4" ht="13.2">
      <c r="A449" s="51" t="s">
        <v>861</v>
      </c>
      <c r="B449" s="263" t="str">
        <f>HYPERLINK("http://codeforces.com/contest/404/problem/C","CF404-D2-C")</f>
        <v>CF404-D2-C</v>
      </c>
      <c r="C449" s="56"/>
      <c r="D449" s="262" t="s">
        <v>1445</v>
      </c>
    </row>
    <row r="450" spans="1:4" ht="13.2">
      <c r="A450" s="51" t="s">
        <v>674</v>
      </c>
      <c r="B450" s="263" t="str">
        <f>HYPERLINK("http://www.spoj.com/problems/CERC07K/","SPOJ CERC07K")</f>
        <v>SPOJ CERC07K</v>
      </c>
      <c r="C450" s="56"/>
      <c r="D450" s="262" t="s">
        <v>1448</v>
      </c>
    </row>
    <row r="451" spans="1:4" ht="13.2">
      <c r="A451" s="51" t="s">
        <v>675</v>
      </c>
      <c r="B451" s="263" t="str">
        <f>HYPERLINK("http://www.spoj.com/problems/CLEANRBT/","SPOJ CLEANRBT")</f>
        <v>SPOJ CLEANRBT</v>
      </c>
      <c r="C451" s="56"/>
      <c r="D451" s="262" t="s">
        <v>1449</v>
      </c>
    </row>
    <row r="452" spans="1:4" ht="13.2">
      <c r="A452" s="51"/>
      <c r="B452" s="51" t="s">
        <v>997</v>
      </c>
      <c r="C452" s="56"/>
      <c r="D452" s="262" t="s">
        <v>1450</v>
      </c>
    </row>
    <row r="453" spans="1:4" ht="13.2">
      <c r="A453" s="51" t="s">
        <v>638</v>
      </c>
      <c r="B453" s="263" t="str">
        <f>HYPERLINK("http://codeforces.com/contest/253/problem/C","CF253-D2-C")</f>
        <v>CF253-D2-C</v>
      </c>
      <c r="C453" s="56"/>
      <c r="D453" s="262" t="s">
        <v>1451</v>
      </c>
    </row>
    <row r="454" spans="1:4" ht="13.2">
      <c r="A454" s="51" t="s">
        <v>1153</v>
      </c>
      <c r="B454" s="263" t="str">
        <f>HYPERLINK("http://www.spoj.com/problems/ANARC08A/","SPOJ ANARC08A")</f>
        <v>SPOJ ANARC08A</v>
      </c>
      <c r="C454" s="264"/>
      <c r="D454" s="262" t="s">
        <v>1452</v>
      </c>
    </row>
    <row r="455" spans="1:4" ht="13.2">
      <c r="A455" s="51"/>
      <c r="B455" s="263" t="str">
        <f>HYPERLINK("http://codeforces.com/contest/1005/problem/F","CF1005-D3-F")</f>
        <v>CF1005-D3-F</v>
      </c>
      <c r="C455" s="56"/>
      <c r="D455" s="262" t="s">
        <v>1445</v>
      </c>
    </row>
    <row r="456" spans="1:4" ht="13.2">
      <c r="A456" s="51"/>
      <c r="B456" s="51" t="s">
        <v>1453</v>
      </c>
      <c r="C456" s="56"/>
      <c r="D456" s="262" t="s">
        <v>1454</v>
      </c>
    </row>
    <row r="457" spans="1:4" ht="13.2">
      <c r="A457" s="51"/>
      <c r="B457" s="51" t="s">
        <v>659</v>
      </c>
      <c r="C457" s="56"/>
      <c r="D457" s="262" t="s">
        <v>1455</v>
      </c>
    </row>
    <row r="458" spans="1:4" ht="13.2">
      <c r="A458" s="51"/>
      <c r="B458" s="263" t="str">
        <f>HYPERLINK("http://codeforces.com/contest/787/problem/C","CF787-D2-C")</f>
        <v>CF787-D2-C</v>
      </c>
      <c r="C458" s="264"/>
      <c r="D458" s="262" t="s">
        <v>1456</v>
      </c>
    </row>
    <row r="459" spans="1:4" ht="13.2">
      <c r="A459" s="51"/>
      <c r="B459" s="263" t="str">
        <f>HYPERLINK("http://codeforces.com/contest/811/problem/D","CF811-D2-D")</f>
        <v>CF811-D2-D</v>
      </c>
      <c r="C459" s="264"/>
      <c r="D459" s="262" t="s">
        <v>1457</v>
      </c>
    </row>
    <row r="460" spans="1:4" ht="13.2">
      <c r="A460" s="51"/>
      <c r="B460" s="51" t="s">
        <v>400</v>
      </c>
      <c r="C460" s="56"/>
      <c r="D460" s="262" t="s">
        <v>1458</v>
      </c>
    </row>
    <row r="461" spans="1:4" ht="13.2">
      <c r="A461" s="51" t="s">
        <v>943</v>
      </c>
      <c r="B461" s="263" t="str">
        <f>HYPERLINK("http://codeforces.com/contest/25/problem/C","CF25-D2-C")</f>
        <v>CF25-D2-C</v>
      </c>
      <c r="C461" s="56"/>
      <c r="D461" s="262" t="s">
        <v>1459</v>
      </c>
    </row>
    <row r="462" spans="1:4" ht="13.2">
      <c r="A462" s="51" t="s">
        <v>927</v>
      </c>
      <c r="B462" s="263" t="str">
        <f>HYPERLINK("http://codeforces.com/contest/116/problem/C","CF116-D2-C")</f>
        <v>CF116-D2-C</v>
      </c>
      <c r="C462" s="56"/>
      <c r="D462" s="262" t="s">
        <v>1459</v>
      </c>
    </row>
    <row r="463" spans="1:4" ht="13.2">
      <c r="A463" s="51" t="s">
        <v>206</v>
      </c>
      <c r="B463" s="263" t="str">
        <f>HYPERLINK("http://codeforces.com/contest/216/problem/B","CF216-D2-B")</f>
        <v>CF216-D2-B</v>
      </c>
      <c r="C463" s="56"/>
      <c r="D463" s="262" t="s">
        <v>1459</v>
      </c>
    </row>
    <row r="464" spans="1:4" ht="13.2">
      <c r="A464" s="51" t="s">
        <v>939</v>
      </c>
      <c r="B464" s="263" t="str">
        <f>HYPERLINK("http://codeforces.com/contest/327/problem/D","CF327-D2-D")</f>
        <v>CF327-D2-D</v>
      </c>
      <c r="C464" s="56"/>
      <c r="D464" s="262" t="s">
        <v>1459</v>
      </c>
    </row>
    <row r="465" spans="1:4" ht="13.2">
      <c r="A465" s="51" t="s">
        <v>554</v>
      </c>
      <c r="B465" s="263" t="str">
        <f>HYPERLINK("http://codeforces.com/contest/546/problem/C","CF546-D2-C")</f>
        <v>CF546-D2-C</v>
      </c>
      <c r="C465" s="56"/>
      <c r="D465" s="262" t="s">
        <v>1459</v>
      </c>
    </row>
    <row r="466" spans="1:4" ht="13.2">
      <c r="A466" s="51" t="s">
        <v>582</v>
      </c>
      <c r="B466" s="263" t="str">
        <f>HYPERLINK("http://codeforces.com/contest/580/problem/C","CF580-D2-C")</f>
        <v>CF580-D2-C</v>
      </c>
      <c r="C466" s="56"/>
      <c r="D466" s="262" t="s">
        <v>1459</v>
      </c>
    </row>
    <row r="467" spans="1:4" ht="13.2">
      <c r="A467" s="51" t="s">
        <v>621</v>
      </c>
      <c r="B467" s="263" t="str">
        <f>HYPERLINK("http://codeforces.com/contest/378/problem/C","CF378-D2-C")</f>
        <v>CF378-D2-C</v>
      </c>
      <c r="C467" s="56"/>
      <c r="D467" s="262" t="s">
        <v>1460</v>
      </c>
    </row>
    <row r="468" spans="1:4" ht="13.2">
      <c r="A468" s="51" t="s">
        <v>951</v>
      </c>
      <c r="B468" s="263" t="str">
        <f>HYPERLINK("https://uva.onlinejudge.org/index.php?option=onlinejudge&amp;page=show_problem&amp;problem=1054","UVA 10113")</f>
        <v>UVA 10113</v>
      </c>
      <c r="C468" s="56"/>
      <c r="D468" s="262" t="s">
        <v>1461</v>
      </c>
    </row>
    <row r="469" spans="1:4" ht="13.2">
      <c r="A469" s="51" t="s">
        <v>1022</v>
      </c>
      <c r="B469" s="263" t="str">
        <f>HYPERLINK("http://codeforces.com/contest/540/problem/C","CF540-D2-C")</f>
        <v>CF540-D2-C</v>
      </c>
      <c r="C469" s="56"/>
      <c r="D469" s="262" t="s">
        <v>1459</v>
      </c>
    </row>
    <row r="470" spans="1:4" ht="13.2">
      <c r="A470" s="51" t="s">
        <v>731</v>
      </c>
      <c r="B470" s="263" t="str">
        <f>HYPERLINK("https://uva.onlinejudge.org/index.php?option=onlinejudge&amp;page=show_problem&amp;problem=813","UVA 872")</f>
        <v>UVA 872</v>
      </c>
      <c r="C470" s="56"/>
      <c r="D470" s="262" t="s">
        <v>1459</v>
      </c>
    </row>
    <row r="471" spans="1:4" ht="13.2">
      <c r="A471" s="51" t="s">
        <v>938</v>
      </c>
      <c r="B471" s="263" t="str">
        <f>HYPERLINK("http://codeforces.com/contest/711/problem/D","CF711-D2-D")</f>
        <v>CF711-D2-D</v>
      </c>
      <c r="C471" s="56"/>
      <c r="D471" s="262" t="s">
        <v>1462</v>
      </c>
    </row>
    <row r="472" spans="1:4" ht="13.2">
      <c r="A472" s="51"/>
      <c r="B472" s="51" t="s">
        <v>908</v>
      </c>
      <c r="C472" s="56"/>
      <c r="D472" s="262" t="s">
        <v>1463</v>
      </c>
    </row>
    <row r="473" spans="1:4" ht="13.2">
      <c r="A473" s="51" t="s">
        <v>1033</v>
      </c>
      <c r="B473" s="263" t="str">
        <f>HYPERLINK("http://codeforces.com/contest/219/problem/D","CF219-D2-D")</f>
        <v>CF219-D2-D</v>
      </c>
      <c r="C473" s="264"/>
      <c r="D473" s="262" t="s">
        <v>1464</v>
      </c>
    </row>
    <row r="474" spans="1:4" ht="13.2">
      <c r="A474" s="51"/>
      <c r="B474" s="263" t="str">
        <f>HYPERLINK("http://codeforces.com/contest/1075/problem/D","CF1075-D2-D")</f>
        <v>CF1075-D2-D</v>
      </c>
      <c r="C474" s="56"/>
      <c r="D474" s="262" t="s">
        <v>1465</v>
      </c>
    </row>
    <row r="475" spans="1:4" ht="13.2">
      <c r="A475" s="51" t="s">
        <v>1194</v>
      </c>
      <c r="B475" s="263" t="str">
        <f>HYPERLINK("http://codeforces.com/contest/197/problem/D","CF197-D2-D")</f>
        <v>CF197-D2-D</v>
      </c>
      <c r="C475" s="56"/>
      <c r="D475" s="262" t="s">
        <v>1459</v>
      </c>
    </row>
    <row r="476" spans="1:4" ht="13.2">
      <c r="A476" s="51" t="s">
        <v>1035</v>
      </c>
      <c r="B476" s="263" t="str">
        <f>HYPERLINK("http://codeforces.com/contest/263/problem/D","CF263-D2-D")</f>
        <v>CF263-D2-D</v>
      </c>
      <c r="C476" s="56"/>
      <c r="D476" s="262" t="s">
        <v>1459</v>
      </c>
    </row>
    <row r="477" spans="1:4" ht="13.2">
      <c r="A477" s="51" t="s">
        <v>1146</v>
      </c>
      <c r="B477" s="263" t="str">
        <f>HYPERLINK("http://codeforces.com/contest/237/problem/D","CF237-D2-D")</f>
        <v>CF237-D2-D</v>
      </c>
      <c r="C477" s="264"/>
      <c r="D477" s="262" t="s">
        <v>1466</v>
      </c>
    </row>
    <row r="478" spans="1:4" ht="13.2">
      <c r="A478" s="51" t="s">
        <v>851</v>
      </c>
      <c r="B478" s="263" t="str">
        <f>HYPERLINK("https://uva.onlinejudge.org/index.php?option=com_onlinejudge&amp;Itemid=8&amp;page=show_problem&amp;problem=648","UVA 707")</f>
        <v>UVA 707</v>
      </c>
      <c r="C478" s="56"/>
      <c r="D478" s="262" t="s">
        <v>1467</v>
      </c>
    </row>
    <row r="479" spans="1:4" ht="13.2">
      <c r="A479" s="51" t="s">
        <v>1091</v>
      </c>
      <c r="B479" s="263" t="str">
        <f>HYPERLINK("http://codeforces.com/contest/707/problem/D","CF707-D2-D")</f>
        <v>CF707-D2-D</v>
      </c>
      <c r="C479" s="264"/>
      <c r="D479" s="262" t="s">
        <v>1468</v>
      </c>
    </row>
    <row r="480" spans="1:4" ht="13.2">
      <c r="A480" s="51" t="s">
        <v>1171</v>
      </c>
      <c r="B480" s="263" t="str">
        <f>HYPERLINK("http://codeforces.com/contest/604/problem/D","CF604-D2-D")</f>
        <v>CF604-D2-D</v>
      </c>
      <c r="C480" s="264"/>
      <c r="D480" s="262" t="s">
        <v>1469</v>
      </c>
    </row>
    <row r="481" spans="1:4" ht="13.2">
      <c r="A481" s="51" t="s">
        <v>203</v>
      </c>
      <c r="B481" s="263" t="str">
        <f>HYPERLINK("https://uva.onlinejudge.org/index.php?option=onlinejudge&amp;page=show_problem&amp;problem=288","UVA 352")</f>
        <v>UVA 352</v>
      </c>
      <c r="C481" s="56"/>
      <c r="D481" s="262" t="s">
        <v>1470</v>
      </c>
    </row>
    <row r="482" spans="1:4" ht="13.2">
      <c r="A482" s="51" t="s">
        <v>205</v>
      </c>
      <c r="B482" s="263" t="str">
        <f>HYPERLINK("https://uva.onlinejudge.org/index.php?option=com_onlinejudge&amp;Itemid=8&amp;page=show_problem&amp;problem=3104","UVA 11953")</f>
        <v>UVA 11953</v>
      </c>
      <c r="C482" s="56"/>
      <c r="D482" s="262" t="s">
        <v>1470</v>
      </c>
    </row>
    <row r="483" spans="1:4" ht="13.2">
      <c r="A483" s="51" t="s">
        <v>473</v>
      </c>
      <c r="B483" s="263" t="str">
        <f>HYPERLINK("https://uva.onlinejudge.org/index.php?option=onlinejudge&amp;page=show_problem&amp;problem=725","UVA 784")</f>
        <v>UVA 784</v>
      </c>
      <c r="C483" s="56"/>
      <c r="D483" s="262" t="s">
        <v>1470</v>
      </c>
    </row>
    <row r="484" spans="1:4" ht="13.2">
      <c r="A484" s="51" t="s">
        <v>417</v>
      </c>
      <c r="B484" s="263" t="str">
        <f>HYPERLINK("https://uva.onlinejudge.org/index.php?option=onlinejudge&amp;page=show_problem&amp;problem=2035","UVA 11094")</f>
        <v>UVA 11094</v>
      </c>
      <c r="C484" s="56"/>
      <c r="D484" s="262" t="s">
        <v>1470</v>
      </c>
    </row>
    <row r="485" spans="1:4" ht="13.2">
      <c r="A485" s="51"/>
      <c r="B485" s="51" t="s">
        <v>880</v>
      </c>
      <c r="C485" s="56"/>
      <c r="D485" s="262" t="s">
        <v>1471</v>
      </c>
    </row>
    <row r="486" spans="1:4" ht="13.2">
      <c r="A486" s="51" t="s">
        <v>976</v>
      </c>
      <c r="B486" s="263" t="str">
        <f>HYPERLINK("http://codeforces.com/contest/560/problem/D","CF560-D2-D")</f>
        <v>CF560-D2-D</v>
      </c>
      <c r="C486" s="264"/>
      <c r="D486" s="262" t="s">
        <v>1472</v>
      </c>
    </row>
    <row r="487" spans="1:4" ht="13.2">
      <c r="A487" s="51" t="s">
        <v>798</v>
      </c>
      <c r="B487" s="263" t="str">
        <f>HYPERLINK("https://icpcarchive.ecs.baylor.edu/index.php?option=com_onlinejudge&amp;Itemid=8&amp;page=show_problem&amp;problem=936","LIVEARCHIVE 2935")</f>
        <v>LIVEARCHIVE 2935</v>
      </c>
      <c r="C487" s="56"/>
      <c r="D487" s="262" t="s">
        <v>1473</v>
      </c>
    </row>
    <row r="488" spans="1:4" ht="13.2">
      <c r="A488" s="51" t="s">
        <v>207</v>
      </c>
      <c r="B488" s="263" t="str">
        <f>HYPERLINK("http://www.spoj.com/problems/MAKETREE/","SPOJ MAKETREE")</f>
        <v>SPOJ MAKETREE</v>
      </c>
      <c r="C488" s="56"/>
      <c r="D488" s="262" t="s">
        <v>1474</v>
      </c>
    </row>
    <row r="489" spans="1:4" ht="13.2">
      <c r="A489" s="51" t="s">
        <v>208</v>
      </c>
      <c r="B489" s="263" t="str">
        <f>HYPERLINK("https://uva.onlinejudge.org/index.php?option=onlinejudge&amp;page=show_problem&amp;problem=1246","UVA 10305")</f>
        <v>UVA 10305</v>
      </c>
      <c r="C489" s="56"/>
      <c r="D489" s="262" t="s">
        <v>1474</v>
      </c>
    </row>
    <row r="490" spans="1:4" ht="13.2">
      <c r="A490" s="51"/>
      <c r="B490" s="51" t="s">
        <v>1104</v>
      </c>
      <c r="C490" s="264"/>
      <c r="D490" s="262" t="s">
        <v>1475</v>
      </c>
    </row>
    <row r="491" spans="1:4" ht="13.2">
      <c r="A491" s="51" t="s">
        <v>637</v>
      </c>
      <c r="B491" s="263" t="str">
        <f>HYPERLINK("https://uva.onlinejudge.org/index.php?option=com_onlinejudge&amp;Itemid=8&amp;page=show_problem&amp;problem=132","UVA 196")</f>
        <v>UVA 196</v>
      </c>
      <c r="C491" s="56"/>
      <c r="D491" s="262" t="s">
        <v>1476</v>
      </c>
    </row>
    <row r="492" spans="1:4" ht="13.2">
      <c r="A492" s="51" t="s">
        <v>660</v>
      </c>
      <c r="B492" s="263" t="str">
        <f>HYPERLINK("https://uva.onlinejudge.org/index.php?option=com_onlinejudge&amp;Itemid=8&amp;page=show_problem&amp;problem=3415","UVA 12263")</f>
        <v>UVA 12263</v>
      </c>
      <c r="C492" s="35"/>
      <c r="D492" s="262" t="s">
        <v>1474</v>
      </c>
    </row>
    <row r="493" spans="1:4" ht="13.2">
      <c r="A493" s="51" t="s">
        <v>826</v>
      </c>
      <c r="B493" s="263" t="str">
        <f>HYPERLINK("https://uva.onlinejudge.org/index.php?option=com_onlinejudge&amp;Itemid=8&amp;page=show_problem&amp;problem=2733","UVA 11686")</f>
        <v>UVA 11686</v>
      </c>
      <c r="C493" s="56"/>
      <c r="D493" s="262" t="s">
        <v>1477</v>
      </c>
    </row>
    <row r="494" spans="1:4" ht="13.2">
      <c r="A494" s="51"/>
      <c r="B494" s="51" t="s">
        <v>1075</v>
      </c>
      <c r="C494" s="56"/>
      <c r="D494" s="262" t="s">
        <v>1474</v>
      </c>
    </row>
    <row r="495" spans="1:4" ht="13.2">
      <c r="A495" s="51" t="s">
        <v>935</v>
      </c>
      <c r="B495" s="263" t="str">
        <f>HYPERLINK("http://codeforces.com/contest/645/problem/D","CF645-D12-D")</f>
        <v>CF645-D12-D</v>
      </c>
      <c r="C495" s="56"/>
      <c r="D495" s="262" t="s">
        <v>1478</v>
      </c>
    </row>
    <row r="496" spans="1:4" ht="13.2">
      <c r="A496" s="51" t="s">
        <v>1085</v>
      </c>
      <c r="B496" s="263" t="str">
        <f>HYPERLINK("http://codeforces.com/contest/681/problem/D","CF681-D2-D")</f>
        <v>CF681-D2-D</v>
      </c>
      <c r="C496" s="56"/>
      <c r="D496" s="262" t="s">
        <v>1479</v>
      </c>
    </row>
    <row r="497" spans="1:4" ht="13.2">
      <c r="A497" s="51" t="s">
        <v>1196</v>
      </c>
      <c r="B497" s="263" t="str">
        <f>HYPERLINK("http://codeforces.com/contest/812/problem/D","CF812-D2-D")</f>
        <v>CF812-D2-D</v>
      </c>
      <c r="C497" s="56"/>
      <c r="D497" s="262" t="s">
        <v>1480</v>
      </c>
    </row>
    <row r="498" spans="1:4" ht="13.2">
      <c r="A498" s="51" t="s">
        <v>730</v>
      </c>
      <c r="B498" s="263" t="str">
        <f>HYPERLINK("http://www.spoj.com/problems/SHOP/","SPOJ SHOP")</f>
        <v>SPOJ SHOP</v>
      </c>
      <c r="C498" s="56"/>
      <c r="D498" s="262" t="s">
        <v>1481</v>
      </c>
    </row>
    <row r="499" spans="1:4" ht="13.2">
      <c r="A499" s="51" t="s">
        <v>728</v>
      </c>
      <c r="B499" s="263" t="str">
        <f>HYPERLINK("https://uva.onlinejudge.org/index.php?option=com_onlinejudge&amp;Itemid=8&amp;page=show_problem&amp;problem=1927","UVA 10986")</f>
        <v>UVA 10986</v>
      </c>
      <c r="C499" s="56"/>
      <c r="D499" s="262" t="s">
        <v>1481</v>
      </c>
    </row>
    <row r="500" spans="1:4" ht="13.2">
      <c r="A500" s="51" t="s">
        <v>986</v>
      </c>
      <c r="B500" s="263" t="str">
        <f>HYPERLINK("http://www.spoj.com/problems/MELE3/","SPOJ MELE3")</f>
        <v>SPOJ MELE3</v>
      </c>
      <c r="C500" s="56"/>
      <c r="D500" s="262" t="s">
        <v>1481</v>
      </c>
    </row>
    <row r="501" spans="1:4" ht="13.2">
      <c r="A501" s="51" t="s">
        <v>987</v>
      </c>
      <c r="B501" s="263" t="str">
        <f>HYPERLINK("http://www.spoj.com/problems/ROADS/en/","SPOJ ROADS")</f>
        <v>SPOJ ROADS</v>
      </c>
      <c r="C501" s="56"/>
      <c r="D501" s="262" t="s">
        <v>1482</v>
      </c>
    </row>
    <row r="502" spans="1:4" ht="13.2">
      <c r="A502" s="51" t="s">
        <v>729</v>
      </c>
      <c r="B502" s="263" t="str">
        <f>HYPERLINK("https://uva.onlinejudge.org/index.php?option=onlinejudge&amp;page=show_problem&amp;problem=1742","UVA 10801")</f>
        <v>UVA 10801</v>
      </c>
      <c r="C502" s="56"/>
      <c r="D502" s="262" t="s">
        <v>1481</v>
      </c>
    </row>
    <row r="503" spans="1:4" ht="13.2">
      <c r="A503" s="51"/>
      <c r="B503" s="51" t="s">
        <v>1108</v>
      </c>
      <c r="C503" s="264"/>
      <c r="D503" s="262" t="s">
        <v>1483</v>
      </c>
    </row>
    <row r="504" spans="1:4" ht="13.2">
      <c r="A504" s="51" t="s">
        <v>956</v>
      </c>
      <c r="B504" s="263" t="str">
        <f>HYPERLINK("http://codeforces.com/contest/96/problem/D","CF96-D2-D")</f>
        <v>CF96-D2-D</v>
      </c>
      <c r="C504" s="56"/>
      <c r="D504" s="262" t="s">
        <v>1484</v>
      </c>
    </row>
    <row r="505" spans="1:4" ht="13.2">
      <c r="A505" s="51"/>
      <c r="B505" s="51" t="s">
        <v>903</v>
      </c>
      <c r="C505" s="56"/>
      <c r="D505" s="262" t="s">
        <v>1481</v>
      </c>
    </row>
    <row r="506" spans="1:4" ht="13.2">
      <c r="A506" s="51"/>
      <c r="B506" s="51" t="s">
        <v>937</v>
      </c>
      <c r="C506" s="56"/>
      <c r="D506" s="262" t="s">
        <v>1485</v>
      </c>
    </row>
    <row r="507" spans="1:4" ht="13.2">
      <c r="A507" s="51" t="s">
        <v>1029</v>
      </c>
      <c r="B507" s="51" t="s">
        <v>1030</v>
      </c>
      <c r="C507" s="264"/>
      <c r="D507" s="262" t="s">
        <v>1481</v>
      </c>
    </row>
    <row r="508" spans="1:4" ht="13.2">
      <c r="A508" s="51" t="s">
        <v>474</v>
      </c>
      <c r="B508" s="51" t="s">
        <v>475</v>
      </c>
      <c r="C508" s="56"/>
      <c r="D508" s="262" t="s">
        <v>1486</v>
      </c>
    </row>
    <row r="509" spans="1:4" ht="13.2">
      <c r="A509" s="51" t="s">
        <v>933</v>
      </c>
      <c r="B509" s="263" t="str">
        <f>HYPERLINK("https://uva.onlinejudge.org/index.php?option=onlinejudge&amp;page=show_problem&amp;problem=1119","UVA 10178")</f>
        <v>UVA 10178</v>
      </c>
      <c r="C509" s="56"/>
      <c r="D509" s="262" t="s">
        <v>1487</v>
      </c>
    </row>
    <row r="510" spans="1:4" ht="13.2">
      <c r="A510" s="51" t="s">
        <v>686</v>
      </c>
      <c r="B510" s="263" t="str">
        <f>HYPERLINK("http://codeforces.com/contest/278/problem/C","CF278-D2-C")</f>
        <v>CF278-D2-C</v>
      </c>
      <c r="C510" s="56"/>
      <c r="D510" s="262" t="s">
        <v>1486</v>
      </c>
    </row>
    <row r="511" spans="1:4" ht="13.2">
      <c r="A511" s="51" t="s">
        <v>446</v>
      </c>
      <c r="B511" s="263" t="str">
        <f>HYPERLINK("https://uva.onlinejudge.org/index.php?option=onlinejudge&amp;page=show_problem&amp;problem=2498","UVA 11503")</f>
        <v>UVA 11503</v>
      </c>
      <c r="C511" s="56"/>
      <c r="D511" s="262" t="s">
        <v>1486</v>
      </c>
    </row>
    <row r="512" spans="1:4" ht="13.2">
      <c r="A512" s="51" t="s">
        <v>1009</v>
      </c>
      <c r="B512" s="51" t="s">
        <v>1010</v>
      </c>
      <c r="C512" s="264"/>
      <c r="D512" s="262" t="s">
        <v>1486</v>
      </c>
    </row>
    <row r="513" spans="1:4" ht="13.2">
      <c r="A513" s="51" t="s">
        <v>1177</v>
      </c>
      <c r="B513" s="263" t="str">
        <f>HYPERLINK("http://codeforces.com/contest/104/problem/C","CF104-D2-C")</f>
        <v>CF104-D2-C</v>
      </c>
      <c r="C513" s="264"/>
      <c r="D513" s="262" t="s">
        <v>1486</v>
      </c>
    </row>
    <row r="514" spans="1:4" ht="13.2">
      <c r="A514" s="51" t="s">
        <v>1135</v>
      </c>
      <c r="B514" s="263" t="str">
        <f>HYPERLINK("http://codeforces.com/contest/437/problem/D","CF437-D2-D")</f>
        <v>CF437-D2-D</v>
      </c>
      <c r="C514" s="264"/>
      <c r="D514" s="262" t="s">
        <v>1486</v>
      </c>
    </row>
    <row r="515" spans="1:4" ht="13.2">
      <c r="A515" s="51" t="s">
        <v>905</v>
      </c>
      <c r="B515" s="263" t="str">
        <f>HYPERLINK("http://codeforces.com/contest/766/problem/D","CF766-D2-D")</f>
        <v>CF766-D2-D</v>
      </c>
      <c r="C515" s="56"/>
      <c r="D515" s="262" t="s">
        <v>1488</v>
      </c>
    </row>
    <row r="516" spans="1:4" ht="13.2">
      <c r="A516" s="51"/>
      <c r="B516" s="263" t="str">
        <f>HYPERLINK("http://codeforces.com/contest/1012/problem/B","CF1012-D1-B")</f>
        <v>CF1012-D1-B</v>
      </c>
      <c r="C516" s="56"/>
      <c r="D516" s="262" t="s">
        <v>1486</v>
      </c>
    </row>
    <row r="517" spans="1:4" ht="13.2">
      <c r="A517" s="51"/>
      <c r="B517" s="51" t="s">
        <v>1137</v>
      </c>
      <c r="C517" s="264"/>
      <c r="D517" s="262" t="s">
        <v>1489</v>
      </c>
    </row>
    <row r="518" spans="1:4" ht="13.2">
      <c r="A518" s="51" t="s">
        <v>1132</v>
      </c>
      <c r="B518" s="263" t="str">
        <f>HYPERLINK("http://codeforces.com/contest/292/problem/D","CF292-D12-D")</f>
        <v>CF292-D12-D</v>
      </c>
      <c r="C518" s="264"/>
      <c r="D518" s="262" t="s">
        <v>1486</v>
      </c>
    </row>
    <row r="519" spans="1:4" ht="13.2">
      <c r="A519" s="51" t="s">
        <v>1000</v>
      </c>
      <c r="B519" s="263" t="str">
        <f>HYPERLINK("https://uva.onlinejudge.org/index.php?option=onlinejudge&amp;page=show_problem&amp;problem=122","UVA 186")</f>
        <v>UVA 186</v>
      </c>
      <c r="C519" s="56"/>
      <c r="D519" s="262" t="s">
        <v>1490</v>
      </c>
    </row>
    <row r="520" spans="1:4" ht="13.2">
      <c r="A520" s="51" t="s">
        <v>781</v>
      </c>
      <c r="B520" s="263" t="str">
        <f>HYPERLINK("https://uva.onlinejudge.org/index.php?option=onlinejudge&amp;page=show_problem&amp;problem=61","UVA 125")</f>
        <v>UVA 125</v>
      </c>
      <c r="C520" s="56"/>
      <c r="D520" s="262" t="s">
        <v>1491</v>
      </c>
    </row>
    <row r="521" spans="1:4" ht="13.2">
      <c r="A521" s="51" t="s">
        <v>779</v>
      </c>
      <c r="B521" s="263" t="str">
        <f>HYPERLINK("https://uva.onlinejudge.org/index.php?option=com_onlinejudge&amp;Itemid=8&amp;page=show_problem&amp;problem=475","UVA 534")</f>
        <v>UVA 534</v>
      </c>
      <c r="C521" s="56"/>
      <c r="D521" s="262" t="s">
        <v>1492</v>
      </c>
    </row>
    <row r="522" spans="1:4" ht="13.2">
      <c r="A522" s="51" t="s">
        <v>1008</v>
      </c>
      <c r="B522" s="263" t="str">
        <f>HYPERLINK("https://uva.onlinejudge.org/index.php?option=onlinejudge&amp;page=show_problem&amp;problem=1757","UVA 10816")</f>
        <v>UVA 10816</v>
      </c>
      <c r="C522" s="264"/>
      <c r="D522" s="262" t="s">
        <v>1493</v>
      </c>
    </row>
    <row r="523" spans="1:4" ht="13.2">
      <c r="A523" s="51" t="s">
        <v>780</v>
      </c>
      <c r="B523" s="263" t="str">
        <f>HYPERLINK("https://uva.onlinejudge.org/index.php?option=com_onlinejudge&amp;Itemid=8&amp;page=show_problem&amp;problem=270","UVA 334")</f>
        <v>UVA 334</v>
      </c>
      <c r="C523" s="56"/>
      <c r="D523" s="262" t="s">
        <v>1494</v>
      </c>
    </row>
    <row r="524" spans="1:4" ht="13.2">
      <c r="A524" s="51" t="s">
        <v>1016</v>
      </c>
      <c r="B524" s="263" t="str">
        <f>HYPERLINK("http://codeforces.com/contest/296/problem/D","CF296-D2-D")</f>
        <v>CF296-D2-D</v>
      </c>
      <c r="C524" s="56"/>
      <c r="D524" s="262" t="s">
        <v>1494</v>
      </c>
    </row>
    <row r="525" spans="1:4" ht="13.2">
      <c r="A525" s="51" t="s">
        <v>858</v>
      </c>
      <c r="B525" s="263" t="str">
        <f>HYPERLINK("http://codeforces.com/contest/400/problem/D","CF400-D2-D")</f>
        <v>CF400-D2-D</v>
      </c>
      <c r="C525" s="56"/>
      <c r="D525" s="262" t="s">
        <v>1495</v>
      </c>
    </row>
    <row r="526" spans="1:4" ht="13.2">
      <c r="A526" s="51" t="s">
        <v>1170</v>
      </c>
      <c r="B526" s="263" t="str">
        <f>HYPERLINK("http://codeforces.com/contest/189/problem/D","CF189-D2-D")</f>
        <v>CF189-D2-D</v>
      </c>
      <c r="C526" s="264"/>
      <c r="D526" s="262" t="s">
        <v>1494</v>
      </c>
    </row>
    <row r="527" spans="1:4" ht="13.2">
      <c r="A527" s="51" t="s">
        <v>1190</v>
      </c>
      <c r="B527" s="263" t="str">
        <f>HYPERLINK("https://uva.onlinejudge.org/index.php?option=onlinejudge&amp;page=show_problem&amp;problem=1928","UVA 10987")</f>
        <v>UVA 10987</v>
      </c>
      <c r="C527" s="264"/>
      <c r="D527" s="262" t="s">
        <v>1496</v>
      </c>
    </row>
    <row r="528" spans="1:4" ht="13.2">
      <c r="A528" s="51" t="s">
        <v>1025</v>
      </c>
      <c r="B528" s="263" t="str">
        <f>HYPERLINK("https://www.youtube.com/watch?v=OWlJ8chpit0","UVA 10448")</f>
        <v>UVA 10448</v>
      </c>
      <c r="C528" s="56"/>
      <c r="D528" s="262" t="s">
        <v>1497</v>
      </c>
    </row>
    <row r="529" spans="1:4" ht="13.2">
      <c r="A529" s="51" t="s">
        <v>1149</v>
      </c>
      <c r="B529" s="263" t="str">
        <f>HYPERLINK("https://uva.onlinejudge.org/index.php?option=com_onlinejudge&amp;Itemid=8&amp;page=show_problem&amp;problem=40","UVA 104")</f>
        <v>UVA 104</v>
      </c>
      <c r="C529" s="264"/>
      <c r="D529" s="262" t="s">
        <v>1494</v>
      </c>
    </row>
    <row r="530" spans="1:4" ht="13.2">
      <c r="A530" s="51" t="s">
        <v>1057</v>
      </c>
      <c r="B530" s="263" t="str">
        <f>HYPERLINK("http://www.spoj.com/problems/POTHOLE/","SPOJ POTHOLE")</f>
        <v>SPOJ POTHOLE</v>
      </c>
      <c r="C530" s="56"/>
      <c r="D530" s="262" t="s">
        <v>1498</v>
      </c>
    </row>
    <row r="531" spans="1:4" ht="13.2">
      <c r="A531" s="51" t="s">
        <v>1058</v>
      </c>
      <c r="B531" s="263" t="str">
        <f>HYPERLINK("https://uva.onlinejudge.org/index.php?option=onlinejudge&amp;page=show_problem&amp;problem=1271","UVA 10330")</f>
        <v>UVA 10330</v>
      </c>
      <c r="C531" s="56"/>
      <c r="D531" s="262" t="s">
        <v>1499</v>
      </c>
    </row>
    <row r="532" spans="1:4" ht="13.2">
      <c r="A532" s="51" t="s">
        <v>1158</v>
      </c>
      <c r="B532" s="263" t="str">
        <f>HYPERLINK("https://uva.onlinejudge.org/index.php?option=com_onlinejudge&amp;Itemid=8&amp;page=show_problem&amp;problem=1033","UVA 10092")</f>
        <v>UVA 10092</v>
      </c>
      <c r="C532" s="264"/>
      <c r="D532" s="262" t="s">
        <v>1500</v>
      </c>
    </row>
    <row r="533" spans="1:4" ht="13.2">
      <c r="A533" s="51" t="s">
        <v>1127</v>
      </c>
      <c r="B533" s="263" t="str">
        <f>HYPERLINK("https://uva.onlinejudge.org/index.php?option=com_onlinejudge&amp;Itemid=8&amp;page=show_problem&amp;problem=504","UVA 563")</f>
        <v>UVA 563</v>
      </c>
      <c r="C533" s="264"/>
      <c r="D533" s="262" t="s">
        <v>1501</v>
      </c>
    </row>
    <row r="534" spans="1:4" ht="13.2">
      <c r="A534" s="51" t="s">
        <v>1063</v>
      </c>
      <c r="B534" s="263" t="str">
        <f>HYPERLINK("http://www.spoj.com/problems/IM","SPOJ IM")</f>
        <v>SPOJ IM</v>
      </c>
      <c r="C534" s="56"/>
      <c r="D534" s="262" t="s">
        <v>1502</v>
      </c>
    </row>
    <row r="535" spans="1:4" ht="13.2">
      <c r="A535" s="51" t="s">
        <v>1062</v>
      </c>
      <c r="B535" s="263" t="str">
        <f>HYPERLINK("https://uva.onlinejudge.org/index.php?option=onlinejudge&amp;page=show_problem&amp;problem=694","UVA 753")</f>
        <v>UVA 753</v>
      </c>
      <c r="C535" s="56"/>
      <c r="D535" s="262" t="s">
        <v>1503</v>
      </c>
    </row>
    <row r="536" spans="1:4" ht="13.2">
      <c r="A536" s="51" t="s">
        <v>1184</v>
      </c>
      <c r="B536" s="263" t="str">
        <f>HYPERLINK("https://uva.onlinejudge.org/index.php?option=com_onlinejudge&amp;Itemid=8&amp;page=show_problem&amp;problem=3277","UVA 12125")</f>
        <v>UVA 12125</v>
      </c>
      <c r="C536" s="264"/>
      <c r="D536" s="262" t="s">
        <v>1499</v>
      </c>
    </row>
    <row r="537" spans="1:4" ht="13.2">
      <c r="A537" s="51" t="s">
        <v>1059</v>
      </c>
      <c r="B537" s="263" t="str">
        <f>HYPERLINK("https://uva.onlinejudge.org/index.php?option=com_onlinejudge&amp;Itemid=8&amp;page=show_problem&amp;problem=1021","UVA 10080")</f>
        <v>UVA 10080</v>
      </c>
      <c r="C537" s="56"/>
      <c r="D537" s="262" t="s">
        <v>1504</v>
      </c>
    </row>
    <row r="538" spans="1:4" ht="13.2">
      <c r="A538" s="51" t="s">
        <v>1060</v>
      </c>
      <c r="B538" s="263" t="str">
        <f>HYPERLINK("https://uva.onlinejudge.org/index.php?option=com_onlinejudge&amp;Itemid=8&amp;page=show_problem&amp;problem=195","UVA 259")</f>
        <v>UVA 259</v>
      </c>
      <c r="C538" s="56"/>
      <c r="D538" s="262" t="s">
        <v>1505</v>
      </c>
    </row>
    <row r="539" spans="1:4" ht="13.2">
      <c r="A539" s="51"/>
      <c r="B539" s="51" t="s">
        <v>1073</v>
      </c>
      <c r="C539" s="56"/>
      <c r="D539" s="262" t="s">
        <v>1504</v>
      </c>
    </row>
    <row r="540" spans="1:4" ht="13.2">
      <c r="A540" s="51"/>
      <c r="B540" s="51" t="s">
        <v>1072</v>
      </c>
      <c r="C540" s="56"/>
      <c r="D540" s="262" t="s">
        <v>1506</v>
      </c>
    </row>
    <row r="541" spans="1:4" ht="13.2">
      <c r="A541" s="51"/>
      <c r="B541" s="51" t="s">
        <v>1064</v>
      </c>
      <c r="C541" s="56"/>
      <c r="D541" s="262" t="s">
        <v>1507</v>
      </c>
    </row>
    <row r="542" spans="1:4" ht="13.2">
      <c r="A542" s="51"/>
      <c r="B542" s="263" t="str">
        <f>HYPERLINK("https://uva.onlinejudge.org/index.php?option=onlinejudge&amp;page=show_problem&amp;problem=1290","UVA 10349")</f>
        <v>UVA 10349</v>
      </c>
      <c r="C542" s="56"/>
      <c r="D542" s="262" t="s">
        <v>1508</v>
      </c>
    </row>
    <row r="543" spans="1:4" ht="13.2">
      <c r="A543" s="51"/>
      <c r="B543" s="263" t="str">
        <f>HYPERLINK("https://uva.onlinejudge.org/index.php?option=com_onlinejudge&amp;Itemid=8&amp;page=show_problem&amp;problem=2100","UVA 11159")</f>
        <v>UVA 11159</v>
      </c>
      <c r="C543" s="56"/>
      <c r="D543" s="262" t="s">
        <v>1509</v>
      </c>
    </row>
    <row r="544" spans="1:4" ht="13.2">
      <c r="A544" s="51"/>
      <c r="B544" s="51" t="s">
        <v>1061</v>
      </c>
      <c r="C544" s="56"/>
      <c r="D544" s="262" t="s">
        <v>1510</v>
      </c>
    </row>
    <row r="545" spans="1:4" ht="13.2">
      <c r="A545" s="51"/>
      <c r="B545" s="51" t="s">
        <v>1125</v>
      </c>
      <c r="C545" s="264"/>
      <c r="D545" s="262" t="s">
        <v>1504</v>
      </c>
    </row>
    <row r="546" spans="1:4" ht="13.2">
      <c r="A546" s="51"/>
      <c r="B546" s="51" t="s">
        <v>1156</v>
      </c>
      <c r="C546" s="264"/>
      <c r="D546" s="262" t="s">
        <v>1504</v>
      </c>
    </row>
    <row r="547" spans="1:4" ht="13.2">
      <c r="A547" s="51" t="s">
        <v>1082</v>
      </c>
      <c r="B547" s="263" t="str">
        <f>HYPERLINK("https://uva.onlinejudge.org/index.php?option=onlinejudge&amp;page=show_problem&amp;problem=1421","UVA 10480")</f>
        <v>UVA 10480</v>
      </c>
      <c r="C547" s="56"/>
      <c r="D547" s="262" t="s">
        <v>1511</v>
      </c>
    </row>
    <row r="548" spans="1:4" ht="13.2">
      <c r="A548" s="51" t="s">
        <v>1096</v>
      </c>
      <c r="B548" s="263" t="str">
        <f>HYPERLINK("http://acm.zju.edu.cn/onlinejudge/showProblem.do?problemCode=2587","ZOJ 2587")</f>
        <v>ZOJ 2587</v>
      </c>
      <c r="C548" s="264"/>
      <c r="D548" s="262" t="s">
        <v>1512</v>
      </c>
    </row>
    <row r="549" spans="1:4" ht="13.2">
      <c r="A549" s="51" t="s">
        <v>1180</v>
      </c>
      <c r="B549" s="263" t="str">
        <f>HYPERLINK("https://uva.onlinejudge.org/index.php?option=onlinejudge&amp;page=show_problem&amp;problem=2501","UVA 11506")</f>
        <v>UVA 11506</v>
      </c>
      <c r="C549" s="264"/>
      <c r="D549" s="262" t="s">
        <v>1513</v>
      </c>
    </row>
    <row r="550" spans="1:4" ht="13.2">
      <c r="A550" s="263" t="str">
        <f>HYPERLINK("https://community.topcoder.com/stat?c=problem_statement&amp;pm=10580","PeopleYouMayKnow")</f>
        <v>PeopleYouMayKnow</v>
      </c>
      <c r="B550" s="51" t="s">
        <v>1185</v>
      </c>
      <c r="C550" s="264"/>
      <c r="D550" s="262" t="s">
        <v>1514</v>
      </c>
    </row>
    <row r="551" spans="1:4" ht="13.2">
      <c r="A551" s="51"/>
      <c r="B551" s="51" t="s">
        <v>1139</v>
      </c>
      <c r="C551" s="264"/>
      <c r="D551" s="262" t="s">
        <v>1515</v>
      </c>
    </row>
    <row r="552" spans="1:4" ht="13.2">
      <c r="A552" s="51"/>
      <c r="B552" s="51" t="s">
        <v>1107</v>
      </c>
      <c r="C552" s="264"/>
      <c r="D552" s="262" t="s">
        <v>1515</v>
      </c>
    </row>
    <row r="553" spans="1:4" ht="13.2">
      <c r="A553" s="51" t="s">
        <v>444</v>
      </c>
      <c r="B553" s="263" t="str">
        <f>HYPERLINK("https://uva.onlinejudge.org/index.php?option=com_onlinejudge&amp;Itemid=8&amp;page=show_problem&amp;problem=1088","UVA 10147")</f>
        <v>UVA 10147</v>
      </c>
      <c r="C553" s="56"/>
      <c r="D553" s="262" t="s">
        <v>1516</v>
      </c>
    </row>
    <row r="554" spans="1:4" ht="13.2">
      <c r="A554" s="51" t="s">
        <v>715</v>
      </c>
      <c r="B554" s="263" t="str">
        <f>HYPERLINK("https://uva.onlinejudge.org/index.php?option=onlinejudge&amp;page=show_problem&amp;problem=1403","UVA 10462")</f>
        <v>UVA 10462</v>
      </c>
      <c r="C554" s="56"/>
      <c r="D554" s="262" t="s">
        <v>1517</v>
      </c>
    </row>
    <row r="555" spans="1:4" ht="13.2">
      <c r="A555" s="51"/>
      <c r="B555" s="51" t="s">
        <v>564</v>
      </c>
      <c r="C555" s="56"/>
      <c r="D555" s="262" t="s">
        <v>1518</v>
      </c>
    </row>
    <row r="556" spans="1:4" ht="13.2">
      <c r="A556" s="51" t="s">
        <v>445</v>
      </c>
      <c r="B556" s="263" t="str">
        <f>HYPERLINK("https://uva.onlinejudge.org/index.php?option=com_onlinejudge&amp;Itemid=8&amp;page=show_problem&amp;problem=1541","UVA 10600")</f>
        <v>UVA 10600</v>
      </c>
      <c r="C556" s="56"/>
      <c r="D556" s="262" t="s">
        <v>1517</v>
      </c>
    </row>
    <row r="557" spans="1:4" ht="13.2">
      <c r="A557" s="263" t="str">
        <f>HYPERLINK("https://community.topcoder.com/stat?c=problem_statement&amp;pm=11049&amp;rd=14245","TimeTravellingSalesman")</f>
        <v>TimeTravellingSalesman</v>
      </c>
      <c r="B557" s="51" t="s">
        <v>1183</v>
      </c>
      <c r="C557" s="264"/>
      <c r="D557" s="262" t="s">
        <v>1516</v>
      </c>
    </row>
    <row r="558" spans="1:4" ht="13.2">
      <c r="A558" s="51"/>
      <c r="B558" s="263" t="str">
        <f>HYPERLINK("http://codeforces.com/contest/472/problem/D","CF472-D12-D")</f>
        <v>CF472-D12-D</v>
      </c>
      <c r="C558" s="56"/>
      <c r="D558" s="262" t="s">
        <v>1519</v>
      </c>
    </row>
    <row r="559" spans="1:4" ht="13.2">
      <c r="A559" s="51" t="s">
        <v>1161</v>
      </c>
      <c r="B559" s="263" t="str">
        <f>HYPERLINK("https://uva.onlinejudge.org/index.php?option=com_onlinejudge&amp;Itemid=8&amp;page=show_problem&amp;problem=3675","UVA 1234")</f>
        <v>UVA 1234</v>
      </c>
      <c r="C559" s="264"/>
      <c r="D559" s="262" t="s">
        <v>1520</v>
      </c>
    </row>
    <row r="560" spans="1:4" ht="13.2">
      <c r="A560" s="51" t="s">
        <v>447</v>
      </c>
      <c r="B560" s="263" t="str">
        <f>HYPERLINK("https://uva.onlinejudge.org/index.php?option=com_onlinejudge&amp;Itemid=8&amp;page=show_problem&amp;problem=1310","UVA 10369")</f>
        <v>UVA 10369</v>
      </c>
      <c r="C560" s="56"/>
      <c r="D560" s="262" t="s">
        <v>1521</v>
      </c>
    </row>
    <row r="561" spans="1:4" ht="13.2">
      <c r="A561" s="263" t="str">
        <f>HYPERLINK("https://community.topcoder.com/stat?c=problem_statement&amp;pm=11282&amp;rd=14724","KingdomReorganization")</f>
        <v>KingdomReorganization</v>
      </c>
      <c r="B561" s="51" t="s">
        <v>1157</v>
      </c>
      <c r="C561" s="264"/>
      <c r="D561" s="262" t="s">
        <v>1516</v>
      </c>
    </row>
    <row r="562" spans="1:4" ht="13.2">
      <c r="A562" s="51" t="s">
        <v>957</v>
      </c>
      <c r="B562" s="263" t="str">
        <f>HYPERLINK("http://codeforces.com/contest/606/problem/D","CF606-D2-D")</f>
        <v>CF606-D2-D</v>
      </c>
      <c r="C562" s="56"/>
      <c r="D562" s="262" t="s">
        <v>1516</v>
      </c>
    </row>
    <row r="563" spans="1:4" ht="13.2">
      <c r="A563" s="263" t="str">
        <f>HYPERLINK("https://community.topcoder.com/stat?c=problem_statement&amp;pm=10750&amp;rd=14153","ActivateGame")</f>
        <v>ActivateGame</v>
      </c>
      <c r="B563" s="51" t="s">
        <v>1162</v>
      </c>
      <c r="C563" s="264"/>
      <c r="D563" s="262" t="s">
        <v>1516</v>
      </c>
    </row>
    <row r="564" spans="1:4" ht="13.2">
      <c r="A564" s="51" t="s">
        <v>1160</v>
      </c>
      <c r="B564" s="263" t="str">
        <f>HYPERLINK("https://icpcarchive.ecs.baylor.edu/index.php?option=onlinejudge&amp;page=show_problem&amp;problem=2327","LIVEARCHIVE 4326")</f>
        <v>LIVEARCHIVE 4326</v>
      </c>
      <c r="C564" s="264"/>
      <c r="D564" s="262" t="s">
        <v>1522</v>
      </c>
    </row>
    <row r="565" spans="1:4" ht="13.2">
      <c r="A565" s="51" t="s">
        <v>1077</v>
      </c>
      <c r="B565" s="263" t="str">
        <f>HYPERLINK("http://www.spoj.com/problems/BOTTOM/","SPOJ BOTTOM")</f>
        <v>SPOJ BOTTOM</v>
      </c>
      <c r="C565" s="56"/>
      <c r="D565" s="262" t="s">
        <v>1523</v>
      </c>
    </row>
    <row r="566" spans="1:4" ht="13.2">
      <c r="A566" s="51" t="s">
        <v>1078</v>
      </c>
      <c r="B566" s="263" t="str">
        <f>HYPERLINK("https://uva.onlinejudge.org/index.php?option=onlinejudge&amp;page=show_problem&amp;problem=1672","UVA 10731")</f>
        <v>UVA 10731</v>
      </c>
      <c r="C566" s="56"/>
      <c r="D566" s="262" t="s">
        <v>1523</v>
      </c>
    </row>
    <row r="567" spans="1:4" ht="13.2">
      <c r="A567" s="51" t="s">
        <v>1103</v>
      </c>
      <c r="B567" s="263" t="str">
        <f>HYPERLINK("https://uva.onlinejudge.org/index.php?option=onlinejudge&amp;page=show_problem&amp;problem=2499","UVA 11504")</f>
        <v>UVA 11504</v>
      </c>
      <c r="C567" s="264"/>
      <c r="D567" s="262" t="s">
        <v>1524</v>
      </c>
    </row>
    <row r="568" spans="1:4" ht="13.2">
      <c r="A568" s="51"/>
      <c r="B568" s="263" t="str">
        <f>HYPERLINK("http://codeforces.com/contest/467/problem/D","CF467-D2-D")</f>
        <v>CF467-D2-D</v>
      </c>
      <c r="C568" s="56"/>
      <c r="D568" s="262" t="s">
        <v>1525</v>
      </c>
    </row>
    <row r="569" spans="1:4" ht="13.2">
      <c r="A569" s="51"/>
      <c r="B569" s="51" t="s">
        <v>1079</v>
      </c>
      <c r="C569" s="56"/>
      <c r="D569" s="262" t="s">
        <v>1526</v>
      </c>
    </row>
    <row r="570" spans="1:4" ht="13.2">
      <c r="A570" s="51" t="s">
        <v>1101</v>
      </c>
      <c r="B570" s="263" t="str">
        <f>HYPERLINK("https://uva.onlinejudge.org/index.php?option=com_onlinejudge&amp;Itemid=8&amp;page=show_problem&amp;problem=3319","UVA 12167")</f>
        <v>UVA 12167</v>
      </c>
      <c r="C570" s="264"/>
      <c r="D570" s="262" t="s">
        <v>1523</v>
      </c>
    </row>
    <row r="571" spans="1:4" ht="13.2">
      <c r="A571" s="51"/>
      <c r="B571" s="51" t="s">
        <v>1084</v>
      </c>
      <c r="C571" s="56"/>
      <c r="D571" s="262" t="s">
        <v>1527</v>
      </c>
    </row>
    <row r="572" spans="1:4" ht="13.2">
      <c r="A572" s="51"/>
      <c r="B572" s="51" t="s">
        <v>1106</v>
      </c>
      <c r="C572" s="264"/>
      <c r="D572" s="262" t="s">
        <v>1528</v>
      </c>
    </row>
    <row r="573" spans="1:4" ht="13.2">
      <c r="A573" s="51"/>
      <c r="B573" s="51" t="s">
        <v>1129</v>
      </c>
      <c r="C573" s="264"/>
      <c r="D573" s="262" t="s">
        <v>1529</v>
      </c>
    </row>
    <row r="574" spans="1:4" ht="13.2">
      <c r="A574" s="51"/>
      <c r="B574" s="263" t="str">
        <f>HYPERLINK("http://codeforces.com/contest/403/problem/C","CF403-D1-C")</f>
        <v>CF403-D1-C</v>
      </c>
      <c r="C574" s="264"/>
      <c r="D574" s="262" t="s">
        <v>1530</v>
      </c>
    </row>
    <row r="575" spans="1:4" ht="13.2">
      <c r="A575" s="51" t="s">
        <v>391</v>
      </c>
      <c r="B575" s="263" t="str">
        <f>HYPERLINK("http://codeforces.com/contest/810/problem/B","CF810-D2-B")</f>
        <v>CF810-D2-B</v>
      </c>
      <c r="C575" s="56"/>
      <c r="D575" s="262" t="s">
        <v>1531</v>
      </c>
    </row>
    <row r="576" spans="1:4" ht="13.2">
      <c r="A576" s="51" t="s">
        <v>464</v>
      </c>
      <c r="B576" s="263" t="str">
        <f>HYPERLINK("http://codeforces.com/contest/1009/problem/B","CF1009-D12-B")</f>
        <v>CF1009-D12-B</v>
      </c>
      <c r="C576" s="56"/>
      <c r="D576" s="262" t="s">
        <v>1531</v>
      </c>
    </row>
    <row r="577" spans="1:4" ht="13.2">
      <c r="A577" s="51" t="s">
        <v>571</v>
      </c>
      <c r="B577" s="263" t="str">
        <f>HYPERLINK("http://codeforces.com/contest/479/problem/B","CF479-D2-B")</f>
        <v>CF479-D2-B</v>
      </c>
      <c r="C577" s="56"/>
      <c r="D577" s="262" t="s">
        <v>1531</v>
      </c>
    </row>
    <row r="578" spans="1:4" ht="13.2">
      <c r="A578" s="51" t="s">
        <v>570</v>
      </c>
      <c r="B578" s="263" t="str">
        <f>HYPERLINK("http://codeforces.com/contest/378/problem/B","CF378-D2-B")</f>
        <v>CF378-D2-B</v>
      </c>
      <c r="C578" s="56"/>
      <c r="D578" s="267" t="s">
        <v>1531</v>
      </c>
    </row>
    <row r="579" spans="1:4" ht="13.2">
      <c r="A579" s="51" t="s">
        <v>565</v>
      </c>
      <c r="B579" s="263" t="str">
        <f>HYPERLINK("http://codeforces.com/contest/437/problem/B","CF437-D2-B")</f>
        <v>CF437-D2-B</v>
      </c>
      <c r="C579" s="56"/>
      <c r="D579" s="262" t="s">
        <v>1532</v>
      </c>
    </row>
    <row r="580" spans="1:4" ht="13.2">
      <c r="A580" s="51" t="s">
        <v>390</v>
      </c>
      <c r="B580" s="263" t="str">
        <f>HYPERLINK("http://codeforces.com/contest/451/problem/B","CF451-D2-B")</f>
        <v>CF451-D2-B</v>
      </c>
      <c r="C580" s="56"/>
      <c r="D580" s="170" t="s">
        <v>1533</v>
      </c>
    </row>
    <row r="581" spans="1:4" ht="13.2">
      <c r="A581" s="51" t="s">
        <v>393</v>
      </c>
      <c r="B581" s="263" t="str">
        <f>HYPERLINK("http://codeforces.com/contest/766/problem/B","CF766-D2-B")</f>
        <v>CF766-D2-B</v>
      </c>
      <c r="C581" s="56"/>
      <c r="D581" s="170" t="s">
        <v>1531</v>
      </c>
    </row>
    <row r="582" spans="1:4" ht="13.2">
      <c r="A582" s="51" t="s">
        <v>1039</v>
      </c>
      <c r="B582" s="263" t="str">
        <f>HYPERLINK("http://codeforces.com/contest/265/problem/C","CF265-D2-C")</f>
        <v>CF265-D2-C</v>
      </c>
      <c r="C582" s="56"/>
      <c r="D582" s="262" t="s">
        <v>1534</v>
      </c>
    </row>
    <row r="583" spans="1:4" ht="13.2">
      <c r="A583" s="51" t="s">
        <v>1037</v>
      </c>
      <c r="B583" s="263" t="str">
        <f>HYPERLINK("http://codeforces.com/contest/363/problem/C","CF363-D2-C")</f>
        <v>CF363-D2-C</v>
      </c>
      <c r="C583" s="56"/>
      <c r="D583" s="262" t="s">
        <v>1534</v>
      </c>
    </row>
    <row r="584" spans="1:4" ht="13.2">
      <c r="A584" s="51" t="s">
        <v>944</v>
      </c>
      <c r="B584" s="263" t="str">
        <f>HYPERLINK("http://codeforces.com/contest/203/problem/C","CF203-D2-C")</f>
        <v>CF203-D2-C</v>
      </c>
      <c r="C584" s="56"/>
      <c r="D584" s="262" t="s">
        <v>1533</v>
      </c>
    </row>
    <row r="585" spans="1:4" ht="13.2">
      <c r="A585" s="51" t="s">
        <v>469</v>
      </c>
      <c r="B585" s="263" t="str">
        <f>HYPERLINK("http://codeforces.com/contest/416/problem/C","CF416-D2-C")</f>
        <v>CF416-D2-C</v>
      </c>
      <c r="C585" s="56"/>
      <c r="D585" s="262" t="s">
        <v>1535</v>
      </c>
    </row>
    <row r="586" spans="1:4" ht="13.2">
      <c r="A586" s="51" t="s">
        <v>647</v>
      </c>
      <c r="B586" s="263" t="str">
        <f>HYPERLINK("http://codeforces.com/contest/979/problem/B","CF979-D2-B")</f>
        <v>CF979-D2-B</v>
      </c>
      <c r="C586" s="56"/>
      <c r="D586" s="262" t="s">
        <v>1536</v>
      </c>
    </row>
    <row r="587" spans="1:4" ht="13.2">
      <c r="A587" s="51" t="s">
        <v>588</v>
      </c>
      <c r="B587" s="263" t="str">
        <f>HYPERLINK("https://uva.onlinejudge.org/index.php?option=onlinejudge&amp;page=show_problem&amp;problem=3276","UVA 12124")</f>
        <v>UVA 12124</v>
      </c>
      <c r="C587" s="56"/>
      <c r="D587" s="262" t="s">
        <v>1537</v>
      </c>
    </row>
    <row r="588" spans="1:4" ht="13.2">
      <c r="A588" s="51"/>
      <c r="B588" s="263" t="str">
        <f>HYPERLINK("https://www.codechef.com/problems/KSUM","CODECHEF KSUM")</f>
        <v>CODECHEF KSUM</v>
      </c>
      <c r="C588" s="56"/>
      <c r="D588" s="262" t="s">
        <v>1538</v>
      </c>
    </row>
    <row r="589" spans="1:4" ht="13.2">
      <c r="A589" s="51"/>
      <c r="B589" s="263" t="str">
        <f>HYPERLINK("https://codeforces.com/contest/1064/problem/C","CF1064-D2-C")</f>
        <v>CF1064-D2-C</v>
      </c>
      <c r="C589" s="56"/>
      <c r="D589" s="262" t="s">
        <v>1539</v>
      </c>
    </row>
    <row r="590" spans="1:4" ht="13.2">
      <c r="A590" s="51"/>
      <c r="B590" s="263" t="str">
        <f>HYPERLINK("http://codeforces.com/contest/534/problem/D","CF534-D2-D")</f>
        <v>CF534-D2-D</v>
      </c>
      <c r="C590" s="56"/>
      <c r="D590" s="262" t="s">
        <v>1540</v>
      </c>
    </row>
    <row r="591" spans="1:4" ht="13.2">
      <c r="A591" s="51"/>
      <c r="B591" s="263" t="str">
        <f>HYPERLINK("http://codeforces.com/contest/1065/problem/C","CF1065-D2-C")</f>
        <v>CF1065-D2-C</v>
      </c>
      <c r="C591" s="56"/>
      <c r="D591" s="262" t="s">
        <v>1531</v>
      </c>
    </row>
    <row r="592" spans="1:4" ht="13.2">
      <c r="A592" s="51"/>
      <c r="B592" s="263" t="str">
        <f>HYPERLINK("http://codeforces.com/contest/445/problem/C","CF445-D2-C")</f>
        <v>CF445-D2-C</v>
      </c>
      <c r="C592" s="56"/>
      <c r="D592" s="262" t="s">
        <v>1531</v>
      </c>
    </row>
    <row r="593" spans="1:4" ht="13.2">
      <c r="A593" s="51" t="s">
        <v>790</v>
      </c>
      <c r="B593" s="263" t="str">
        <f>HYPERLINK("http://codeforces.com/contest/567/problem/C","CF567-D2-C")</f>
        <v>CF567-D2-C</v>
      </c>
      <c r="C593" s="56"/>
      <c r="D593" s="262" t="s">
        <v>1531</v>
      </c>
    </row>
    <row r="594" spans="1:4" ht="13.2">
      <c r="A594" s="51"/>
      <c r="B594" s="51" t="s">
        <v>992</v>
      </c>
      <c r="C594" s="56"/>
      <c r="D594" s="262" t="s">
        <v>1541</v>
      </c>
    </row>
    <row r="595" spans="1:4" ht="13.2">
      <c r="A595" s="51" t="s">
        <v>164</v>
      </c>
      <c r="B595" s="263" t="str">
        <f>HYPERLINK("http://codeforces.com/contest/401/problem/C","CF401-D2-C")</f>
        <v>CF401-D2-C</v>
      </c>
      <c r="C595" s="56"/>
      <c r="D595" s="262" t="s">
        <v>1542</v>
      </c>
    </row>
    <row r="596" spans="1:4" ht="13.2">
      <c r="A596" s="51" t="s">
        <v>552</v>
      </c>
      <c r="B596" s="263" t="str">
        <f>HYPERLINK("http://codeforces.com/contest/515/problem/C","CF515-D2-C")</f>
        <v>CF515-D2-C</v>
      </c>
      <c r="C596" s="56"/>
      <c r="D596" s="262" t="s">
        <v>1541</v>
      </c>
    </row>
    <row r="597" spans="1:4" ht="13.2">
      <c r="A597" s="51" t="s">
        <v>890</v>
      </c>
      <c r="B597" s="263" t="str">
        <f>HYPERLINK("http://codeforces.com/contest/216/problem/C","CF216-D2-C")</f>
        <v>CF216-D2-C</v>
      </c>
      <c r="C597" s="56"/>
      <c r="D597" s="262" t="s">
        <v>1531</v>
      </c>
    </row>
    <row r="598" spans="1:4" ht="13.2">
      <c r="A598" s="51" t="s">
        <v>663</v>
      </c>
      <c r="B598" s="263" t="str">
        <f>HYPERLINK("http://codeforces.com/contest/835/problem/C","CF835-D2-C")</f>
        <v>CF835-D2-C</v>
      </c>
      <c r="C598" s="56"/>
      <c r="D598" s="262" t="s">
        <v>1543</v>
      </c>
    </row>
    <row r="599" spans="1:4" ht="13.2">
      <c r="A599" s="51" t="s">
        <v>470</v>
      </c>
      <c r="B599" s="263" t="str">
        <f>HYPERLINK("http://codeforces.com/contest/492/problem/C","CF492-D2-C")</f>
        <v>CF492-D2-C</v>
      </c>
      <c r="C599" s="56"/>
      <c r="D599" s="262" t="s">
        <v>1533</v>
      </c>
    </row>
    <row r="600" spans="1:4" ht="13.2">
      <c r="A600" s="51"/>
      <c r="B600" s="142" t="s">
        <v>620</v>
      </c>
      <c r="C600" s="56"/>
      <c r="D600" s="262" t="s">
        <v>1544</v>
      </c>
    </row>
    <row r="601" spans="1:4" ht="13.2">
      <c r="A601" s="51"/>
      <c r="B601" s="263" t="str">
        <f>HYPERLINK("http://codeforces.com/contest/729/problem/D","CF729-D12-D")</f>
        <v>CF729-D12-D</v>
      </c>
      <c r="C601" s="56"/>
      <c r="D601" s="262" t="s">
        <v>1545</v>
      </c>
    </row>
    <row r="602" spans="1:4" ht="13.2">
      <c r="A602" s="51" t="s">
        <v>940</v>
      </c>
      <c r="B602" s="263" t="str">
        <f>HYPERLINK("http://codeforces.com/contest/519/problem/D","CF519-D2-D")</f>
        <v>CF519-D2-D</v>
      </c>
      <c r="C602" s="56"/>
      <c r="D602" s="262" t="s">
        <v>1546</v>
      </c>
    </row>
    <row r="603" spans="1:4" ht="13.2">
      <c r="A603" s="51" t="s">
        <v>625</v>
      </c>
      <c r="B603" s="263" t="str">
        <f>HYPERLINK("http://codeforces.com/contest/486/problem/C","CF486-D2-C")</f>
        <v>CF486-D2-C</v>
      </c>
      <c r="C603" s="56"/>
      <c r="D603" s="262" t="s">
        <v>1547</v>
      </c>
    </row>
    <row r="604" spans="1:4" ht="13.2">
      <c r="A604" s="51" t="s">
        <v>643</v>
      </c>
      <c r="B604" s="263" t="str">
        <f>HYPERLINK("http://codeforces.com/contest/584/problem/C","CF584-D2-C")</f>
        <v>CF584-D2-C</v>
      </c>
      <c r="C604" s="56"/>
      <c r="D604" s="262" t="s">
        <v>1548</v>
      </c>
    </row>
    <row r="605" spans="1:4" ht="13.2">
      <c r="A605" s="51" t="s">
        <v>640</v>
      </c>
      <c r="B605" s="263" t="str">
        <f>HYPERLINK("http://codeforces.com/contest/735/problem/C","CF735-D2-C")</f>
        <v>CF735-D2-C</v>
      </c>
      <c r="C605" s="56"/>
      <c r="D605" s="262" t="s">
        <v>1549</v>
      </c>
    </row>
    <row r="606" spans="1:4" ht="13.2">
      <c r="A606" s="51" t="s">
        <v>1178</v>
      </c>
      <c r="B606" s="263" t="str">
        <f>HYPERLINK("http://codeforces.com/contest/508/problem/C","CF508-D2-C")</f>
        <v>CF508-D2-C</v>
      </c>
      <c r="C606" s="264"/>
      <c r="D606" s="262" t="s">
        <v>1531</v>
      </c>
    </row>
    <row r="607" spans="1:4" ht="13.2">
      <c r="A607" s="51" t="s">
        <v>751</v>
      </c>
      <c r="B607" s="263" t="str">
        <f>HYPERLINK("http://codeforces.com/contest/148/problem/C","CF148-D2-C")</f>
        <v>CF148-D2-C</v>
      </c>
      <c r="C607" s="56"/>
      <c r="D607" s="262" t="s">
        <v>1542</v>
      </c>
    </row>
    <row r="608" spans="1:4" ht="13.2">
      <c r="A608" s="51" t="s">
        <v>911</v>
      </c>
      <c r="B608" s="263" t="str">
        <f>HYPERLINK("http://codeforces.com/contest/287/problem/C","CF287-D2-C")</f>
        <v>CF287-D2-C</v>
      </c>
      <c r="C608" s="56"/>
      <c r="D608" s="262" t="s">
        <v>1542</v>
      </c>
    </row>
    <row r="609" spans="1:4" ht="13.2">
      <c r="A609" s="51" t="s">
        <v>721</v>
      </c>
      <c r="B609" s="263" t="str">
        <f>HYPERLINK("http://codeforces.com/contest/260/problem/C","CF260-D2-C")</f>
        <v>CF260-D2-C</v>
      </c>
      <c r="C609" s="56"/>
      <c r="D609" s="262" t="s">
        <v>1534</v>
      </c>
    </row>
    <row r="610" spans="1:4" ht="13.2">
      <c r="A610" s="51"/>
      <c r="B610" s="263" t="str">
        <f>HYPERLINK("http://codeforces.com/contest/313/problem/C","CF313-D2-C")</f>
        <v>CF313-D2-C</v>
      </c>
      <c r="C610" s="56"/>
      <c r="D610" s="262" t="s">
        <v>1542</v>
      </c>
    </row>
    <row r="611" spans="1:4" ht="13.2">
      <c r="A611" s="51" t="s">
        <v>1119</v>
      </c>
      <c r="B611" s="263" t="str">
        <f>HYPERLINK("http://codeforces.com/contest/402/problem/D","CF402-D2-D")</f>
        <v>CF402-D2-D</v>
      </c>
      <c r="C611" s="264"/>
      <c r="D611" s="262" t="s">
        <v>1550</v>
      </c>
    </row>
    <row r="612" spans="1:4" ht="13.2">
      <c r="A612" s="51"/>
      <c r="B612" s="51" t="s">
        <v>923</v>
      </c>
      <c r="C612" s="56"/>
      <c r="D612" s="262" t="s">
        <v>1551</v>
      </c>
    </row>
    <row r="613" spans="1:4" ht="13.2">
      <c r="A613" s="51" t="s">
        <v>975</v>
      </c>
      <c r="B613" s="263" t="str">
        <f>HYPERLINK("http://codeforces.com/contest/94/problem/D","CF94-D2-D")</f>
        <v>CF94-D2-D</v>
      </c>
      <c r="C613" s="56"/>
      <c r="D613" s="262" t="s">
        <v>1552</v>
      </c>
    </row>
    <row r="614" spans="1:4" ht="13.2">
      <c r="A614" s="51" t="s">
        <v>628</v>
      </c>
      <c r="B614" s="263" t="str">
        <f>HYPERLINK("http://codeforces.com/contest/141/problem/C","CF141-D2-C")</f>
        <v>CF141-D2-C</v>
      </c>
      <c r="C614" s="56"/>
      <c r="D614" s="262" t="s">
        <v>1542</v>
      </c>
    </row>
    <row r="615" spans="1:4" ht="13.2">
      <c r="A615" s="51"/>
      <c r="B615" s="263" t="str">
        <f>HYPERLINK("http://codeforces.com/problemsets/acmsguru/problem/99999/321","SGU 321")</f>
        <v>SGU 321</v>
      </c>
      <c r="C615" s="56"/>
      <c r="D615" s="262" t="s">
        <v>1553</v>
      </c>
    </row>
    <row r="616" spans="1:4" ht="13.2">
      <c r="A616" s="51" t="s">
        <v>1197</v>
      </c>
      <c r="B616" s="263" t="str">
        <f>HYPERLINK("http://codeforces.com/contest/242/problem/D","CF242-D2-D")</f>
        <v>CF242-D2-D</v>
      </c>
      <c r="C616" s="56"/>
      <c r="D616" s="262" t="s">
        <v>1554</v>
      </c>
    </row>
    <row r="617" spans="1:4" ht="13.2">
      <c r="A617" s="51"/>
      <c r="B617" s="51" t="s">
        <v>888</v>
      </c>
      <c r="C617" s="56"/>
      <c r="D617" s="262" t="s">
        <v>1555</v>
      </c>
    </row>
    <row r="618" spans="1:4" ht="13.2">
      <c r="A618" s="51"/>
      <c r="B618" s="263" t="str">
        <f>HYPERLINK("http://codeforces.com/contest/1038/problem/D","CF1038-D2-D")</f>
        <v>CF1038-D2-D</v>
      </c>
      <c r="C618" s="56"/>
      <c r="D618" s="262" t="s">
        <v>1534</v>
      </c>
    </row>
    <row r="619" spans="1:4" ht="13.2">
      <c r="A619" s="51"/>
      <c r="B619" s="51" t="s">
        <v>902</v>
      </c>
      <c r="C619" s="56"/>
      <c r="D619" s="262" t="s">
        <v>1556</v>
      </c>
    </row>
    <row r="620" spans="1:4" ht="13.2">
      <c r="A620" s="51"/>
      <c r="B620" s="51" t="s">
        <v>889</v>
      </c>
      <c r="C620" s="56"/>
      <c r="D620" s="262" t="s">
        <v>1557</v>
      </c>
    </row>
    <row r="621" spans="1:4" ht="13.2">
      <c r="A621" s="51" t="s">
        <v>1173</v>
      </c>
      <c r="B621" s="263" t="str">
        <f>HYPERLINK("http://codeforces.com/contest/239/problem/D","CF239-D2-D")</f>
        <v>CF239-D2-D</v>
      </c>
      <c r="C621" s="264"/>
      <c r="D621" s="262" t="s">
        <v>1558</v>
      </c>
    </row>
    <row r="622" spans="1:4" ht="13.2">
      <c r="A622" s="51" t="s">
        <v>771</v>
      </c>
      <c r="B622" s="263" t="str">
        <f>HYPERLINK("http://codeforces.com/contest/465/problem/C","CF465-D2-C")</f>
        <v>CF465-D2-C</v>
      </c>
      <c r="C622" s="56"/>
      <c r="D622" s="262" t="s">
        <v>1559</v>
      </c>
    </row>
    <row r="623" spans="1:4" ht="13.2">
      <c r="A623" s="51"/>
      <c r="B623" s="263" t="str">
        <f>HYPERLINK("http://codeforces.com/contest/709/problem/D","CF709-D2-D")</f>
        <v>CF709-D2-D</v>
      </c>
      <c r="C623" s="56"/>
      <c r="D623" s="262" t="s">
        <v>1560</v>
      </c>
    </row>
    <row r="624" spans="1:4" ht="13.2">
      <c r="A624" s="51"/>
      <c r="B624" s="263" t="str">
        <f>HYPERLINK("https://www.codechef.com/LTIME64B/problems/BJUDGE","CODECHEF BJUDGE")</f>
        <v>CODECHEF BJUDGE</v>
      </c>
      <c r="C624" s="264"/>
      <c r="D624" s="262" t="s">
        <v>1542</v>
      </c>
    </row>
    <row r="625" spans="1:4" ht="13.2">
      <c r="A625" s="51"/>
      <c r="B625" s="263" t="str">
        <f>HYPERLINK("http://codeforces.com/contest/1023/problem/E","CF1023-D12-E")</f>
        <v>CF1023-D12-E</v>
      </c>
      <c r="C625" s="56"/>
      <c r="D625" s="262" t="s">
        <v>1561</v>
      </c>
    </row>
    <row r="626" spans="1:4" ht="13.2">
      <c r="A626" s="51" t="s">
        <v>1017</v>
      </c>
      <c r="B626" s="263" t="str">
        <f>HYPERLINK("http://codeforces.com/contest/104/problem/D","CF104-D2-D")</f>
        <v>CF104-D2-D</v>
      </c>
      <c r="C626" s="56"/>
      <c r="D626" s="262" t="s">
        <v>1562</v>
      </c>
    </row>
    <row r="627" spans="1:4" ht="13.2">
      <c r="A627" s="51"/>
      <c r="B627" s="263" t="str">
        <f>HYPERLINK("http://codeforces.com/contest/1043/problem/E","CF1043-D12-E")</f>
        <v>CF1043-D12-E</v>
      </c>
      <c r="C627" s="264"/>
      <c r="D627" s="262" t="s">
        <v>1563</v>
      </c>
    </row>
    <row r="628" spans="1:4" ht="13.2">
      <c r="A628" s="51" t="s">
        <v>1086</v>
      </c>
      <c r="B628" s="263" t="str">
        <f>HYPERLINK("http://codeforces.com/contest/447/problem/D","CF447-D2-D")</f>
        <v>CF447-D2-D</v>
      </c>
      <c r="C628" s="264"/>
      <c r="D628" s="262" t="s">
        <v>1564</v>
      </c>
    </row>
    <row r="629" spans="1:4" ht="13.2">
      <c r="A629" s="51"/>
      <c r="B629" s="263" t="str">
        <f>HYPERLINK("https://agc002.contest.atcoder.jp/tasks/agc002_c","AtCoder002-AGC-C")</f>
        <v>AtCoder002-AGC-C</v>
      </c>
      <c r="C629" s="56"/>
      <c r="D629" s="262" t="s">
        <v>1565</v>
      </c>
    </row>
    <row r="630" spans="1:4" ht="13.2">
      <c r="A630" s="51" t="s">
        <v>1131</v>
      </c>
      <c r="B630" s="263" t="str">
        <f>HYPERLINK("http://codeforces.com/problemset/gymProblem/101149/G","CF101149-GYM-G")</f>
        <v>CF101149-GYM-G</v>
      </c>
      <c r="C630" s="264"/>
      <c r="D630" s="262" t="s">
        <v>1566</v>
      </c>
    </row>
    <row r="631" spans="1:4" ht="13.2">
      <c r="A631" s="51" t="s">
        <v>974</v>
      </c>
      <c r="B631" s="263" t="str">
        <f>HYPERLINK("http://codeforces.com/contest/672/problem/D","CF672-D2-D")</f>
        <v>CF672-D2-D</v>
      </c>
      <c r="C631" s="56"/>
      <c r="D631" s="262" t="s">
        <v>1567</v>
      </c>
    </row>
    <row r="632" spans="1:4" ht="13.2">
      <c r="A632" s="51"/>
      <c r="B632" s="51" t="s">
        <v>1012</v>
      </c>
      <c r="C632" s="264"/>
      <c r="D632" s="262" t="s">
        <v>1568</v>
      </c>
    </row>
    <row r="633" spans="1:4" ht="13.2">
      <c r="A633" s="51"/>
      <c r="B633" s="263" t="str">
        <f>HYPERLINK("https://codeforces.com/contest/867/problem/E","CF867-D12-E")</f>
        <v>CF867-D12-E</v>
      </c>
      <c r="C633" s="56"/>
      <c r="D633" s="262" t="s">
        <v>1569</v>
      </c>
    </row>
    <row r="634" spans="1:4" ht="13.2">
      <c r="A634" s="51"/>
      <c r="B634" s="51" t="s">
        <v>1136</v>
      </c>
      <c r="C634" s="264"/>
      <c r="D634" s="262" t="s">
        <v>1570</v>
      </c>
    </row>
    <row r="635" spans="1:4" ht="13.2">
      <c r="A635" s="51" t="s">
        <v>1117</v>
      </c>
      <c r="B635" s="263" t="str">
        <f>HYPERLINK("http://codeforces.com/contest/496/problem/D","CF496-D2-D")</f>
        <v>CF496-D2-D</v>
      </c>
      <c r="C635" s="264"/>
      <c r="D635" s="262" t="s">
        <v>1571</v>
      </c>
    </row>
    <row r="636" spans="1:4" ht="13.2">
      <c r="A636" s="51" t="s">
        <v>223</v>
      </c>
      <c r="B636" s="263" t="str">
        <f>HYPERLINK("http://codeforces.com/contest/127/problem/A","CF127-D2-A")</f>
        <v>CF127-D2-A</v>
      </c>
      <c r="C636" s="56"/>
      <c r="D636" s="262" t="s">
        <v>1572</v>
      </c>
    </row>
    <row r="637" spans="1:4" ht="13.2">
      <c r="A637" s="51" t="s">
        <v>182</v>
      </c>
      <c r="B637" s="263" t="str">
        <f>HYPERLINK("http://codeforces.com/contest/709/problem/A","CF709-D2-A")</f>
        <v>CF709-D2-A</v>
      </c>
      <c r="C637" s="56"/>
      <c r="D637" s="262" t="s">
        <v>1572</v>
      </c>
    </row>
    <row r="638" spans="1:4" ht="13.2">
      <c r="A638" s="51" t="s">
        <v>220</v>
      </c>
      <c r="B638" s="263" t="str">
        <f>HYPERLINK("http://codeforces.com/contest/785/problem/A","CF785-D2-A")</f>
        <v>CF785-D2-A</v>
      </c>
      <c r="C638" s="56"/>
      <c r="D638" s="262" t="s">
        <v>1572</v>
      </c>
    </row>
    <row r="639" spans="1:4" ht="13.2">
      <c r="A639" s="51" t="s">
        <v>216</v>
      </c>
      <c r="B639" s="263" t="str">
        <f>HYPERLINK("http://codeforces.com/contest/404/problem/A","CF404-D2-A")</f>
        <v>CF404-D2-A</v>
      </c>
      <c r="C639" s="56"/>
      <c r="D639" s="262" t="s">
        <v>1573</v>
      </c>
    </row>
    <row r="640" spans="1:4" ht="13.2">
      <c r="A640" s="51" t="s">
        <v>566</v>
      </c>
      <c r="B640" s="263" t="str">
        <f>HYPERLINK("http://codeforces.com/contest/518/problem/B","CF518-D2-B")</f>
        <v>CF518-D2-B</v>
      </c>
      <c r="C640" s="56"/>
      <c r="D640" s="262" t="s">
        <v>1572</v>
      </c>
    </row>
    <row r="641" spans="1:4" ht="13.2">
      <c r="A641" s="51" t="s">
        <v>1574</v>
      </c>
      <c r="B641" s="263" t="str">
        <f>HYPERLINK("http://codeforces.com/contest/548/problem/B","CF548-D2-B")</f>
        <v>CF548-D2-B</v>
      </c>
      <c r="C641" s="56"/>
      <c r="D641" s="262" t="s">
        <v>1572</v>
      </c>
    </row>
    <row r="642" spans="1:4" ht="13.2">
      <c r="A642" s="51" t="s">
        <v>645</v>
      </c>
      <c r="B642" s="263" t="str">
        <f>HYPERLINK("http://codeforces.com/contest/534/problem/B","CF534-D2-B")</f>
        <v>CF534-D2-B</v>
      </c>
      <c r="C642" s="56"/>
      <c r="D642" s="262" t="s">
        <v>1572</v>
      </c>
    </row>
    <row r="643" spans="1:4" ht="13.2">
      <c r="A643" s="51" t="s">
        <v>610</v>
      </c>
      <c r="B643" s="263" t="str">
        <f>HYPERLINK("http://codeforces.com/contest/631/problem/B","CF631-D2-B")</f>
        <v>CF631-D2-B</v>
      </c>
      <c r="C643" s="56"/>
      <c r="D643" s="262" t="s">
        <v>1572</v>
      </c>
    </row>
    <row r="644" spans="1:4" ht="13.2">
      <c r="A644" s="51" t="s">
        <v>795</v>
      </c>
      <c r="B644" s="263" t="str">
        <f>HYPERLINK("http://codeforces.com/contest/146/problem/B","CF146-D2-B")</f>
        <v>CF146-D2-B</v>
      </c>
      <c r="C644" s="56"/>
      <c r="D644" s="262" t="s">
        <v>1572</v>
      </c>
    </row>
    <row r="645" spans="1:4" ht="13.2">
      <c r="A645" s="51" t="s">
        <v>584</v>
      </c>
      <c r="B645" s="263" t="str">
        <f>HYPERLINK("http://codeforces.com/contest/219/problem/B","CF219-D2-B")</f>
        <v>CF219-D2-B</v>
      </c>
      <c r="C645" s="56"/>
      <c r="D645" s="262" t="s">
        <v>1572</v>
      </c>
    </row>
    <row r="646" spans="1:4" ht="13.2">
      <c r="A646" s="51" t="s">
        <v>778</v>
      </c>
      <c r="B646" s="263" t="str">
        <f>HYPERLINK("http://codeforces.com/contest/233/problem/B","CF233-D2-B")</f>
        <v>CF233-D2-B</v>
      </c>
      <c r="C646" s="56"/>
      <c r="D646" s="262" t="s">
        <v>1572</v>
      </c>
    </row>
    <row r="647" spans="1:4" ht="13.2">
      <c r="A647" s="51" t="s">
        <v>1575</v>
      </c>
      <c r="B647" s="263" t="str">
        <f>HYPERLINK("http://codeforces.com/contest/357/problem/B","CF357-D2-B")</f>
        <v>CF357-D2-B</v>
      </c>
      <c r="C647" s="56"/>
      <c r="D647" s="262" t="s">
        <v>1572</v>
      </c>
    </row>
    <row r="648" spans="1:4" ht="13.2">
      <c r="A648" s="51" t="s">
        <v>738</v>
      </c>
      <c r="B648" s="263" t="str">
        <f>HYPERLINK("http://codeforces.com/contest/426/problem/B","CF426-D2-B")</f>
        <v>CF426-D2-B</v>
      </c>
      <c r="C648" s="56"/>
      <c r="D648" s="262" t="s">
        <v>1572</v>
      </c>
    </row>
    <row r="649" spans="1:4" ht="13.2">
      <c r="A649" s="51" t="s">
        <v>757</v>
      </c>
      <c r="B649" s="263" t="str">
        <f>HYPERLINK("http://codeforces.com/contest/454/problem/B","CF454-D2-B")</f>
        <v>CF454-D2-B</v>
      </c>
      <c r="C649" s="56"/>
      <c r="D649" s="262" t="s">
        <v>1572</v>
      </c>
    </row>
    <row r="650" spans="1:4" ht="13.2">
      <c r="A650" s="51" t="s">
        <v>794</v>
      </c>
      <c r="B650" s="263" t="str">
        <f>HYPERLINK("http://codeforces.com/contest/471/problem/B","CF471-D2-B")</f>
        <v>CF471-D2-B</v>
      </c>
      <c r="C650" s="56"/>
      <c r="D650" s="262" t="s">
        <v>1572</v>
      </c>
    </row>
    <row r="651" spans="1:4" ht="13.2">
      <c r="A651" s="51" t="s">
        <v>453</v>
      </c>
      <c r="B651" s="263" t="str">
        <f>HYPERLINK("http://codeforces.com/contest/614/problem/B","CF614-D2-B")</f>
        <v>CF614-D2-B</v>
      </c>
      <c r="C651" s="56"/>
      <c r="D651" s="262" t="s">
        <v>1572</v>
      </c>
    </row>
    <row r="652" spans="1:4" ht="13.2">
      <c r="A652" s="51" t="s">
        <v>805</v>
      </c>
      <c r="B652" s="263" t="str">
        <f>HYPERLINK("http://codeforces.com/contest/131/problem/B","CF131-D2-B")</f>
        <v>CF131-D2-B</v>
      </c>
      <c r="C652" s="56"/>
      <c r="D652" s="262" t="s">
        <v>1572</v>
      </c>
    </row>
    <row r="653" spans="1:4" ht="13.2">
      <c r="A653" s="51" t="s">
        <v>1576</v>
      </c>
      <c r="B653" s="263" t="str">
        <f>HYPERLINK("http://codeforces.com/contest/116/problem/B","CF116-D2-B")</f>
        <v>CF116-D2-B</v>
      </c>
      <c r="C653" s="56"/>
      <c r="D653" s="262" t="s">
        <v>1572</v>
      </c>
    </row>
    <row r="654" spans="1:4" ht="13.2">
      <c r="A654" s="51" t="s">
        <v>630</v>
      </c>
      <c r="B654" s="263" t="str">
        <f>HYPERLINK("http://codeforces.com/contest/222/problem/B","CF222-D2-B")</f>
        <v>CF222-D2-B</v>
      </c>
      <c r="C654" s="56"/>
      <c r="D654" s="262" t="s">
        <v>1572</v>
      </c>
    </row>
    <row r="655" spans="1:4" ht="13.2">
      <c r="A655" s="51" t="s">
        <v>597</v>
      </c>
      <c r="B655" s="263" t="str">
        <f>HYPERLINK("http://codeforces.com/contest/271/problem/B","CF271-D2-B")</f>
        <v>CF271-D2-B</v>
      </c>
      <c r="C655" s="56"/>
      <c r="D655" s="262" t="s">
        <v>1572</v>
      </c>
    </row>
    <row r="656" spans="1:4" ht="13.2">
      <c r="A656" s="51" t="s">
        <v>461</v>
      </c>
      <c r="B656" s="263" t="str">
        <f>HYPERLINK("http://codeforces.com/contest/621/problem/B","CF621-D2-B")</f>
        <v>CF621-D2-B</v>
      </c>
      <c r="C656" s="56"/>
      <c r="D656" s="262" t="s">
        <v>1572</v>
      </c>
    </row>
    <row r="657" spans="1:4" ht="13.2">
      <c r="A657" s="51"/>
      <c r="B657" s="263" t="str">
        <f>HYPERLINK("https://codeforces.com/contest/1030/problem/B","CF1030-D12-B")</f>
        <v>CF1030-D12-B</v>
      </c>
      <c r="C657" s="56"/>
      <c r="D657" s="262" t="s">
        <v>1577</v>
      </c>
    </row>
    <row r="658" spans="1:4" ht="13.2">
      <c r="A658" s="51" t="s">
        <v>646</v>
      </c>
      <c r="B658" s="263" t="str">
        <f>HYPERLINK("http://codeforces.com/contest/75/problem/B","CF75-D2-B")</f>
        <v>CF75-D2-B</v>
      </c>
      <c r="C658" s="56"/>
      <c r="D658" s="262" t="s">
        <v>1578</v>
      </c>
    </row>
    <row r="659" spans="1:4" ht="13.2">
      <c r="A659" s="48" t="s">
        <v>628</v>
      </c>
      <c r="B659" s="59" t="str">
        <f>HYPERLINK("http://codeforces.com/contest/490/problem/B","CF490-D2-B")</f>
        <v>CF490-D2-B</v>
      </c>
      <c r="C659" s="56"/>
      <c r="D659" s="48" t="s">
        <v>1579</v>
      </c>
    </row>
    <row r="660" spans="1:4" ht="13.2">
      <c r="A660" s="51" t="s">
        <v>419</v>
      </c>
      <c r="B660" s="263" t="str">
        <f>HYPERLINK("http://acm.timus.ru/problem.aspx?space=1&amp;num=1054","TIMUS 1054")</f>
        <v>TIMUS 1054</v>
      </c>
      <c r="C660" s="56"/>
      <c r="D660" s="262" t="s">
        <v>1580</v>
      </c>
    </row>
    <row r="661" spans="1:4" ht="13.2">
      <c r="A661" s="51" t="s">
        <v>1095</v>
      </c>
      <c r="B661" s="263" t="str">
        <f>HYPERLINK("http://codeforces.com/contest/495/problem/C","CF495-D2-C")</f>
        <v>CF495-D2-C</v>
      </c>
      <c r="C661" s="264"/>
      <c r="D661" s="262" t="s">
        <v>1572</v>
      </c>
    </row>
    <row r="662" spans="1:4" ht="13.2">
      <c r="A662" s="51" t="s">
        <v>1121</v>
      </c>
      <c r="B662" s="263" t="str">
        <f>HYPERLINK("http://codeforces.com/contest/69/problem/C","CF69-D2-C")</f>
        <v>CF69-D2-C</v>
      </c>
      <c r="C662" s="264"/>
      <c r="D662" s="262" t="s">
        <v>1572</v>
      </c>
    </row>
    <row r="663" spans="1:4" ht="13.2">
      <c r="A663" s="51" t="s">
        <v>618</v>
      </c>
      <c r="B663" s="263" t="str">
        <f>HYPERLINK("https://uva.onlinejudge.org/index.php?option=onlinejudge&amp;page=show_problem&amp;problem=63","UVA 127")</f>
        <v>UVA 127</v>
      </c>
      <c r="C663" s="56"/>
      <c r="D663" s="262" t="s">
        <v>1572</v>
      </c>
    </row>
    <row r="664" spans="1:4" ht="13.2">
      <c r="A664" s="51" t="s">
        <v>687</v>
      </c>
      <c r="B664" s="263" t="str">
        <f>HYPERLINK("http://codeforces.com/contest/268/problem/C","CF268-D2-C")</f>
        <v>CF268-D2-C</v>
      </c>
      <c r="C664" s="56"/>
      <c r="D664" s="262" t="s">
        <v>1581</v>
      </c>
    </row>
    <row r="665" spans="1:4" ht="13.2">
      <c r="A665" s="51" t="s">
        <v>701</v>
      </c>
      <c r="B665" s="263" t="str">
        <f>HYPERLINK("http://codeforces.com/contest/462/problem/C","CF462-D2-C")</f>
        <v>CF462-D2-C</v>
      </c>
      <c r="C665" s="56"/>
      <c r="D665" s="262" t="s">
        <v>1582</v>
      </c>
    </row>
    <row r="666" spans="1:4" ht="13.2">
      <c r="A666" s="51" t="s">
        <v>925</v>
      </c>
      <c r="B666" s="263" t="str">
        <f>HYPERLINK("http://codeforces.com/contest/581/problem/D","CF581-D2-D")</f>
        <v>CF581-D2-D</v>
      </c>
      <c r="C666" s="56"/>
      <c r="D666" s="262" t="s">
        <v>1572</v>
      </c>
    </row>
    <row r="667" spans="1:4" ht="13.2">
      <c r="A667" s="51" t="s">
        <v>641</v>
      </c>
      <c r="B667" s="263" t="str">
        <f>HYPERLINK("http://codeforces.com/contest/507/problem/C","CF507-D2-C")</f>
        <v>CF507-D2-C</v>
      </c>
      <c r="C667" s="56"/>
      <c r="D667" s="262" t="s">
        <v>1577</v>
      </c>
    </row>
    <row r="668" spans="1:4" ht="13.2">
      <c r="A668" s="51"/>
      <c r="B668" s="263" t="str">
        <f>HYPERLINK("http://codeforces.com/contest/1043/problem/D", "CF1042-D12-D")</f>
        <v>CF1042-D12-D</v>
      </c>
      <c r="C668" s="56"/>
      <c r="D668" s="262" t="s">
        <v>1583</v>
      </c>
    </row>
    <row r="669" spans="1:4" ht="13.2">
      <c r="A669" s="51" t="s">
        <v>786</v>
      </c>
      <c r="B669" s="263" t="str">
        <f>HYPERLINK("http://codeforces.com/contest/349/problem/C","CF349-D2-C")</f>
        <v>CF349-D2-C</v>
      </c>
      <c r="C669" s="56"/>
      <c r="D669" s="262" t="s">
        <v>1577</v>
      </c>
    </row>
    <row r="670" spans="1:4" ht="13.2">
      <c r="A670" s="51" t="s">
        <v>624</v>
      </c>
      <c r="B670" s="263" t="str">
        <f>HYPERLINK("http://codeforces.com/contest/405/problem/C","CF405-D2-C")</f>
        <v>CF405-D2-C</v>
      </c>
      <c r="C670" s="56"/>
      <c r="D670" s="262" t="s">
        <v>1584</v>
      </c>
    </row>
    <row r="671" spans="1:4" ht="13.2">
      <c r="A671" s="51"/>
      <c r="B671" s="263" t="str">
        <f>HYPERLINK("https://codeforces.com/gym/101187/problem/F","CF101187-GYM-F")</f>
        <v>CF101187-GYM-F</v>
      </c>
      <c r="C671" s="56"/>
      <c r="D671" s="262" t="s">
        <v>1572</v>
      </c>
    </row>
    <row r="672" spans="1:4" ht="13.2">
      <c r="A672" s="51" t="s">
        <v>1089</v>
      </c>
      <c r="B672" s="263" t="str">
        <f>HYPERLINK("http://codeforces.com/contest/435/problem/D","CF435-D2-D")</f>
        <v>CF435-D2-D</v>
      </c>
      <c r="C672" s="264"/>
      <c r="D672" s="262" t="s">
        <v>1585</v>
      </c>
    </row>
    <row r="673" spans="1:4" ht="13.2">
      <c r="A673" s="51" t="s">
        <v>219</v>
      </c>
      <c r="B673" s="263" t="str">
        <f>HYPERLINK("http://codeforces.com/contest/1/problem/A","CF1-D12-A")</f>
        <v>CF1-D12-A</v>
      </c>
      <c r="C673" s="56"/>
      <c r="D673" s="262" t="s">
        <v>1586</v>
      </c>
    </row>
    <row r="674" spans="1:4" ht="13.2">
      <c r="A674" s="51"/>
      <c r="B674" s="80" t="str">
        <f>HYPERLINK("https://codeforces.com/contest/1204/problem/A","CF1204-D2-A")</f>
        <v>CF1204-D2-A</v>
      </c>
      <c r="C674" s="56"/>
      <c r="D674" s="170" t="s">
        <v>1587</v>
      </c>
    </row>
    <row r="675" spans="1:4" ht="13.2">
      <c r="A675" s="48" t="s">
        <v>243</v>
      </c>
      <c r="B675" s="49" t="str">
        <f>HYPERLINK("https://codeforces.com/contest/1237/problem/A","CF1237-D12-A")</f>
        <v>CF1237-D12-A</v>
      </c>
      <c r="C675" s="56"/>
      <c r="D675" s="262" t="s">
        <v>1588</v>
      </c>
    </row>
    <row r="676" spans="1:4" ht="13.2">
      <c r="A676" s="51" t="s">
        <v>384</v>
      </c>
      <c r="B676" s="263" t="str">
        <f>HYPERLINK("https://icpcarchive.ecs.baylor.edu/index.php?option=com_onlinejudge&amp;Itemid=8&amp;page=show_problem&amp;problem=558","LIVEARCHIVE 2557")</f>
        <v>LIVEARCHIVE 2557</v>
      </c>
      <c r="C676" s="35"/>
      <c r="D676" s="262" t="s">
        <v>1589</v>
      </c>
    </row>
    <row r="677" spans="1:4" ht="13.2">
      <c r="A677" s="51" t="s">
        <v>191</v>
      </c>
      <c r="B677" s="263" t="str">
        <f>HYPERLINK("https://uva.onlinejudge.org/index.php?option=com_onlinejudge&amp;Itemid=8&amp;page=show_problem&amp;problem=1047","UVA 10106")</f>
        <v>UVA 10106</v>
      </c>
      <c r="C677" s="56"/>
      <c r="D677" s="262" t="s">
        <v>1586</v>
      </c>
    </row>
    <row r="678" spans="1:4" ht="13.2">
      <c r="A678" s="51" t="s">
        <v>572</v>
      </c>
      <c r="B678" s="263" t="str">
        <f>HYPERLINK("https://uva.onlinejudge.org/index.php?option=onlinejudge&amp;page=show_problem&amp;problem=1410","UVA 10469")</f>
        <v>UVA 10469</v>
      </c>
      <c r="C678" s="35"/>
      <c r="D678" s="262" t="s">
        <v>1586</v>
      </c>
    </row>
    <row r="679" spans="1:4" ht="13.2">
      <c r="A679" s="51" t="s">
        <v>380</v>
      </c>
      <c r="B679" s="263" t="str">
        <f>HYPERLINK("https://uva.onlinejudge.org/index.php?option=onlinejudge&amp;page=show_problem&amp;problem=654","UVA 713")</f>
        <v>UVA 713</v>
      </c>
      <c r="C679" s="35"/>
      <c r="D679" s="262" t="s">
        <v>1586</v>
      </c>
    </row>
    <row r="680" spans="1:4" ht="13.2">
      <c r="A680" s="51" t="s">
        <v>404</v>
      </c>
      <c r="B680" s="263" t="str">
        <f>HYPERLINK("http://codeforces.com/contest/476/problem/B","CF476-D2-B")</f>
        <v>CF476-D2-B</v>
      </c>
      <c r="C680" s="56"/>
      <c r="D680" s="170" t="s">
        <v>1590</v>
      </c>
    </row>
    <row r="681" spans="1:4" ht="13.2">
      <c r="A681" s="51"/>
      <c r="B681" s="263" t="str">
        <f>HYPERLINK("https://codeforces.com/contest/1051/problem/B", "CF1051-D2-B")</f>
        <v>CF1051-D2-B</v>
      </c>
      <c r="C681" s="56"/>
      <c r="D681" s="262" t="s">
        <v>1586</v>
      </c>
    </row>
    <row r="682" spans="1:4" ht="13.2">
      <c r="A682" s="51" t="s">
        <v>411</v>
      </c>
      <c r="B682" s="263" t="str">
        <f>HYPERLINK("http://codeforces.com/contest/148/problem/B","CF148-D2-B")</f>
        <v>CF148-D2-B</v>
      </c>
      <c r="C682" s="56"/>
      <c r="D682" s="262" t="s">
        <v>1586</v>
      </c>
    </row>
    <row r="683" spans="1:4" ht="13.2">
      <c r="A683" s="51" t="s">
        <v>739</v>
      </c>
      <c r="B683" s="263" t="str">
        <f>HYPERLINK("http://codeforces.com/contest/675/problem/B","CF675-D2-B")</f>
        <v>CF675-D2-B</v>
      </c>
      <c r="C683" s="56"/>
      <c r="D683" s="262" t="s">
        <v>1586</v>
      </c>
    </row>
    <row r="684" spans="1:4" ht="13.2">
      <c r="A684" s="51" t="s">
        <v>371</v>
      </c>
      <c r="B684" s="263" t="str">
        <f>HYPERLINK("http://codeforces.com/contest/463/problem/B","CF463-D2-B")</f>
        <v>CF463-D2-B</v>
      </c>
      <c r="C684" s="56"/>
      <c r="D684" s="262" t="s">
        <v>1591</v>
      </c>
    </row>
    <row r="685" spans="1:4" ht="13.2">
      <c r="A685" s="51" t="s">
        <v>612</v>
      </c>
      <c r="B685" s="263" t="str">
        <f>HYPERLINK("http://codeforces.com/contest/230/problem/B","CF230-D2-B")</f>
        <v>CF230-D2-B</v>
      </c>
      <c r="C685" s="56"/>
      <c r="D685" s="262" t="s">
        <v>1592</v>
      </c>
    </row>
    <row r="686" spans="1:4" ht="13.2">
      <c r="A686" s="51"/>
      <c r="B686" s="263" t="str">
        <f>HYPERLINK("https://www.codechef.com/problems/GCDMOD", "CODECHEF GCDMOD")</f>
        <v>CODECHEF GCDMOD</v>
      </c>
      <c r="C686" s="56"/>
      <c r="D686" s="262" t="s">
        <v>1593</v>
      </c>
    </row>
    <row r="687" spans="1:4" ht="13.2">
      <c r="A687" s="51" t="s">
        <v>609</v>
      </c>
      <c r="B687" s="263" t="str">
        <f>HYPERLINK("http://codeforces.com/contest/534/problem/C","CF534-D2-C")</f>
        <v>CF534-D2-C</v>
      </c>
      <c r="C687" s="56"/>
      <c r="D687" s="262" t="s">
        <v>1594</v>
      </c>
    </row>
    <row r="688" spans="1:4" ht="13.2">
      <c r="A688" s="51"/>
      <c r="B688" s="263" t="str">
        <f>HYPERLINK("https://codeforces.com/contest/1059/problem/C","CF1059-D2-C")</f>
        <v>CF1059-D2-C</v>
      </c>
      <c r="C688" s="56"/>
      <c r="D688" s="262" t="s">
        <v>1595</v>
      </c>
    </row>
    <row r="689" spans="1:4" ht="13.2">
      <c r="A689" s="51" t="s">
        <v>919</v>
      </c>
      <c r="B689" s="263" t="str">
        <f>HYPERLINK("https://uva.onlinejudge.org/index.php?option=com_onlinejudge&amp;Itemid=8&amp;page=show_problem&amp;problem=1647","UVA 10706")</f>
        <v>UVA 10706</v>
      </c>
      <c r="C689" s="56"/>
      <c r="D689" s="262" t="s">
        <v>1586</v>
      </c>
    </row>
    <row r="690" spans="1:4" ht="13.2">
      <c r="A690" s="51" t="s">
        <v>958</v>
      </c>
      <c r="B690" s="263" t="str">
        <f>HYPERLINK("http://codeforces.com/contest/376/problem/C","CF376-D2-C")</f>
        <v>CF376-D2-C</v>
      </c>
      <c r="C690" s="56"/>
      <c r="D690" s="262" t="s">
        <v>1596</v>
      </c>
    </row>
    <row r="691" spans="1:4" ht="13.2">
      <c r="A691" s="51" t="s">
        <v>651</v>
      </c>
      <c r="B691" s="263" t="str">
        <f>HYPERLINK("https://uva.onlinejudge.org/index.php?option=com_onlinejudge&amp;Itemid=8&amp;page=show_problem&amp;problem=1917","UVA 10976")</f>
        <v>UVA 10976</v>
      </c>
      <c r="C691" s="56"/>
      <c r="D691" s="262" t="s">
        <v>1596</v>
      </c>
    </row>
    <row r="692" spans="1:4" ht="13.2">
      <c r="A692" s="51" t="s">
        <v>909</v>
      </c>
      <c r="B692" s="263" t="str">
        <f>HYPERLINK("http://codeforces.com/contest/186/problem/C","CF186-D2-C")</f>
        <v>CF186-D2-C</v>
      </c>
      <c r="C692" s="56"/>
      <c r="D692" s="262" t="s">
        <v>1586</v>
      </c>
    </row>
    <row r="693" spans="1:4" ht="13.2">
      <c r="A693" s="51" t="s">
        <v>590</v>
      </c>
      <c r="B693" s="263" t="str">
        <f>HYPERLINK("http://codeforces.com/contest/424/problem/C","CF424-D2-C")</f>
        <v>CF424-D2-C</v>
      </c>
      <c r="C693" s="56"/>
      <c r="D693" s="262" t="s">
        <v>1586</v>
      </c>
    </row>
    <row r="694" spans="1:4" ht="13.2">
      <c r="A694" s="51" t="s">
        <v>557</v>
      </c>
      <c r="B694" s="263" t="str">
        <f>HYPERLINK("http://codeforces.com/contest/588/problem/B","CF588-D2-B")</f>
        <v>CF588-D2-B</v>
      </c>
      <c r="C694" s="56"/>
      <c r="D694" s="262" t="s">
        <v>1586</v>
      </c>
    </row>
    <row r="695" spans="1:4" ht="13.2">
      <c r="A695" s="51" t="s">
        <v>190</v>
      </c>
      <c r="B695" s="263" t="str">
        <f>HYPERLINK("https://uva.onlinejudge.org/index.php?option=com_onlinejudge&amp;Itemid=8&amp;page=show_problem&amp;problem=1051","UVA 10110")</f>
        <v>UVA 10110</v>
      </c>
      <c r="C695" s="56"/>
      <c r="D695" s="262" t="s">
        <v>1586</v>
      </c>
    </row>
    <row r="696" spans="1:4" ht="13.2">
      <c r="A696" s="51" t="s">
        <v>713</v>
      </c>
      <c r="B696" s="263" t="str">
        <f>HYPERLINK("https://uva.onlinejudge.org/index.php?option=com_onlinejudge&amp;Itemid=8&amp;page=show_problem&amp;problem=49","UVA 113")</f>
        <v>UVA 113</v>
      </c>
      <c r="C696" s="56"/>
      <c r="D696" s="265" t="s">
        <v>1597</v>
      </c>
    </row>
    <row r="697" spans="1:4" ht="13.2">
      <c r="A697" s="51" t="s">
        <v>581</v>
      </c>
      <c r="B697" s="263" t="str">
        <f>HYPERLINK("http://codeforces.com/contest/71/problem/C","CF71-D2-C")</f>
        <v>CF71-D2-C</v>
      </c>
      <c r="C697" s="56"/>
      <c r="D697" s="262" t="s">
        <v>1598</v>
      </c>
    </row>
    <row r="698" spans="1:4" ht="13.2">
      <c r="A698" s="51" t="s">
        <v>553</v>
      </c>
      <c r="B698" s="263" t="str">
        <f>HYPERLINK("http://codeforces.com/contest/304/problem/C","CF304-D2-C")</f>
        <v>CF304-D2-C</v>
      </c>
      <c r="C698" s="56"/>
      <c r="D698" s="262" t="s">
        <v>1595</v>
      </c>
    </row>
    <row r="699" spans="1:4" ht="13.2">
      <c r="A699" s="51" t="s">
        <v>580</v>
      </c>
      <c r="B699" s="263" t="str">
        <f>HYPERLINK("http://codeforces.com/contest/577/problem/C","CF577-D2-C")</f>
        <v>CF577-D2-C</v>
      </c>
      <c r="C699" s="56"/>
      <c r="D699" s="262" t="s">
        <v>1591</v>
      </c>
    </row>
    <row r="700" spans="1:4" ht="13.2">
      <c r="A700" s="51"/>
      <c r="B700" s="81" t="str">
        <f>HYPERLINK("https://codeforces.com/contest/1239/problem/A","CF1239-D1-A")</f>
        <v>CF1239-D1-A</v>
      </c>
      <c r="C700" s="56"/>
      <c r="D700" s="262" t="s">
        <v>1599</v>
      </c>
    </row>
    <row r="701" spans="1:4" ht="13.2">
      <c r="A701" s="51" t="s">
        <v>1003</v>
      </c>
      <c r="B701" s="263" t="str">
        <f>HYPERLINK("https://uva.onlinejudge.org/index.php?option=com_onlinejudge&amp;Itemid=8&amp;page=show_problem&amp;problem=966","UVA 10025")</f>
        <v>UVA 10025</v>
      </c>
      <c r="C701" s="56"/>
      <c r="D701" s="262" t="s">
        <v>1600</v>
      </c>
    </row>
    <row r="702" spans="1:4" ht="13.2">
      <c r="A702" s="51" t="s">
        <v>1601</v>
      </c>
      <c r="B702" s="263" t="str">
        <f>HYPERLINK("http://codeforces.com/contest/334/problem/C","CF334-D2-C")</f>
        <v>CF334-D2-C</v>
      </c>
      <c r="C702" s="56"/>
      <c r="D702" s="262" t="s">
        <v>1586</v>
      </c>
    </row>
    <row r="703" spans="1:4" ht="13.2">
      <c r="A703" s="51" t="s">
        <v>662</v>
      </c>
      <c r="B703" s="263" t="str">
        <f>HYPERLINK("http://codeforces.com/contest/834/problem/C","CF834-D2-C")</f>
        <v>CF834-D2-C</v>
      </c>
      <c r="C703" s="56"/>
      <c r="D703" s="262" t="s">
        <v>1586</v>
      </c>
    </row>
    <row r="704" spans="1:4" ht="13.2">
      <c r="A704" s="51" t="s">
        <v>594</v>
      </c>
      <c r="B704" s="263" t="str">
        <f>HYPERLINK("http://codeforces.com/contest/353/problem/C","CF353-D2-C")</f>
        <v>CF353-D2-C</v>
      </c>
      <c r="C704" s="56"/>
      <c r="D704" s="262" t="s">
        <v>1602</v>
      </c>
    </row>
    <row r="705" spans="1:4" ht="13.2">
      <c r="A705" s="51" t="s">
        <v>1123</v>
      </c>
      <c r="B705" s="263" t="str">
        <f>HYPERLINK("http://codeforces.com/contest/716/problem/C","CF716-D2-C")</f>
        <v>CF716-D2-C</v>
      </c>
      <c r="C705" s="264"/>
      <c r="D705" s="262" t="s">
        <v>1595</v>
      </c>
    </row>
    <row r="706" spans="1:4" ht="13.2">
      <c r="A706" s="51" t="s">
        <v>980</v>
      </c>
      <c r="B706" s="263" t="str">
        <f>HYPERLINK("http://codeforces.com/contest/680/problem/C","CF680-D2-C")</f>
        <v>CF680-D2-C</v>
      </c>
      <c r="C706" s="56"/>
      <c r="D706" s="262" t="s">
        <v>1603</v>
      </c>
    </row>
    <row r="707" spans="1:4" ht="13.2">
      <c r="A707" s="51"/>
      <c r="B707" s="263" t="str">
        <f>HYPERLINK("http://codeforces.com/contest/1040/problem/D","CF1040-D2-D")</f>
        <v>CF1040-D2-D</v>
      </c>
      <c r="C707" s="56"/>
      <c r="D707" s="262" t="s">
        <v>1604</v>
      </c>
    </row>
    <row r="708" spans="1:4" ht="13.2">
      <c r="A708" s="51" t="s">
        <v>977</v>
      </c>
      <c r="B708" s="263" t="str">
        <f>HYPERLINK("http://codeforces.com/contest/451/problem/D","CF451-D2-D")</f>
        <v>CF451-D2-D</v>
      </c>
      <c r="C708" s="56"/>
      <c r="D708" s="262" t="s">
        <v>1605</v>
      </c>
    </row>
    <row r="709" spans="1:4" ht="13.2">
      <c r="A709" s="51" t="s">
        <v>891</v>
      </c>
      <c r="B709" s="263" t="str">
        <f>HYPERLINK("http://codeforces.com/contest/535/problem/C","CF535-D2-C")</f>
        <v>CF535-D2-C</v>
      </c>
      <c r="C709" s="56"/>
      <c r="D709" s="262" t="s">
        <v>1606</v>
      </c>
    </row>
    <row r="710" spans="1:4" ht="13.2">
      <c r="A710" s="51" t="s">
        <v>941</v>
      </c>
      <c r="B710" s="263" t="str">
        <f>HYPERLINK("http://codeforces.com/contest/701/problem/D","CF701-D2-D")</f>
        <v>CF701-D2-D</v>
      </c>
      <c r="C710" s="56"/>
      <c r="D710" s="262" t="s">
        <v>1607</v>
      </c>
    </row>
    <row r="711" spans="1:4" ht="13.2">
      <c r="A711" s="51"/>
      <c r="B711" s="263" t="str">
        <f>HYPERLINK("http://codeforces.com/problemset/problem/955/C","CF955-D2-C")</f>
        <v>CF955-D2-C</v>
      </c>
      <c r="C711" s="56"/>
      <c r="D711" s="262" t="s">
        <v>1596</v>
      </c>
    </row>
    <row r="712" spans="1:4" ht="13.2">
      <c r="A712" s="51"/>
      <c r="B712" s="263" t="str">
        <f>HYPERLINK("http://codeforces.com/contest/45/problem/D","CF45-D12-D")</f>
        <v>CF45-D12-D</v>
      </c>
      <c r="C712" s="56"/>
      <c r="D712" s="262" t="s">
        <v>1608</v>
      </c>
    </row>
    <row r="713" spans="1:4" ht="13.2">
      <c r="A713" s="51" t="s">
        <v>1122</v>
      </c>
      <c r="B713" s="263" t="str">
        <f>HYPERLINK("http://codeforces.com/contest/322/problem/C","CF322-D2-C")</f>
        <v>CF322-D2-C</v>
      </c>
      <c r="C713" s="264"/>
      <c r="D713" s="262" t="s">
        <v>1609</v>
      </c>
    </row>
    <row r="714" spans="1:4" ht="13.2">
      <c r="A714" s="51" t="s">
        <v>627</v>
      </c>
      <c r="B714" s="263" t="str">
        <f>HYPERLINK("http://codeforces.com/contest/499/problem/C","CF499-D2-C")</f>
        <v>CF499-D2-C</v>
      </c>
      <c r="C714" s="56"/>
      <c r="D714" s="262" t="s">
        <v>1610</v>
      </c>
    </row>
    <row r="715" spans="1:4" ht="13.2">
      <c r="A715" s="51" t="s">
        <v>788</v>
      </c>
      <c r="B715" s="263" t="str">
        <f>HYPERLINK("http://codeforces.com/contest/199/problem/C","CF199-D2-C")</f>
        <v>CF199-D2-C</v>
      </c>
      <c r="C715" s="56"/>
      <c r="D715" s="262" t="s">
        <v>1586</v>
      </c>
    </row>
    <row r="716" spans="1:4" ht="13.2">
      <c r="A716" s="51" t="s">
        <v>789</v>
      </c>
      <c r="B716" s="263" t="str">
        <f>HYPERLINK("http://codeforces.com/contest/520/problem/C","CF520-D2-C")</f>
        <v>CF520-D2-C</v>
      </c>
      <c r="C716" s="56"/>
      <c r="D716" s="262" t="s">
        <v>1586</v>
      </c>
    </row>
    <row r="717" spans="1:4" ht="13.2">
      <c r="A717" s="51" t="s">
        <v>720</v>
      </c>
      <c r="B717" s="263" t="str">
        <f>HYPERLINK("http://codeforces.com/contest/451/problem/C","CF451-D2-C")</f>
        <v>CF451-D2-C</v>
      </c>
      <c r="C717" s="56"/>
      <c r="D717" s="262" t="s">
        <v>1611</v>
      </c>
    </row>
    <row r="718" spans="1:4" ht="13.2">
      <c r="A718" s="51" t="s">
        <v>979</v>
      </c>
      <c r="B718" s="263" t="str">
        <f>HYPERLINK("http://codeforces.com/contest/195/problem/D","CF195-D2-D")</f>
        <v>CF195-D2-D</v>
      </c>
      <c r="C718" s="56"/>
      <c r="D718" s="262" t="s">
        <v>1612</v>
      </c>
    </row>
    <row r="719" spans="1:4" ht="13.2">
      <c r="A719" s="51"/>
      <c r="B719" s="263" t="str">
        <f>HYPERLINK("http://codeforces.com/problemset/problem/1016/D","CF1016-D12-D")</f>
        <v>CF1016-D12-D</v>
      </c>
      <c r="C719" s="56"/>
      <c r="D719" s="262" t="s">
        <v>1613</v>
      </c>
    </row>
    <row r="720" spans="1:4" ht="13.2">
      <c r="A720" s="51" t="s">
        <v>883</v>
      </c>
      <c r="B720" s="263" t="str">
        <f>HYPERLINK("http://codeforces.com/contest/151/problem/D","CF151-D2-D")</f>
        <v>CF151-D2-D</v>
      </c>
      <c r="C720" s="56"/>
      <c r="D720" s="265" t="s">
        <v>1614</v>
      </c>
    </row>
    <row r="721" spans="1:4" ht="13.2">
      <c r="A721" s="51" t="s">
        <v>1175</v>
      </c>
      <c r="B721" s="263" t="str">
        <f>HYPERLINK("http://codeforces.com/contest/9/problem/D","CF9-D2-D")</f>
        <v>CF9-D2-D</v>
      </c>
      <c r="C721" s="264"/>
      <c r="D721" s="262" t="s">
        <v>1615</v>
      </c>
    </row>
    <row r="722" spans="1:4" ht="13.2">
      <c r="A722" s="51" t="s">
        <v>1023</v>
      </c>
      <c r="B722" s="263" t="str">
        <f>HYPERLINK("https://uva.onlinejudge.org/index.php?option=com_onlinejudge&amp;Itemid=8&amp;page=show_problem&amp;problem=62","UVA 126")</f>
        <v>UVA 126</v>
      </c>
      <c r="C722" s="264"/>
      <c r="D722" s="262" t="s">
        <v>1586</v>
      </c>
    </row>
    <row r="723" spans="1:4" ht="13.2">
      <c r="A723" s="51" t="s">
        <v>619</v>
      </c>
      <c r="B723" s="263" t="str">
        <f>HYPERLINK("https://uva.onlinejudge.org/index.php?option=com_onlinejudge&amp;Itemid=8&amp;page=show_problem&amp;problem=64","UVA 128")</f>
        <v>UVA 128</v>
      </c>
      <c r="C723" s="56"/>
      <c r="D723" s="262" t="s">
        <v>1586</v>
      </c>
    </row>
    <row r="724" spans="1:4" ht="13.2">
      <c r="A724" s="51" t="s">
        <v>1195</v>
      </c>
      <c r="B724" s="263" t="str">
        <f>HYPERLINK("http://codeforces.com/contest/352/problem/D","CF352-D2-D")</f>
        <v>CF352-D2-D</v>
      </c>
      <c r="C724" s="56"/>
      <c r="D724" s="262" t="s">
        <v>1616</v>
      </c>
    </row>
    <row r="725" spans="1:4" ht="13.2">
      <c r="A725" s="51" t="s">
        <v>726</v>
      </c>
      <c r="B725" s="263" t="str">
        <f>HYPERLINK("http://codeforces.com/contest/84/problem/B","CF84-D2-B")</f>
        <v>CF84-D2-B</v>
      </c>
      <c r="C725" s="56"/>
      <c r="D725" s="262" t="s">
        <v>1617</v>
      </c>
    </row>
    <row r="726" spans="1:4" ht="13.2">
      <c r="A726" s="51" t="s">
        <v>425</v>
      </c>
      <c r="B726" s="263" t="str">
        <f>HYPERLINK("http://codeforces.com/contest/617/problem/B","CF617-D2-B")</f>
        <v>CF617-D2-B</v>
      </c>
      <c r="C726" s="56"/>
      <c r="D726" s="262" t="s">
        <v>1617</v>
      </c>
    </row>
    <row r="727" spans="1:4" ht="13.2">
      <c r="A727" s="51" t="s">
        <v>392</v>
      </c>
      <c r="B727" s="263" t="str">
        <f>HYPERLINK("http://codeforces.com/contest/79/problem/B","CF79-D12-B")</f>
        <v>CF79-D12-B</v>
      </c>
      <c r="C727" s="56"/>
      <c r="D727" s="170" t="s">
        <v>1618</v>
      </c>
    </row>
    <row r="728" spans="1:4" ht="13.2">
      <c r="A728" s="51" t="s">
        <v>568</v>
      </c>
      <c r="B728" s="263" t="str">
        <f>HYPERLINK("http://codeforces.com/contest/131/problem/C","CF131-D2-C")</f>
        <v>CF131-D2-C</v>
      </c>
      <c r="C728" s="56"/>
      <c r="D728" s="262" t="s">
        <v>1617</v>
      </c>
    </row>
    <row r="729" spans="1:4" ht="13.2">
      <c r="A729" s="51" t="s">
        <v>1020</v>
      </c>
      <c r="B729" s="263" t="str">
        <f>HYPERLINK("http://codeforces.com/contest/152/problem/C","CF152-D2-C")</f>
        <v>CF152-D2-C</v>
      </c>
      <c r="C729" s="56"/>
      <c r="D729" s="262" t="s">
        <v>1617</v>
      </c>
    </row>
    <row r="730" spans="1:4" ht="13.2">
      <c r="A730" s="51" t="s">
        <v>193</v>
      </c>
      <c r="B730" s="263" t="str">
        <f>HYPERLINK("https://uva.onlinejudge.org/index.php?option=onlinejudge&amp;page=show_problem&amp;problem=2172","UVA 11231")</f>
        <v>UVA 11231</v>
      </c>
      <c r="C730" s="56"/>
      <c r="D730" s="262" t="s">
        <v>1619</v>
      </c>
    </row>
    <row r="731" spans="1:4" ht="13.2">
      <c r="A731" s="51"/>
      <c r="B731" s="263" t="str">
        <f>HYPERLINK("http://codeforces.com/contest/758/problem/C","CF758-D2-C")</f>
        <v>CF758-D2-C</v>
      </c>
      <c r="C731" s="56"/>
      <c r="D731" s="262" t="s">
        <v>1617</v>
      </c>
    </row>
    <row r="732" spans="1:4" ht="13.2">
      <c r="A732" s="51"/>
      <c r="B732" s="263" t="str">
        <f>HYPERLINK("http://codeforces.com/contest/459/problem/C","CF459-D2-C")</f>
        <v>CF459-D2-C</v>
      </c>
      <c r="C732" s="56"/>
      <c r="D732" s="262" t="s">
        <v>1620</v>
      </c>
    </row>
    <row r="733" spans="1:4" ht="13.2">
      <c r="A733" s="51"/>
      <c r="B733" s="263" t="str">
        <f>HYPERLINK("https://www.hackerrank.com/challenges/ajourney","HACKR ajourney")</f>
        <v>HACKR ajourney</v>
      </c>
      <c r="C733" s="264"/>
      <c r="D733" s="262" t="s">
        <v>1621</v>
      </c>
    </row>
    <row r="734" spans="1:4" ht="13.2">
      <c r="A734" s="51" t="s">
        <v>799</v>
      </c>
      <c r="B734" s="263" t="str">
        <f>HYPERLINK("http://codeforces.com/contest/294/problem/C","CF294-D2-C")</f>
        <v>CF294-D2-C</v>
      </c>
      <c r="C734" s="56"/>
      <c r="D734" s="262" t="s">
        <v>1617</v>
      </c>
    </row>
    <row r="735" spans="1:4" ht="13.2">
      <c r="A735" s="51"/>
      <c r="B735" s="263" t="str">
        <f>HYPERLINK("http://codeforces.com/problemset/problem/869/C","CF869-D2-C")</f>
        <v>CF869-D2-C</v>
      </c>
      <c r="C735" s="56"/>
      <c r="D735" s="262" t="s">
        <v>1622</v>
      </c>
    </row>
    <row r="736" spans="1:4" ht="13.2">
      <c r="A736" s="51" t="s">
        <v>859</v>
      </c>
      <c r="B736" s="263" t="str">
        <f>HYPERLINK("http://codeforces.com/contest/340/problem/C","CF340-D2-C")</f>
        <v>CF340-D2-C</v>
      </c>
      <c r="C736" s="56"/>
      <c r="D736" s="262" t="s">
        <v>1623</v>
      </c>
    </row>
    <row r="737" spans="1:4" ht="13.2">
      <c r="A737" s="51" t="s">
        <v>556</v>
      </c>
      <c r="B737" s="263" t="str">
        <f>HYPERLINK("http://codeforces.com/contest/371/problem/B","CF371-D2-B")</f>
        <v>CF371-D2-B</v>
      </c>
      <c r="C737" s="56"/>
      <c r="D737" s="262" t="s">
        <v>1624</v>
      </c>
    </row>
    <row r="738" spans="1:4" ht="13.2">
      <c r="A738" s="51" t="s">
        <v>955</v>
      </c>
      <c r="B738" s="263" t="str">
        <f>HYPERLINK("https://uva.onlinejudge.org/index.php?option=com_onlinejudge&amp;Itemid=8&amp;page=show_problem&amp;problem=89","UVA 153")</f>
        <v>UVA 153</v>
      </c>
      <c r="C738" s="56"/>
      <c r="D738" s="262" t="s">
        <v>1625</v>
      </c>
    </row>
    <row r="739" spans="1:4" ht="13.2">
      <c r="A739" s="51" t="s">
        <v>631</v>
      </c>
      <c r="B739" s="263" t="str">
        <f>HYPERLINK("https://uva.onlinejudge.org/index.php?option=com_onlinejudge&amp;Itemid=8&amp;page=show_problem&amp;problem=524","UVA 583")</f>
        <v>UVA 583</v>
      </c>
      <c r="C739" s="56"/>
      <c r="D739" s="262" t="s">
        <v>1626</v>
      </c>
    </row>
    <row r="740" spans="1:4" ht="13.2">
      <c r="A740" s="51" t="s">
        <v>426</v>
      </c>
      <c r="B740" s="263" t="str">
        <f>HYPERLINK("http://codeforces.com/contest/236/problem/B","CF236-D2-B")</f>
        <v>CF236-D2-B</v>
      </c>
      <c r="C740" s="56"/>
      <c r="D740" s="262" t="s">
        <v>1626</v>
      </c>
    </row>
    <row r="741" spans="1:4" ht="13.2">
      <c r="A741" s="51" t="s">
        <v>632</v>
      </c>
      <c r="B741" s="263" t="str">
        <f>HYPERLINK("https://uva.onlinejudge.org/index.php?option=com_onlinejudge&amp;Itemid=8&amp;page=show_problem&amp;problem=1431","UVA 10490")</f>
        <v>UVA 10490</v>
      </c>
      <c r="C741" s="56"/>
      <c r="D741" s="262" t="s">
        <v>1626</v>
      </c>
    </row>
    <row r="742" spans="1:4" ht="13.2">
      <c r="A742" s="51" t="s">
        <v>634</v>
      </c>
      <c r="B742" s="263" t="str">
        <f>HYPERLINK("https://uva.onlinejudge.org/index.php?option=com_onlinejudge&amp;Itemid=8&amp;page=show_problem&amp;problem=457","UVA 516")</f>
        <v>UVA 516</v>
      </c>
      <c r="C742" s="56"/>
      <c r="D742" s="262" t="s">
        <v>1626</v>
      </c>
    </row>
    <row r="743" spans="1:4" ht="13.2">
      <c r="A743" s="51" t="s">
        <v>633</v>
      </c>
      <c r="B743" s="263" t="str">
        <f>HYPERLINK("https://uva.onlinejudge.org/index.php?option=onlinejudge&amp;page=show_problem&amp;problem=1563","UVA 10622")</f>
        <v>UVA 10622</v>
      </c>
      <c r="C743" s="56"/>
      <c r="D743" s="262" t="s">
        <v>1626</v>
      </c>
    </row>
    <row r="744" spans="1:4" ht="13.2">
      <c r="A744" s="51" t="s">
        <v>650</v>
      </c>
      <c r="B744" s="263" t="str">
        <f>HYPERLINK("https://uva.onlinejudge.org/index.php?option=onlinejudge&amp;Itemid=8&amp;page=show_problem&amp;problem=1080","UVA 10139")</f>
        <v>UVA 10139</v>
      </c>
      <c r="C744" s="56"/>
      <c r="D744" s="262" t="s">
        <v>1627</v>
      </c>
    </row>
    <row r="745" spans="1:4" ht="13.2">
      <c r="A745" s="51"/>
      <c r="B745" s="263" t="str">
        <f>HYPERLINK("http://codeforces.com/contest/1047/problem/C","CF1047-D2-C")</f>
        <v>CF1047-D2-C</v>
      </c>
      <c r="C745" s="56"/>
      <c r="D745" s="262" t="s">
        <v>1626</v>
      </c>
    </row>
    <row r="746" spans="1:4" ht="13.2">
      <c r="A746" s="51" t="s">
        <v>1102</v>
      </c>
      <c r="B746" s="263" t="str">
        <f>HYPERLINK("https://uva.onlinejudge.org/index.php?option=onlinejudge&amp;page=show_problem&amp;problem=488","UVA 547")</f>
        <v>UVA 547</v>
      </c>
      <c r="C746" s="264"/>
      <c r="D746" s="262" t="s">
        <v>1628</v>
      </c>
    </row>
    <row r="747" spans="1:4" ht="13.2">
      <c r="A747" s="51"/>
      <c r="B747" s="51" t="s">
        <v>970</v>
      </c>
      <c r="C747" s="56"/>
      <c r="D747" s="262" t="s">
        <v>1629</v>
      </c>
    </row>
    <row r="748" spans="1:4" ht="13.2">
      <c r="A748" s="51" t="s">
        <v>1126</v>
      </c>
      <c r="B748" s="263" t="str">
        <f>HYPERLINK("https://uva.onlinejudge.org/index.php?option=onlinejudge&amp;page=show_problem&amp;problem=2322","UVA 11347")</f>
        <v>UVA 11347</v>
      </c>
      <c r="C748" s="264"/>
      <c r="D748" s="262" t="s">
        <v>1630</v>
      </c>
    </row>
    <row r="749" spans="1:4" ht="13.2">
      <c r="A749" s="51"/>
      <c r="B749" s="263" t="str">
        <f>HYPERLINK("http://codeforces.com/problemset/problem/1033/D", "CF1033-D12-D")</f>
        <v>CF1033-D12-D</v>
      </c>
      <c r="C749" s="56"/>
      <c r="D749" s="262" t="s">
        <v>1626</v>
      </c>
    </row>
    <row r="750" spans="1:4" ht="13.2">
      <c r="A750" s="51" t="s">
        <v>1198</v>
      </c>
      <c r="B750" s="263" t="str">
        <f>HYPERLINK("http://codeforces.com/contest/688/problem/D","CF688-D2-D")</f>
        <v>CF688-D2-D</v>
      </c>
      <c r="C750" s="56"/>
      <c r="D750" s="262" t="s">
        <v>1631</v>
      </c>
    </row>
    <row r="751" spans="1:4" ht="13.2">
      <c r="A751" s="51" t="s">
        <v>1130</v>
      </c>
      <c r="B751" s="263" t="str">
        <f>HYPERLINK("http://www.spoj.com/problems/PROOT/","SPOJ PROOT")</f>
        <v>SPOJ PROOT</v>
      </c>
      <c r="C751" s="264"/>
      <c r="D751" s="262" t="s">
        <v>1632</v>
      </c>
    </row>
    <row r="752" spans="1:4" ht="13.2">
      <c r="A752" s="51"/>
      <c r="B752" s="51" t="s">
        <v>863</v>
      </c>
      <c r="C752" s="56"/>
      <c r="D752" s="262" t="s">
        <v>1633</v>
      </c>
    </row>
    <row r="753" spans="1:4" ht="13.2">
      <c r="A753" s="51" t="s">
        <v>378</v>
      </c>
      <c r="B753" s="263" t="str">
        <f>HYPERLINK("https://uva.onlinejudge.org/index.php?option=onlinejudge&amp;page=show_problem&amp;problem=305","UVA 369")</f>
        <v>UVA 369</v>
      </c>
      <c r="C753" s="56"/>
      <c r="D753" s="262" t="s">
        <v>1634</v>
      </c>
    </row>
    <row r="754" spans="1:4" ht="13.2">
      <c r="A754" s="51" t="s">
        <v>379</v>
      </c>
      <c r="B754" s="263" t="str">
        <f>HYPERLINK("https://uva.onlinejudge.org/index.php?option=onlinejudge&amp;page=show_problem&amp;problem=353","UVA 412")</f>
        <v>UVA 412</v>
      </c>
      <c r="C754" s="56"/>
      <c r="D754" s="262" t="s">
        <v>1635</v>
      </c>
    </row>
    <row r="755" spans="1:4" ht="13.2">
      <c r="A755" s="51" t="s">
        <v>569</v>
      </c>
      <c r="B755" s="263" t="str">
        <f>HYPERLINK("http://codeforces.com/contest/88/problem/C","CF88-D2-C")</f>
        <v>CF88-D2-C</v>
      </c>
      <c r="C755" s="56"/>
      <c r="D755" s="262" t="s">
        <v>1636</v>
      </c>
    </row>
    <row r="756" spans="1:4" ht="13.2">
      <c r="A756" s="51" t="s">
        <v>562</v>
      </c>
      <c r="B756" s="263" t="str">
        <f>HYPERLINK("https://uva.onlinejudge.org/index.php?option=onlinejudge&amp;page=show_problem&amp;problem=1658","UVA 10717")</f>
        <v>UVA 10717</v>
      </c>
      <c r="C756" s="56"/>
      <c r="D756" s="262" t="s">
        <v>1637</v>
      </c>
    </row>
    <row r="757" spans="1:4" ht="13.2">
      <c r="A757" s="51" t="s">
        <v>802</v>
      </c>
      <c r="B757" s="263" t="str">
        <f>HYPERLINK("http://codeforces.com/contest/592/problem/C","CF592-D2-C")</f>
        <v>CF592-D2-C</v>
      </c>
      <c r="C757" s="56"/>
      <c r="D757" s="262" t="s">
        <v>1638</v>
      </c>
    </row>
    <row r="758" spans="1:4" ht="13.2">
      <c r="A758" s="51" t="s">
        <v>934</v>
      </c>
      <c r="B758" s="263" t="str">
        <f>HYPERLINK("https://uva.onlinejudge.org/index.php?option=onlinejudge&amp;page=show_problem&amp;problem=1833","UVA 10892")</f>
        <v>UVA 10892</v>
      </c>
      <c r="C758" s="56"/>
      <c r="D758" s="262" t="s">
        <v>1637</v>
      </c>
    </row>
    <row r="759" spans="1:4" ht="13.2">
      <c r="A759" s="51" t="s">
        <v>607</v>
      </c>
      <c r="B759" s="263" t="str">
        <f>HYPERLINK("http://codeforces.com/contest/344/problem/C","CF344-D2-C")</f>
        <v>CF344-D2-C</v>
      </c>
      <c r="C759" s="56"/>
      <c r="D759" s="262" t="s">
        <v>1635</v>
      </c>
    </row>
    <row r="760" spans="1:4" ht="13.2">
      <c r="A760" s="51" t="s">
        <v>945</v>
      </c>
      <c r="B760" s="263" t="str">
        <f>HYPERLINK("http://codeforces.com/contest/236/problem/C","CF236-D2-C")</f>
        <v>CF236-D2-C</v>
      </c>
      <c r="C760" s="56"/>
      <c r="D760" s="262" t="s">
        <v>1637</v>
      </c>
    </row>
    <row r="761" spans="1:4" ht="13.2">
      <c r="A761" s="51"/>
      <c r="B761" s="263" t="str">
        <f>HYPERLINK("http://codeforces.com/contest/1010/problem/C","CF1010-D1-C")</f>
        <v>CF1010-D1-C</v>
      </c>
      <c r="C761" s="56"/>
      <c r="D761" s="262" t="s">
        <v>1639</v>
      </c>
    </row>
    <row r="762" spans="1:4" ht="13.2">
      <c r="A762" s="51"/>
      <c r="B762" s="263" t="str">
        <f>HYPERLINK("https://beta.atcoder.jp/contests/agc026/tasks/agc026_b","AtCoder026-AGC-B")</f>
        <v>AtCoder026-AGC-B</v>
      </c>
      <c r="C762" s="264"/>
      <c r="D762" s="262" t="s">
        <v>1640</v>
      </c>
    </row>
    <row r="763" spans="1:4" ht="13.2">
      <c r="A763" s="51"/>
      <c r="B763" s="263" t="str">
        <f>HYPERLINK("https://www.spoj.com/problems/EASYMATH/","SPOJ EASYMATH")</f>
        <v>SPOJ EASYMATH</v>
      </c>
      <c r="C763" s="56"/>
      <c r="D763" s="262" t="s">
        <v>1641</v>
      </c>
    </row>
    <row r="764" spans="1:4" ht="13.2">
      <c r="A764" s="51" t="s">
        <v>561</v>
      </c>
      <c r="B764" s="263" t="str">
        <f>HYPERLINK("http://codeforces.com/contest/371/problem/C","CF371-D2-C")</f>
        <v>CF371-D2-C</v>
      </c>
      <c r="C764" s="56"/>
      <c r="D764" s="262" t="s">
        <v>1642</v>
      </c>
    </row>
    <row r="765" spans="1:4" ht="13.2">
      <c r="A765" s="51" t="s">
        <v>560</v>
      </c>
      <c r="B765" s="263" t="str">
        <f>HYPERLINK("https://uva.onlinejudge.org/index.php?option=onlinejudge&amp;page=show_problem&amp;problem=1266","UVA 10325")</f>
        <v>UVA 10325</v>
      </c>
      <c r="C765" s="56"/>
      <c r="D765" s="262" t="s">
        <v>1643</v>
      </c>
    </row>
    <row r="766" spans="1:4" ht="13.2">
      <c r="A766" s="51"/>
      <c r="B766" s="263" t="str">
        <f>HYPERLINK("https://codeforces.com/gym/101933/problem/K","CF101933-GYM-K")</f>
        <v>CF101933-GYM-K</v>
      </c>
      <c r="C766" s="56"/>
      <c r="D766" s="262" t="s">
        <v>1644</v>
      </c>
    </row>
    <row r="767" spans="1:4" ht="13.2">
      <c r="A767" s="51"/>
      <c r="B767" s="263" t="str">
        <f>HYPERLINK("http://codeforces.com/contest/372/problem/B","CF372-D1-B")</f>
        <v>CF372-D1-B</v>
      </c>
      <c r="C767" s="56"/>
      <c r="D767" s="262" t="s">
        <v>1644</v>
      </c>
    </row>
    <row r="768" spans="1:4" ht="13.2">
      <c r="A768" s="51"/>
      <c r="B768" s="51" t="s">
        <v>972</v>
      </c>
      <c r="C768" s="56"/>
      <c r="D768" s="262" t="s">
        <v>1644</v>
      </c>
    </row>
    <row r="769" spans="1:4" ht="13.2">
      <c r="A769" s="51"/>
      <c r="B769" s="263" t="str">
        <f>HYPERLINK("https://codeforces.com/gym/101992/problem/D","CF101992-GYM-D")</f>
        <v>CF101992-GYM-D</v>
      </c>
      <c r="C769" s="56"/>
      <c r="D769" s="262" t="s">
        <v>1644</v>
      </c>
    </row>
    <row r="770" spans="1:4" ht="13.2">
      <c r="A770" s="51" t="s">
        <v>952</v>
      </c>
      <c r="B770" s="263" t="str">
        <f>HYPERLINK("https://uva.onlinejudge.org/index.php?option=com_onlinejudge&amp;Itemid=8&amp;page=show_problem&amp;problem=668","UVA 727")</f>
        <v>UVA 727</v>
      </c>
      <c r="C770" s="56"/>
      <c r="D770" s="262" t="s">
        <v>1645</v>
      </c>
    </row>
    <row r="771" spans="1:4" ht="13.2">
      <c r="A771" s="51" t="s">
        <v>450</v>
      </c>
      <c r="B771" s="263" t="str">
        <f>HYPERLINK("http://acm.timus.ru/problem.aspx?space=1&amp;num=1349","TIMUS 1349")</f>
        <v>TIMUS 1349</v>
      </c>
      <c r="C771" s="35"/>
      <c r="D771" s="262" t="s">
        <v>1646</v>
      </c>
    </row>
    <row r="772" spans="1:4" ht="13.2">
      <c r="A772" s="51" t="s">
        <v>574</v>
      </c>
      <c r="B772" s="263" t="str">
        <f>HYPERLINK("https://uva.onlinejudge.org/index.php?option=onlinejudge&amp;page=show_problem&amp;problem=1243","UVA 10302")</f>
        <v>UVA 10302</v>
      </c>
      <c r="C772" s="56"/>
      <c r="D772" s="262" t="s">
        <v>1647</v>
      </c>
    </row>
    <row r="773" spans="1:4" ht="13.2">
      <c r="A773" s="51"/>
      <c r="B773" s="263" t="str">
        <f>HYPERLINK("https://www.hackerrank.com/contests/infinitum18/challenges/tower-3-coloring","HACKR tower-3-coloring")</f>
        <v>HACKR tower-3-coloring</v>
      </c>
      <c r="C773" s="56"/>
      <c r="D773" s="262" t="s">
        <v>1648</v>
      </c>
    </row>
    <row r="774" spans="1:4" ht="13.2">
      <c r="A774" s="51" t="s">
        <v>576</v>
      </c>
      <c r="B774" s="263" t="str">
        <f>HYPERLINK("https://uva.onlinejudge.org/index.php?option=onlinejudge&amp;page=show_problem&amp;problem=1450","UVA 10509")</f>
        <v>UVA 10509</v>
      </c>
      <c r="C774" s="56"/>
      <c r="D774" s="262" t="s">
        <v>1649</v>
      </c>
    </row>
    <row r="775" spans="1:4" ht="13.2">
      <c r="A775" s="51" t="s">
        <v>575</v>
      </c>
      <c r="B775" s="263" t="str">
        <f>HYPERLINK("https://uva.onlinejudge.org/index.php?option=com_onlinejudge&amp;Itemid=8&amp;page=show_problem&amp;problem=439","UVA 498")</f>
        <v>UVA 498</v>
      </c>
      <c r="C775" s="56"/>
      <c r="D775" s="262" t="s">
        <v>1647</v>
      </c>
    </row>
    <row r="776" spans="1:4" ht="13.2">
      <c r="A776" s="51" t="s">
        <v>595</v>
      </c>
      <c r="B776" s="263" t="str">
        <f>HYPERLINK("http://codeforces.com/contest/450/problem/B","CF450-D2-B")</f>
        <v>CF450-D2-B</v>
      </c>
      <c r="C776" s="56"/>
      <c r="D776" s="262" t="s">
        <v>1650</v>
      </c>
    </row>
    <row r="777" spans="1:4" ht="13.2">
      <c r="A777" s="51" t="s">
        <v>878</v>
      </c>
      <c r="B777" s="263" t="str">
        <f>HYPERLINK("https://uva.onlinejudge.org/index.php?option=com_onlinejudge&amp;Itemid=8&amp;page=show_problem&amp;problem=407","UVA 466")</f>
        <v>UVA 466</v>
      </c>
      <c r="C777" s="56"/>
      <c r="D777" s="262" t="s">
        <v>1651</v>
      </c>
    </row>
    <row r="778" spans="1:4" ht="13.2">
      <c r="A778" s="51" t="s">
        <v>737</v>
      </c>
      <c r="B778" s="263" t="str">
        <f>HYPERLINK("http://codeforces.com/contest/202/problem/C","CF202-D2-C")</f>
        <v>CF202-D2-C</v>
      </c>
      <c r="C778" s="56"/>
      <c r="D778" s="262" t="s">
        <v>1652</v>
      </c>
    </row>
    <row r="779" spans="1:4" ht="13.2">
      <c r="A779" s="51" t="s">
        <v>1097</v>
      </c>
      <c r="B779" s="263" t="str">
        <f>HYPERLINK("http://www.spoj.com/problems/DCEPC12E","SPOJ DCEPC12E")</f>
        <v>SPOJ DCEPC12E</v>
      </c>
      <c r="C779" s="264"/>
      <c r="D779" s="262" t="s">
        <v>1653</v>
      </c>
    </row>
    <row r="780" spans="1:4" ht="13.2">
      <c r="A780" s="51" t="s">
        <v>192</v>
      </c>
      <c r="B780" s="263" t="str">
        <f>HYPERLINK("https://uva.onlinejudge.org/index.php?option=onlinejudge&amp;page=show_problem&amp;problem=349","UVA 408")</f>
        <v>UVA 408</v>
      </c>
      <c r="C780" s="56"/>
      <c r="D780" s="262" t="s">
        <v>1618</v>
      </c>
    </row>
    <row r="781" spans="1:4" ht="13.2">
      <c r="A781" s="51" t="s">
        <v>967</v>
      </c>
      <c r="B781" s="263" t="str">
        <f>HYPERLINK("https://uva.onlinejudge.org/index.php?option=onlinejudge&amp;page=show_problem&amp;problem=2096","UVA 11155")</f>
        <v>UVA 11155</v>
      </c>
      <c r="C781" s="56"/>
      <c r="D781" s="262" t="s">
        <v>1618</v>
      </c>
    </row>
    <row r="782" spans="1:4" ht="13.2">
      <c r="A782" s="51" t="s">
        <v>792</v>
      </c>
      <c r="B782" s="263" t="str">
        <f>HYPERLINK("http://codeforces.com/contest/337/problem/C","CF337-D2-C")</f>
        <v>CF337-D2-C</v>
      </c>
      <c r="C782" s="56"/>
      <c r="D782" s="262" t="s">
        <v>1654</v>
      </c>
    </row>
    <row r="783" spans="1:4" ht="13.2">
      <c r="A783" s="51" t="s">
        <v>653</v>
      </c>
      <c r="B783" s="263" t="str">
        <f>HYPERLINK("https://uva.onlinejudge.org/index.php?option=onlinejudge&amp;page=show_problem&amp;problem=1432","UVA 10491")</f>
        <v>UVA 10491</v>
      </c>
      <c r="C783" s="56"/>
      <c r="D783" s="262" t="s">
        <v>1655</v>
      </c>
    </row>
    <row r="784" spans="1:4" ht="13.2">
      <c r="A784" s="51" t="s">
        <v>654</v>
      </c>
      <c r="B784" s="263" t="str">
        <f>HYPERLINK("https://uva.onlinejudge.org/index.php?option=com_onlinejudge&amp;Itemid=8&amp;page=show_problem&amp;problem=997","UVA 10056")</f>
        <v>UVA 10056</v>
      </c>
      <c r="C784" s="56"/>
      <c r="D784" s="262" t="s">
        <v>1656</v>
      </c>
    </row>
    <row r="785" spans="1:4" ht="13.2">
      <c r="A785" s="51"/>
      <c r="B785" s="263" t="str">
        <f>HYPERLINK("https://www.hackerrank.com/challenges/sherlock-and-probability","HACKR sherlock-and-probability")</f>
        <v>HACKR sherlock-and-probability</v>
      </c>
      <c r="C785" s="56"/>
      <c r="D785" s="262" t="s">
        <v>1657</v>
      </c>
    </row>
    <row r="786" spans="1:4" ht="13.2">
      <c r="A786" s="51" t="s">
        <v>656</v>
      </c>
      <c r="B786" s="263" t="str">
        <f>HYPERLINK("https://uva.onlinejudge.org/index.php?option=com_onlinejudge&amp;Itemid=8&amp;page=show_problem&amp;problem=2122","UVA 11181")</f>
        <v>UVA 11181</v>
      </c>
      <c r="C786" s="56"/>
      <c r="D786" s="262" t="s">
        <v>1658</v>
      </c>
    </row>
    <row r="787" spans="1:4" ht="13.2">
      <c r="A787" s="51" t="s">
        <v>657</v>
      </c>
      <c r="B787" s="263" t="str">
        <f>HYPERLINK("https://uva.onlinejudge.org/index.php?option=com_onlinejudge&amp;Itemid=8&amp;page=show_problem&amp;problem=2675","UVA 11628")</f>
        <v>UVA 11628</v>
      </c>
      <c r="C787" s="56"/>
      <c r="D787" s="262" t="s">
        <v>1659</v>
      </c>
    </row>
    <row r="788" spans="1:4" ht="13.2">
      <c r="A788" s="51" t="s">
        <v>978</v>
      </c>
      <c r="B788" s="263" t="str">
        <f>HYPERLINK("http://codeforces.com/contest/186/problem/D","CF186-D2-D")</f>
        <v>CF186-D2-D</v>
      </c>
      <c r="C788" s="56"/>
      <c r="D788" s="262" t="s">
        <v>1660</v>
      </c>
    </row>
    <row r="789" spans="1:4" ht="13.2">
      <c r="A789" s="51"/>
      <c r="B789" s="263" t="str">
        <f>HYPERLINK("http://codeforces.com/gym/101864/problem/A","CF101864-GYM-A")</f>
        <v>CF101864-GYM-A</v>
      </c>
      <c r="C789" s="264"/>
      <c r="D789" s="262" t="s">
        <v>1661</v>
      </c>
    </row>
    <row r="790" spans="1:4" ht="13.2">
      <c r="A790" s="51"/>
      <c r="B790" s="51" t="s">
        <v>1011</v>
      </c>
      <c r="C790" s="264"/>
      <c r="D790" s="262" t="s">
        <v>1662</v>
      </c>
    </row>
    <row r="791" spans="1:4" ht="13.2">
      <c r="A791" s="51" t="s">
        <v>658</v>
      </c>
      <c r="B791" s="263" t="str">
        <f>HYPERLINK("https://uva.onlinejudge.org/index.php?option=com_onlinejudge&amp;Itemid=8&amp;page=show_problem&amp;problem=3904","UVA 12461")</f>
        <v>UVA 12461</v>
      </c>
      <c r="C791" s="56"/>
      <c r="D791" s="262" t="s">
        <v>1663</v>
      </c>
    </row>
    <row r="792" spans="1:4" ht="13.2">
      <c r="A792" s="51" t="s">
        <v>1166</v>
      </c>
      <c r="B792" s="263" t="str">
        <f>HYPERLINK("https://uva.onlinejudge.org/index.php?option=onlinejudge&amp;page=show_problem&amp;problem=2321","UVa 11346")</f>
        <v>UVa 11346</v>
      </c>
      <c r="C792" s="56"/>
      <c r="D792" s="262" t="s">
        <v>1664</v>
      </c>
    </row>
    <row r="793" spans="1:4" ht="13.2">
      <c r="A793" s="51"/>
      <c r="B793" s="51" t="s">
        <v>1049</v>
      </c>
      <c r="C793" s="56"/>
      <c r="D793" s="262" t="s">
        <v>1665</v>
      </c>
    </row>
    <row r="794" spans="1:4" ht="13.2">
      <c r="A794" s="51"/>
      <c r="B794" s="263" t="str">
        <f>HYPERLINK("http://codeforces.com/contest/26/problem/D","CF26-D12-D")</f>
        <v>CF26-D12-D</v>
      </c>
      <c r="C794" s="56"/>
      <c r="D794" s="262" t="s">
        <v>1666</v>
      </c>
    </row>
    <row r="795" spans="1:4" ht="13.2">
      <c r="A795" s="51"/>
      <c r="B795" s="263" t="str">
        <f>HYPERLINK("http://codeforces.com/problemset/problem/442/B","CF442-D1-B")</f>
        <v>CF442-D1-B</v>
      </c>
      <c r="C795" s="56"/>
      <c r="D795" s="262" t="s">
        <v>1667</v>
      </c>
    </row>
    <row r="796" spans="1:4" ht="13.2">
      <c r="A796" s="51"/>
      <c r="B796" s="51" t="s">
        <v>1083</v>
      </c>
      <c r="C796" s="56"/>
      <c r="D796" s="262" t="s">
        <v>1668</v>
      </c>
    </row>
    <row r="797" spans="1:4" ht="13.2">
      <c r="A797" s="51"/>
      <c r="B797" s="263" t="str">
        <f>HYPERLINK("http://codeforces.com/contest/513/problem/C","CF513-D12-C")</f>
        <v>CF513-D12-C</v>
      </c>
      <c r="C797" s="264"/>
      <c r="D797" s="262" t="s">
        <v>1669</v>
      </c>
    </row>
    <row r="798" spans="1:4" ht="13.2">
      <c r="A798" s="51"/>
      <c r="B798" s="51" t="s">
        <v>1048</v>
      </c>
      <c r="C798" s="56"/>
      <c r="D798" s="262" t="s">
        <v>1670</v>
      </c>
    </row>
    <row r="799" spans="1:4" ht="13.2">
      <c r="A799" s="51"/>
      <c r="B799" s="51" t="s">
        <v>589</v>
      </c>
      <c r="C799" s="56"/>
      <c r="D799" s="262" t="s">
        <v>1671</v>
      </c>
    </row>
    <row r="800" spans="1:4" ht="13.2">
      <c r="A800" s="51"/>
      <c r="B800" s="263" t="str">
        <f>HYPERLINK("http://codeforces.com/contest/163/problem/C","CF163-D12-C")</f>
        <v>CF163-D12-C</v>
      </c>
      <c r="C800" s="56"/>
      <c r="D800" s="262" t="s">
        <v>1656</v>
      </c>
    </row>
    <row r="801" spans="1:4" ht="13.2">
      <c r="A801" s="51"/>
      <c r="B801" s="263" t="str">
        <f>HYPERLINK("http://codeforces.com/contest/110/problem/D","CF110-D2-D")</f>
        <v>CF110-D2-D</v>
      </c>
      <c r="C801" s="56"/>
      <c r="D801" s="262" t="s">
        <v>1672</v>
      </c>
    </row>
    <row r="802" spans="1:4" ht="13.2">
      <c r="A802" s="51" t="s">
        <v>813</v>
      </c>
      <c r="B802" s="263" t="str">
        <f>HYPERLINK("https://uva.onlinejudge.org/index.php?option=com_onlinejudge&amp;Itemid=8&amp;page=show_problem&amp;problem=1718","UVA 10777")</f>
        <v>UVA 10777</v>
      </c>
      <c r="C802" s="56"/>
      <c r="D802" s="262" t="s">
        <v>1673</v>
      </c>
    </row>
    <row r="803" spans="1:4" ht="13.2">
      <c r="A803" s="51"/>
      <c r="B803" s="51" t="s">
        <v>714</v>
      </c>
      <c r="C803" s="56"/>
      <c r="D803" s="262" t="s">
        <v>1674</v>
      </c>
    </row>
    <row r="804" spans="1:4" ht="13.2">
      <c r="A804" s="51"/>
      <c r="B804" s="263" t="str">
        <f>HYPERLINK("http://codeforces.com/contest/839/problem/C","CF839-D2-C")</f>
        <v>CF839-D2-C</v>
      </c>
      <c r="C804" s="56"/>
      <c r="D804" s="262" t="s">
        <v>1675</v>
      </c>
    </row>
    <row r="805" spans="1:4" ht="13.2">
      <c r="A805" s="51"/>
      <c r="B805" s="263" t="str">
        <f>HYPERLINK("https://www.hackerrank.com/challenges/lazy-sorting","HACKR lazy-sorting")</f>
        <v>HACKR lazy-sorting</v>
      </c>
      <c r="C805" s="56"/>
      <c r="D805" s="262" t="s">
        <v>1676</v>
      </c>
    </row>
    <row r="806" spans="1:4" ht="13.2">
      <c r="A806" s="51" t="s">
        <v>924</v>
      </c>
      <c r="B806" s="263" t="str">
        <f>HYPERLINK("http://codeforces.com/contest/443/problem/D","CF443-D2-D")</f>
        <v>CF443-D2-D</v>
      </c>
      <c r="C806" s="264"/>
      <c r="D806" s="262" t="s">
        <v>1677</v>
      </c>
    </row>
    <row r="807" spans="1:4" ht="13.2">
      <c r="A807" s="51" t="s">
        <v>719</v>
      </c>
      <c r="B807" s="263" t="str">
        <f>HYPERLINK("http://codeforces.com/contest/621/problem/C","CF621-D2-C")</f>
        <v>CF621-D2-C</v>
      </c>
      <c r="C807" s="56"/>
      <c r="D807" s="262" t="s">
        <v>1678</v>
      </c>
    </row>
    <row r="808" spans="1:4" ht="13.2">
      <c r="A808" s="51" t="s">
        <v>1679</v>
      </c>
      <c r="B808" s="263" t="str">
        <f>HYPERLINK("http://codeforces.com/contest/454/problem/C","CF454-D2-C")</f>
        <v>CF454-D2-C</v>
      </c>
      <c r="C808" s="56"/>
      <c r="D808" s="262" t="s">
        <v>1680</v>
      </c>
    </row>
    <row r="809" spans="1:4" ht="13.2">
      <c r="A809" s="51"/>
      <c r="B809" s="263" t="str">
        <f>HYPERLINK("https://www.hackerrank.com/challenges/vertical-sticks","HACKR vertical-sticks")</f>
        <v>HACKR vertical-sticks</v>
      </c>
      <c r="C809" s="56"/>
      <c r="D809" s="262" t="s">
        <v>1681</v>
      </c>
    </row>
    <row r="810" spans="1:4" ht="13.2">
      <c r="A810" s="51"/>
      <c r="B810" s="51" t="s">
        <v>814</v>
      </c>
      <c r="C810" s="56"/>
      <c r="D810" s="262" t="s">
        <v>1682</v>
      </c>
    </row>
    <row r="811" spans="1:4" ht="13.2">
      <c r="A811" s="51"/>
      <c r="B811" s="51" t="s">
        <v>1167</v>
      </c>
      <c r="C811" s="56"/>
      <c r="D811" s="262" t="s">
        <v>1678</v>
      </c>
    </row>
    <row r="812" spans="1:4" ht="13.2">
      <c r="A812" s="51"/>
      <c r="B812" s="263" t="str">
        <f>HYPERLINK("http://codeforces.com/contest/500/problem/D","CF500-D12-D")</f>
        <v>CF500-D12-D</v>
      </c>
      <c r="C812" s="56"/>
      <c r="D812" s="262" t="s">
        <v>1675</v>
      </c>
    </row>
    <row r="813" spans="1:4" ht="13.2">
      <c r="A813" s="51"/>
      <c r="B813" s="263" t="str">
        <f>HYPERLINK("http://codeforces.com/contest/280/problem/C","CF280-D1-C")</f>
        <v>CF280-D1-C</v>
      </c>
      <c r="C813" s="56"/>
      <c r="D813" s="262" t="s">
        <v>1683</v>
      </c>
    </row>
    <row r="814" spans="1:4" ht="13.2">
      <c r="A814" s="51" t="s">
        <v>991</v>
      </c>
      <c r="B814" s="263" t="str">
        <f>HYPERLINK("http://codeforces.com/contest/268/problem/E","CF268-D2-E")</f>
        <v>CF268-D2-E</v>
      </c>
      <c r="C814" s="264"/>
      <c r="D814" s="262" t="s">
        <v>1684</v>
      </c>
    </row>
    <row r="815" spans="1:4" ht="13.2">
      <c r="A815" s="51" t="s">
        <v>377</v>
      </c>
      <c r="B815" s="263" t="str">
        <f>HYPERLINK("https://uva.onlinejudge.org/index.php?option=onlinejudge&amp;page=show_problem&amp;problem=310","UVA 374")</f>
        <v>UVA 374</v>
      </c>
      <c r="C815" s="56"/>
      <c r="D815" s="262" t="s">
        <v>1685</v>
      </c>
    </row>
    <row r="816" spans="1:4" ht="13.2">
      <c r="A816" s="51" t="s">
        <v>558</v>
      </c>
      <c r="B816" s="263" t="str">
        <f>HYPERLINK("https://uva.onlinejudge.org/index.php?option=onlinejudge&amp;page=show_problem&amp;problem=1335","UVA 10394")</f>
        <v>UVA 10394</v>
      </c>
      <c r="C816" s="56"/>
      <c r="D816" s="262" t="s">
        <v>1686</v>
      </c>
    </row>
    <row r="817" spans="1:4" ht="13.2">
      <c r="A817" s="51" t="s">
        <v>807</v>
      </c>
      <c r="B817" s="263" t="str">
        <f>HYPERLINK("https://uva.onlinejudge.org/index.php?option=com_onlinejudge&amp;Itemid=8&amp;page=show_problem&amp;problem=825","UVA 884")</f>
        <v>UVA 884</v>
      </c>
      <c r="C817" s="56"/>
      <c r="D817" s="262" t="s">
        <v>1687</v>
      </c>
    </row>
    <row r="818" spans="1:4" ht="13.2">
      <c r="A818" s="51" t="s">
        <v>1159</v>
      </c>
      <c r="B818" s="263" t="str">
        <f>HYPERLINK("http://www.spoj.com/problems/PSYCHON/","SPOJ PSYCHON")</f>
        <v>SPOJ PSYCHON</v>
      </c>
      <c r="C818" s="264"/>
      <c r="D818" s="262" t="s">
        <v>1688</v>
      </c>
    </row>
    <row r="819" spans="1:4" ht="13.2">
      <c r="A819" s="51" t="s">
        <v>559</v>
      </c>
      <c r="B819" s="263" t="str">
        <f>HYPERLINK("https://uva.onlinejudge.org/index.php?option=onlinejudge&amp;page=show_problem&amp;problem=1109","UVA 10168")</f>
        <v>UVA 10168</v>
      </c>
      <c r="C819" s="56"/>
      <c r="D819" s="262" t="s">
        <v>1686</v>
      </c>
    </row>
    <row r="820" spans="1:4" ht="13.2">
      <c r="A820" s="51" t="s">
        <v>755</v>
      </c>
      <c r="B820" s="263" t="str">
        <f>HYPERLINK("http://codeforces.com/contest/569/problem/C","CF569-D2-C")</f>
        <v>CF569-D2-C</v>
      </c>
      <c r="C820" s="56"/>
      <c r="D820" s="262" t="s">
        <v>1689</v>
      </c>
    </row>
    <row r="821" spans="1:4" ht="13.2">
      <c r="A821" s="51" t="s">
        <v>746</v>
      </c>
      <c r="B821" s="263" t="str">
        <f>HYPERLINK("https://uva.onlinejudge.org/index.php?option=onlinejudge&amp;page=show_problem&amp;problem=1425","UVA 10484")</f>
        <v>UVA 10484</v>
      </c>
      <c r="C821" s="56"/>
      <c r="D821" s="262" t="s">
        <v>1686</v>
      </c>
    </row>
    <row r="822" spans="1:4" ht="13.2">
      <c r="A822" s="51"/>
      <c r="B822" s="51" t="s">
        <v>1110</v>
      </c>
      <c r="C822" s="264"/>
      <c r="D822" s="262" t="s">
        <v>1690</v>
      </c>
    </row>
    <row r="823" spans="1:4" ht="13.2">
      <c r="A823" s="51" t="s">
        <v>1181</v>
      </c>
      <c r="B823" s="263" t="str">
        <f>HYPERLINK("https://uva.onlinejudge.org/index.php?option=com_onlinejudge&amp;Itemid=8&amp;page=show_problem&amp;problem=1683","UVA 10742")</f>
        <v>UVA 10742</v>
      </c>
      <c r="C823" s="264"/>
      <c r="D823" s="262" t="s">
        <v>1691</v>
      </c>
    </row>
    <row r="824" spans="1:4" ht="13.2">
      <c r="A824" s="51" t="s">
        <v>1154</v>
      </c>
      <c r="B824" s="263" t="str">
        <f>HYPERLINK("https://uva.onlinejudge.org/index.php?option=com_onlinejudge&amp;Itemid=8&amp;page=show_problem&amp;problem=1360","UVA 10419")</f>
        <v>UVA 10419</v>
      </c>
      <c r="C824" s="264"/>
      <c r="D824" s="262" t="s">
        <v>1692</v>
      </c>
    </row>
    <row r="825" spans="1:4" ht="13.2">
      <c r="A825" s="51" t="s">
        <v>579</v>
      </c>
      <c r="B825" s="263" t="str">
        <f>HYPERLINK("http://codeforces.com/contest/227/problem/C","CF227-D2-C")</f>
        <v>CF227-D2-C</v>
      </c>
      <c r="C825" s="56"/>
      <c r="D825" s="262" t="s">
        <v>1693</v>
      </c>
    </row>
    <row r="826" spans="1:4" ht="13.2">
      <c r="A826" s="51" t="s">
        <v>753</v>
      </c>
      <c r="B826" s="263" t="str">
        <f>HYPERLINK("http://codeforces.com/contest/476/problem/C","CF476-D2-C")</f>
        <v>CF476-D2-C</v>
      </c>
      <c r="C826" s="56"/>
      <c r="D826" s="262" t="s">
        <v>1694</v>
      </c>
    </row>
    <row r="827" spans="1:4" ht="13.2">
      <c r="A827" s="51"/>
      <c r="B827" s="263" t="str">
        <f>HYPERLINK("http://codeforces.com/contest/201/problem/B","CF201-D1-B")</f>
        <v>CF201-D1-B</v>
      </c>
      <c r="C827" s="56"/>
      <c r="D827" s="262" t="s">
        <v>1695</v>
      </c>
    </row>
    <row r="828" spans="1:4" ht="13.2">
      <c r="A828" s="51" t="s">
        <v>1174</v>
      </c>
      <c r="B828" s="263" t="str">
        <f>HYPERLINK("http://codeforces.com/contest/599/problem/D","CF599-D2-D")</f>
        <v>CF599-D2-D</v>
      </c>
      <c r="C828" s="264"/>
      <c r="D828" s="262" t="s">
        <v>1696</v>
      </c>
    </row>
    <row r="829" spans="1:4" ht="13.2">
      <c r="A829" s="51" t="s">
        <v>1155</v>
      </c>
      <c r="B829" s="263" t="str">
        <f>HYPERLINK("http://www.spoj.com/problems/HISTOGRA/","SPOJ HISTOGRA")</f>
        <v>SPOJ HISTOGRA</v>
      </c>
      <c r="C829" s="264"/>
      <c r="D829" s="262" t="s">
        <v>1697</v>
      </c>
    </row>
    <row r="830" spans="1:4" ht="13.2">
      <c r="A830" s="51" t="s">
        <v>873</v>
      </c>
      <c r="B830" s="263" t="str">
        <f>HYPERLINK("http://codeforces.com/problemset/problem/514/D","CF514-D2-D")</f>
        <v>CF514-D2-D</v>
      </c>
      <c r="C830" s="56"/>
      <c r="D830" s="262" t="s">
        <v>1698</v>
      </c>
    </row>
    <row r="831" spans="1:4" ht="13.2">
      <c r="A831" s="51" t="s">
        <v>1006</v>
      </c>
      <c r="B831" s="263" t="str">
        <f>HYPERLINK("http://codeforces.com/contest/689/problem/D","CF689-D2-D")</f>
        <v>CF689-D2-D</v>
      </c>
      <c r="C831" s="264"/>
      <c r="D831" s="262" t="s">
        <v>1699</v>
      </c>
    </row>
    <row r="832" spans="1:4" ht="13.2">
      <c r="A832" s="51" t="s">
        <v>1163</v>
      </c>
      <c r="B832" s="263" t="str">
        <f>HYPERLINK("http://codeforces.com/contest/359/problem/D","CF359-D2-D")</f>
        <v>CF359-D2-D</v>
      </c>
      <c r="C832" s="264"/>
      <c r="D832" s="262" t="s">
        <v>1700</v>
      </c>
    </row>
    <row r="833" spans="1:4" ht="13.2">
      <c r="A833" s="51" t="s">
        <v>1179</v>
      </c>
      <c r="B833" s="263" t="str">
        <f>HYPERLINK("http://codeforces.com/contest/895/problem/C","CF448-D2-C")</f>
        <v>CF448-D2-C</v>
      </c>
      <c r="C833" s="264"/>
      <c r="D833" s="262" t="s">
        <v>1701</v>
      </c>
    </row>
    <row r="834" spans="1:4" ht="13.2">
      <c r="A834" s="51" t="s">
        <v>865</v>
      </c>
      <c r="B834" s="263" t="str">
        <f>HYPERLINK("https://icpcarchive.ecs.baylor.edu/index.php?option=com_onlinejudge&amp;Itemid=8&amp;page=show_problem&amp;problem=192","LIVEARCHIVE 2191")</f>
        <v>LIVEARCHIVE 2191</v>
      </c>
      <c r="C834" s="56"/>
      <c r="D834" s="262" t="s">
        <v>1702</v>
      </c>
    </row>
    <row r="835" spans="1:4" ht="13.2">
      <c r="A835" s="51" t="s">
        <v>864</v>
      </c>
      <c r="B835" s="263" t="str">
        <f>HYPERLINK("https://uva.onlinejudge.org/index.php?option=com_onlinejudge&amp;Itemid=8&amp;page=show_problem&amp;problem=3977","UVA 12532")</f>
        <v>UVA 12532</v>
      </c>
      <c r="C835" s="56"/>
      <c r="D835" s="262" t="s">
        <v>1703</v>
      </c>
    </row>
    <row r="836" spans="1:4" ht="13.2">
      <c r="A836" s="51" t="s">
        <v>866</v>
      </c>
      <c r="B836" s="263" t="str">
        <f>HYPERLINK("http://www.spoj.com/problems/CDC12_H","SPOJ CDC12_H")</f>
        <v>SPOJ CDC12_H</v>
      </c>
      <c r="C836" s="56"/>
      <c r="D836" s="262" t="s">
        <v>1704</v>
      </c>
    </row>
    <row r="837" spans="1:4" ht="13.2">
      <c r="A837" s="51" t="s">
        <v>1182</v>
      </c>
      <c r="B837" s="263" t="str">
        <f>HYPERLINK("http://www.spoj.com/problems/MULTQ3/","SPOJ MULTQ3")</f>
        <v>SPOJ MULTQ3</v>
      </c>
      <c r="C837" s="264"/>
      <c r="D837" s="262" t="s">
        <v>1705</v>
      </c>
    </row>
    <row r="838" spans="1:4" ht="13.2">
      <c r="A838" s="51" t="s">
        <v>868</v>
      </c>
      <c r="B838" s="263" t="str">
        <f>HYPERLINK("http://www.spoj.com/problems/HORRIBLE","SPOJ HORRIBLE")</f>
        <v>SPOJ HORRIBLE</v>
      </c>
      <c r="C838" s="56"/>
      <c r="D838" s="262" t="s">
        <v>1706</v>
      </c>
    </row>
    <row r="839" spans="1:4" ht="13.2">
      <c r="A839" s="51" t="s">
        <v>867</v>
      </c>
      <c r="B839" s="263" t="str">
        <f>HYPERLINK("http://www.spoj.com/problems/CNTPRIME","SPOJ CNTPRIME")</f>
        <v>SPOJ CNTPRIME</v>
      </c>
      <c r="C839" s="56"/>
      <c r="D839" s="262" t="s">
        <v>1707</v>
      </c>
    </row>
    <row r="840" spans="1:4" ht="13.2">
      <c r="A840" s="51" t="s">
        <v>879</v>
      </c>
      <c r="B840" s="263" t="str">
        <f>HYPERLINK("http://www.spoj.com/problems/KGSS/","SPOJ KGSS")</f>
        <v>SPOJ KGSS</v>
      </c>
      <c r="C840" s="56"/>
      <c r="D840" s="262" t="s">
        <v>1708</v>
      </c>
    </row>
    <row r="841" spans="1:4" ht="13.2">
      <c r="A841" s="51" t="s">
        <v>871</v>
      </c>
      <c r="B841" s="263" t="str">
        <f>HYPERLINK("http://www.spoj.com/problems/CITY2/","SPOJ CITY2")</f>
        <v>SPOJ CITY2</v>
      </c>
      <c r="C841" s="264"/>
      <c r="D841" s="262" t="s">
        <v>1709</v>
      </c>
    </row>
    <row r="842" spans="1:4" ht="13.2">
      <c r="A842" s="51" t="s">
        <v>921</v>
      </c>
      <c r="B842" s="263" t="str">
        <f>HYPERLINK("http://www.spoj.com/problems/HELPR2D2","SPOJ HELPR2D2")</f>
        <v>SPOJ HELPR2D2</v>
      </c>
      <c r="C842" s="56"/>
      <c r="D842" s="262" t="s">
        <v>1710</v>
      </c>
    </row>
    <row r="843" spans="1:4" ht="13.2">
      <c r="A843" s="51" t="s">
        <v>869</v>
      </c>
      <c r="B843" s="263" t="str">
        <f>HYPERLINK("http://www.spoj.com/problems/LITE/","SPOJ LITE")</f>
        <v>SPOJ LITE</v>
      </c>
      <c r="C843" s="56"/>
      <c r="D843" s="262" t="s">
        <v>1711</v>
      </c>
    </row>
    <row r="844" spans="1:4" ht="13.2">
      <c r="A844" s="51" t="s">
        <v>870</v>
      </c>
      <c r="B844" s="263" t="str">
        <f>HYPERLINK("http://codeforces.com/contest/52/problem/C","CF52-D12-C")</f>
        <v>CF52-D12-C</v>
      </c>
      <c r="C844" s="56"/>
      <c r="D844" s="262" t="s">
        <v>1712</v>
      </c>
    </row>
    <row r="845" spans="1:4" ht="13.2">
      <c r="A845" s="51" t="s">
        <v>876</v>
      </c>
      <c r="B845" s="263" t="str">
        <f>HYPERLINK("http://www.spoj.com/problems/BRCKTS","SPOJ BRCKTS")</f>
        <v>SPOJ BRCKTS</v>
      </c>
      <c r="C845" s="56"/>
      <c r="D845" s="262" t="s">
        <v>1713</v>
      </c>
    </row>
    <row r="846" spans="1:4" ht="13.2">
      <c r="A846" s="51" t="s">
        <v>898</v>
      </c>
      <c r="B846" s="263" t="str">
        <f>HYPERLINK("http://www.spoj.com/problems/GSS1/","SPOJ GSS1")</f>
        <v>SPOJ GSS1</v>
      </c>
      <c r="C846" s="266"/>
      <c r="D846" s="262" t="s">
        <v>1714</v>
      </c>
    </row>
    <row r="847" spans="1:4" ht="13.2">
      <c r="A847" s="51" t="s">
        <v>872</v>
      </c>
      <c r="B847" s="263" t="str">
        <f>HYPERLINK("https://uva.onlinejudge.org/index.php?option=com_onlinejudge&amp;Itemid=8&amp;page=show_problem&amp;problem=3720","UVA 12299")</f>
        <v>UVA 12299</v>
      </c>
      <c r="C847" s="264"/>
      <c r="D847" s="262" t="s">
        <v>1715</v>
      </c>
    </row>
    <row r="848" spans="1:4" ht="13.2">
      <c r="A848" s="51" t="s">
        <v>1133</v>
      </c>
      <c r="B848" s="263" t="str">
        <f>HYPERLINK("http://www.spoj.com/problems/ANDROUND","SPOJ ANDROUND")</f>
        <v>SPOJ ANDROUND</v>
      </c>
      <c r="C848" s="264"/>
      <c r="D848" s="262" t="s">
        <v>1704</v>
      </c>
    </row>
    <row r="849" spans="1:4" ht="13.2">
      <c r="A849" s="51" t="s">
        <v>875</v>
      </c>
      <c r="B849" s="263" t="str">
        <f>HYPERLINK("https://uva.onlinejudge.org/index.php?option=com_onlinejudge&amp;Itemid=8&amp;page=show_problem&amp;problem=2397","UVA 11402")</f>
        <v>UVA 11402</v>
      </c>
      <c r="C849" s="56"/>
      <c r="D849" s="262" t="s">
        <v>1716</v>
      </c>
    </row>
    <row r="850" spans="1:4" ht="13.2">
      <c r="A850" s="51" t="s">
        <v>877</v>
      </c>
      <c r="B850" s="263" t="str">
        <f>HYPERLINK("http://codeforces.com/contest/460/problem/C","CF460-D2-C")</f>
        <v>CF460-D2-C</v>
      </c>
      <c r="C850" s="56"/>
      <c r="D850" s="262" t="s">
        <v>1717</v>
      </c>
    </row>
    <row r="851" spans="1:4" ht="13.2">
      <c r="A851" s="51" t="s">
        <v>1065</v>
      </c>
      <c r="B851" s="263" t="str">
        <f>HYPERLINK("http://poj.org/problem?id=2374","PKU 2374")</f>
        <v>PKU 2374</v>
      </c>
      <c r="C851" s="264"/>
      <c r="D851" s="262" t="s">
        <v>1718</v>
      </c>
    </row>
    <row r="852" spans="1:4" ht="13.2">
      <c r="A852" s="51"/>
      <c r="B852" s="263" t="str">
        <f>HYPERLINK("https://codeforces.com/problemset/problem/61/E","CF61-D2-E")</f>
        <v>CF61-D2-E</v>
      </c>
      <c r="C852" s="56"/>
      <c r="D852" s="262" t="s">
        <v>1719</v>
      </c>
    </row>
    <row r="853" spans="1:4" ht="13.2">
      <c r="A853" s="51" t="s">
        <v>899</v>
      </c>
      <c r="B853" s="263" t="str">
        <f>HYPERLINK("http://www.spoj.com/problems/GSS3/","SPOJ GSS3")</f>
        <v>SPOJ GSS3</v>
      </c>
      <c r="C853" s="56"/>
      <c r="D853" s="262" t="s">
        <v>1720</v>
      </c>
    </row>
    <row r="854" spans="1:4" ht="13.2">
      <c r="A854" s="51" t="s">
        <v>1007</v>
      </c>
      <c r="B854" s="263" t="str">
        <f>HYPERLINK("http://www.spoj.com/problems/SEGSQRSS","SPOJ SEGSQRSS")</f>
        <v>SPOJ SEGSQRSS</v>
      </c>
      <c r="C854" s="264"/>
      <c r="D854" s="262" t="s">
        <v>1721</v>
      </c>
    </row>
    <row r="855" spans="1:4" ht="13.2">
      <c r="A855" s="51"/>
      <c r="B855" s="263" t="str">
        <f>HYPERLINK("http://codeforces.com/contest/380/problem/C","CF380-D1-C")</f>
        <v>CF380-D1-C</v>
      </c>
      <c r="C855" s="56"/>
      <c r="D855" s="262" t="s">
        <v>1722</v>
      </c>
    </row>
    <row r="856" spans="1:4" ht="13.2">
      <c r="A856" s="51" t="s">
        <v>1187</v>
      </c>
      <c r="B856" s="263" t="str">
        <f>HYPERLINK("http://www.spoj.com/problems/GSS4","SPOJ GSS4")</f>
        <v>SPOJ GSS4</v>
      </c>
      <c r="C856" s="264"/>
      <c r="D856" s="262" t="s">
        <v>1723</v>
      </c>
    </row>
    <row r="857" spans="1:4" ht="13.2">
      <c r="A857" s="51" t="s">
        <v>989</v>
      </c>
      <c r="B857" s="263" t="str">
        <f>HYPERLINK("https://uva.onlinejudge.org/index.php?option=com_onlinejudge&amp;Itemid=8&amp;page=show_problem&amp;problem=3673","UVA 1232")</f>
        <v>UVA 1232</v>
      </c>
      <c r="C857" s="264"/>
      <c r="D857" s="262" t="s">
        <v>1724</v>
      </c>
    </row>
    <row r="858" spans="1:4" ht="13.2">
      <c r="A858" s="51" t="s">
        <v>990</v>
      </c>
      <c r="B858" s="263" t="str">
        <f>HYPERLINK("http://www.spoj.com/problems/ORDERS/","SPOJ ORDERS")</f>
        <v>SPOJ ORDERS</v>
      </c>
      <c r="C858" s="264"/>
      <c r="D858" s="262" t="s">
        <v>1725</v>
      </c>
    </row>
    <row r="859" spans="1:4" ht="13.2">
      <c r="A859" s="51"/>
      <c r="B859" s="51" t="s">
        <v>1169</v>
      </c>
      <c r="C859" s="56"/>
      <c r="D859" s="262" t="s">
        <v>1726</v>
      </c>
    </row>
    <row r="860" spans="1:4" ht="13.2">
      <c r="A860" s="51"/>
      <c r="B860" s="51" t="s">
        <v>996</v>
      </c>
      <c r="C860" s="56"/>
      <c r="D860" s="262" t="s">
        <v>1727</v>
      </c>
    </row>
    <row r="861" spans="1:4" ht="13.2">
      <c r="A861" s="51" t="s">
        <v>398</v>
      </c>
      <c r="B861" s="51" t="s">
        <v>399</v>
      </c>
      <c r="C861" s="56"/>
      <c r="D861" s="262" t="s">
        <v>1728</v>
      </c>
    </row>
    <row r="862" spans="1:4" ht="13.2">
      <c r="A862" s="51" t="s">
        <v>382</v>
      </c>
      <c r="B862" s="263" t="str">
        <f>HYPERLINK("http://acm.timus.ru/problem.aspx?space=1&amp;num=1607","TIMUS 1607")</f>
        <v>TIMUS 1607</v>
      </c>
      <c r="C862" s="35"/>
      <c r="D862" s="262" t="s">
        <v>1729</v>
      </c>
    </row>
    <row r="863" spans="1:4" ht="13.2">
      <c r="A863" s="51" t="s">
        <v>603</v>
      </c>
      <c r="B863" s="263" t="str">
        <f>HYPERLINK("https://uva.onlinejudge.org/index.php?option=com_onlinejudge&amp;Itemid=8&amp;page=show_problem&amp;problem=37","UVA 101")</f>
        <v>UVA 101</v>
      </c>
      <c r="C863" s="56"/>
      <c r="D863" s="262" t="s">
        <v>1730</v>
      </c>
    </row>
    <row r="864" spans="1:4" ht="13.2">
      <c r="A864" s="51" t="s">
        <v>961</v>
      </c>
      <c r="B864" s="263" t="str">
        <f>HYPERLINK("http://poj.org/problem?id=3461","PKU 3461")</f>
        <v>PKU 3461</v>
      </c>
      <c r="C864" s="56"/>
      <c r="D864" s="262" t="s">
        <v>1731</v>
      </c>
    </row>
    <row r="865" spans="1:4" ht="13.2">
      <c r="A865" s="51" t="s">
        <v>962</v>
      </c>
      <c r="B865" s="263" t="str">
        <f>HYPERLINK("http://www.spoj.com/problems/NHAY","SPOJ NHAY")</f>
        <v>SPOJ NHAY</v>
      </c>
      <c r="C865" s="56"/>
      <c r="D865" s="262" t="s">
        <v>1732</v>
      </c>
    </row>
    <row r="866" spans="1:4" ht="13.2">
      <c r="A866" s="51" t="s">
        <v>963</v>
      </c>
      <c r="B866" s="263" t="str">
        <f>HYPERLINK("http://www.spoj.com/problems/TESSER/","SPOJ TESSER")</f>
        <v>SPOJ TESSER</v>
      </c>
      <c r="C866" s="56"/>
      <c r="D866" s="262" t="s">
        <v>1733</v>
      </c>
    </row>
    <row r="867" spans="1:4" ht="13.2">
      <c r="A867" s="51" t="s">
        <v>964</v>
      </c>
      <c r="B867" s="263" t="str">
        <f>HYPERLINK("http://www.spoj.com/problems/PERIOD/","SPOJ PERIOD")</f>
        <v>SPOJ PERIOD</v>
      </c>
      <c r="C867" s="264"/>
      <c r="D867" s="262" t="s">
        <v>1734</v>
      </c>
    </row>
    <row r="868" spans="1:4" ht="13.2">
      <c r="A868" s="51" t="s">
        <v>965</v>
      </c>
      <c r="B868" s="263" t="str">
        <f>HYPERLINK("http://codeforces.com/contest/432/problem/D","CF432-D2-D")</f>
        <v>CF432-D2-D</v>
      </c>
      <c r="C868" s="56"/>
      <c r="D868" s="262" t="s">
        <v>1735</v>
      </c>
    </row>
    <row r="869" spans="1:4" ht="13.2">
      <c r="A869" s="51" t="s">
        <v>966</v>
      </c>
      <c r="B869" s="263" t="str">
        <f>HYPERLINK("http://codeforces.com/contest/535/problem/D","CF535-D2-D")</f>
        <v>CF535-D2-D</v>
      </c>
      <c r="C869" s="56"/>
      <c r="D869" s="262" t="s">
        <v>1736</v>
      </c>
    </row>
    <row r="870" spans="1:4" ht="13.2">
      <c r="A870" s="51"/>
      <c r="B870" s="263" t="str">
        <f>HYPERLINK("https://codeforces.com/contest/1147/problem/B", "CF1147-D1-B")</f>
        <v>CF1147-D1-B</v>
      </c>
      <c r="C870" s="56"/>
      <c r="D870" s="262" t="s">
        <v>1733</v>
      </c>
    </row>
    <row r="871" spans="1:4" ht="13.2">
      <c r="A871" s="51" t="s">
        <v>1191</v>
      </c>
      <c r="B871" s="263" t="str">
        <f>HYPERLINK("http://codeforces.com/contest/631/problem/D","CF631-D2-D")</f>
        <v>CF631-D2-D</v>
      </c>
      <c r="C871" s="56"/>
      <c r="D871" s="262" t="s">
        <v>1733</v>
      </c>
    </row>
    <row r="872" spans="1:4" ht="13.2">
      <c r="A872" s="51"/>
      <c r="B872" s="263" t="str">
        <f>HYPERLINK("https://codeforces.com/contest/1138/problem/D","CF1138-D2-D")</f>
        <v>CF1138-D2-D</v>
      </c>
      <c r="C872" s="56"/>
      <c r="D872" s="262" t="s">
        <v>1733</v>
      </c>
    </row>
    <row r="873" spans="1:4" ht="13.2">
      <c r="A873" s="51"/>
      <c r="B873" s="263" t="str">
        <f>HYPERLINK("https://www.facebook.com/hackercup/problem/1153996538071503/", "FbHkrCup 18-RQ-C")</f>
        <v>FbHkrCup 18-RQ-C</v>
      </c>
      <c r="C873" s="56"/>
      <c r="D873" s="262" t="s">
        <v>1733</v>
      </c>
    </row>
    <row r="874" spans="1:4" ht="13.2">
      <c r="A874" s="51"/>
      <c r="B874" s="51" t="s">
        <v>1113</v>
      </c>
      <c r="C874" s="56"/>
      <c r="D874" s="262" t="s">
        <v>1733</v>
      </c>
    </row>
    <row r="875" spans="1:4" ht="13.2">
      <c r="A875" s="51" t="s">
        <v>948</v>
      </c>
      <c r="B875" s="263" t="str">
        <f>HYPERLINK("http://www.spoj.com/problems/PHONELST/","SPOJ PHONELST")</f>
        <v>SPOJ PHONELST</v>
      </c>
      <c r="C875" s="56"/>
      <c r="D875" s="262" t="s">
        <v>1737</v>
      </c>
    </row>
    <row r="876" spans="1:4" ht="13.2">
      <c r="A876" s="51" t="s">
        <v>949</v>
      </c>
      <c r="B876" s="263" t="str">
        <f>HYPERLINK("https://uva.onlinejudge.org/index.php?option=com_onlinejudge&amp;Itemid=8&amp;page=show_problem&amp;problem=3971","UVA 12526")</f>
        <v>UVA 12526</v>
      </c>
      <c r="C876" s="56"/>
      <c r="D876" s="262" t="s">
        <v>1737</v>
      </c>
    </row>
    <row r="877" spans="1:4" ht="13.2">
      <c r="A877" s="51" t="s">
        <v>947</v>
      </c>
      <c r="B877" s="263" t="str">
        <f>HYPERLINK("https://uva.onlinejudge.org/index.php?option=com_onlinejudge&amp;Itemid=8&amp;page=show_problem&amp;problem=4331","UVA 1556")</f>
        <v>UVA 1556</v>
      </c>
      <c r="C877" s="56"/>
      <c r="D877" s="262" t="s">
        <v>1738</v>
      </c>
    </row>
    <row r="878" spans="1:4" ht="13.2">
      <c r="A878" s="51" t="s">
        <v>946</v>
      </c>
      <c r="B878" s="263" t="str">
        <f>HYPERLINK("http://www.spoj.com/problems/DICT/","SPOJ DICT")</f>
        <v>SPOJ DICT</v>
      </c>
      <c r="C878" s="56"/>
      <c r="D878" s="262" t="s">
        <v>1737</v>
      </c>
    </row>
    <row r="879" spans="1:4" ht="13.2">
      <c r="A879" s="51" t="s">
        <v>950</v>
      </c>
      <c r="B879" s="263" t="str">
        <f>HYPERLINK("http://codeforces.com/contest/706/problem/D","CF706-D2-D")</f>
        <v>CF706-D2-D</v>
      </c>
      <c r="C879" s="56"/>
      <c r="D879" s="262" t="s">
        <v>1737</v>
      </c>
    </row>
    <row r="880" spans="1:4" ht="13.2">
      <c r="A880" s="51"/>
      <c r="B880" s="51" t="s">
        <v>973</v>
      </c>
      <c r="C880" s="56"/>
      <c r="D880" s="262" t="s">
        <v>1737</v>
      </c>
    </row>
    <row r="881" spans="1:4" ht="13.2">
      <c r="A881" s="51"/>
      <c r="B881" s="263" t="str">
        <f>HYPERLINK("http://codeforces.com/contest/842/problem/D","CF842-D2-D")</f>
        <v>CF842-D2-D</v>
      </c>
      <c r="C881" s="56"/>
      <c r="D881" s="262" t="s">
        <v>1739</v>
      </c>
    </row>
    <row r="882" spans="1:4" ht="13.2">
      <c r="A882" s="51"/>
      <c r="B882" s="263" t="str">
        <f>HYPERLINK("https://codeforces.com/contest/665/problem/E","CF665-D12-E")</f>
        <v>CF665-D12-E</v>
      </c>
      <c r="C882" s="56"/>
      <c r="D882" s="262" t="s">
        <v>1737</v>
      </c>
    </row>
    <row r="883" spans="1:4" ht="13.2">
      <c r="A883" s="51"/>
      <c r="B883" s="51" t="s">
        <v>1740</v>
      </c>
      <c r="C883" s="56"/>
      <c r="D883" s="262" t="s">
        <v>1737</v>
      </c>
    </row>
    <row r="884" spans="1:4" ht="13.2">
      <c r="A884" s="51"/>
      <c r="B884" s="263" t="str">
        <f>HYPERLINK("http://codeforces.com/contest/455/problem/B","CF455-D1-B")</f>
        <v>CF455-D1-B</v>
      </c>
      <c r="C884" s="56"/>
      <c r="D884" s="262" t="s">
        <v>1737</v>
      </c>
    </row>
    <row r="885" spans="1:4" ht="13.2">
      <c r="A885" s="51" t="s">
        <v>893</v>
      </c>
      <c r="B885" s="263" t="str">
        <f>HYPERLINK("http://codeforces.com/contest/216/problem/D","CF216-D2-D")</f>
        <v>CF216-D2-D</v>
      </c>
      <c r="C885" s="56"/>
      <c r="D885" s="262" t="s">
        <v>1741</v>
      </c>
    </row>
    <row r="886" spans="1:4" ht="13.2">
      <c r="A886" s="51" t="s">
        <v>593</v>
      </c>
      <c r="B886" s="263" t="str">
        <f>HYPERLINK("http://codeforces.com/contest/252/problem/C","CF252-D2-C")</f>
        <v>CF252-D2-C</v>
      </c>
      <c r="C886" s="56"/>
      <c r="D886" s="262" t="s">
        <v>1742</v>
      </c>
    </row>
    <row r="887" spans="1:4" ht="13.2">
      <c r="A887" s="51" t="s">
        <v>750</v>
      </c>
      <c r="B887" s="263" t="str">
        <f>HYPERLINK("http://codeforces.com/contest/155/problem/C","CF155-D2-C")</f>
        <v>CF155-D2-C</v>
      </c>
      <c r="C887" s="56"/>
      <c r="D887" s="262" t="s">
        <v>1743</v>
      </c>
    </row>
    <row r="888" spans="1:4" ht="13.2">
      <c r="A888" s="51"/>
      <c r="B888" s="263" t="str">
        <f>HYPERLINK("http://codeforces.com/contest/1043/problem/D","CF1043-D12-D")</f>
        <v>CF1043-D12-D</v>
      </c>
      <c r="C888" s="56"/>
      <c r="D888" s="262" t="s">
        <v>1744</v>
      </c>
    </row>
    <row r="889" spans="1:4" ht="13.2">
      <c r="A889" s="51"/>
      <c r="B889" s="263" t="str">
        <f>HYPERLINK("https://www.codechef.com/ACMIND18/problems/REDCGAME","CODECHEF REDCGAME")</f>
        <v>CODECHEF REDCGAME</v>
      </c>
      <c r="C889" s="56"/>
      <c r="D889" s="262" t="s">
        <v>1745</v>
      </c>
    </row>
    <row r="890" spans="1:4" ht="13.2">
      <c r="A890" s="51" t="s">
        <v>1032</v>
      </c>
      <c r="B890" s="263" t="str">
        <f>HYPERLINK("http://codeforces.com/contest/368/problem/D","CF368-D2-D")</f>
        <v>CF368-D2-D</v>
      </c>
      <c r="C890" s="264"/>
      <c r="D890" s="262" t="s">
        <v>1746</v>
      </c>
    </row>
    <row r="891" spans="1:4" ht="13.2">
      <c r="A891" s="51" t="s">
        <v>895</v>
      </c>
      <c r="B891" s="263" t="str">
        <f>HYPERLINK("http://codeforces.com/contest/676/problem/C","CF676-D2-C")</f>
        <v>CF676-D2-C</v>
      </c>
      <c r="C891" s="56"/>
      <c r="D891" s="262" t="s">
        <v>1745</v>
      </c>
    </row>
    <row r="892" spans="1:4" ht="13.2">
      <c r="A892" s="51" t="s">
        <v>773</v>
      </c>
      <c r="B892" s="263" t="str">
        <f>HYPERLINK("http://codeforces.com/contest/231/problem/C","CF231-D2-C")</f>
        <v>CF231-D2-C</v>
      </c>
      <c r="C892" s="56"/>
      <c r="D892" s="262" t="s">
        <v>1747</v>
      </c>
    </row>
    <row r="893" spans="1:4" ht="13.2">
      <c r="A893" s="51" t="s">
        <v>994</v>
      </c>
      <c r="B893" s="263" t="str">
        <f>HYPERLINK("http://codeforces.com/contest/224/problem/D","CF224-D2-D")</f>
        <v>CF224-D2-D</v>
      </c>
      <c r="C893" s="56"/>
      <c r="D893" s="262" t="s">
        <v>1745</v>
      </c>
    </row>
    <row r="894" spans="1:4" ht="13.2">
      <c r="A894" s="51" t="s">
        <v>894</v>
      </c>
      <c r="B894" s="263" t="str">
        <f>HYPERLINK("http://codeforces.com/contest/334/problem/D","CF334-D2-D")</f>
        <v>CF334-D2-D</v>
      </c>
      <c r="C894" s="56"/>
      <c r="D894" s="262" t="s">
        <v>1741</v>
      </c>
    </row>
    <row r="895" spans="1:4" ht="13.2">
      <c r="A895" s="51"/>
      <c r="B895" s="263" t="str">
        <f>HYPERLINK("http://codeforces.com/contest/309/problem/B","CF309-D12-B")</f>
        <v>CF309-D12-B</v>
      </c>
      <c r="C895" s="264"/>
      <c r="D895" s="262" t="s">
        <v>1748</v>
      </c>
    </row>
    <row r="896" spans="1:4" ht="13.2">
      <c r="A896" s="51" t="s">
        <v>1142</v>
      </c>
      <c r="B896" s="263" t="str">
        <f>HYPERLINK("http://codeforces.com/contest/281/problem/D","CF281-D2-D")</f>
        <v>CF281-D2-D</v>
      </c>
      <c r="C896" s="264"/>
      <c r="D896" s="262" t="s">
        <v>1749</v>
      </c>
    </row>
    <row r="897" spans="1:4" ht="13.2">
      <c r="A897" s="61"/>
      <c r="B897" s="61"/>
      <c r="C897" s="269"/>
      <c r="D897" s="270"/>
    </row>
    <row r="898" spans="1:4" ht="13.2">
      <c r="A898" s="10"/>
      <c r="B898" s="10"/>
    </row>
    <row r="899" spans="1:4" ht="13.2">
      <c r="A899" s="310" t="s">
        <v>1750</v>
      </c>
      <c r="B899" s="286"/>
      <c r="C899" s="28"/>
    </row>
    <row r="900" spans="1:4" ht="13.2">
      <c r="A900" s="286"/>
      <c r="B900" s="286"/>
      <c r="C900" s="28"/>
    </row>
    <row r="901" spans="1:4" ht="13.2">
      <c r="A901" s="286"/>
      <c r="B901" s="286"/>
      <c r="C901" s="28"/>
    </row>
    <row r="902" spans="1:4" ht="13.2">
      <c r="A902" s="286"/>
      <c r="B902" s="286"/>
      <c r="C902" s="28"/>
    </row>
    <row r="903" spans="1:4" ht="13.2">
      <c r="A903" s="286"/>
      <c r="B903" s="286"/>
      <c r="C903" s="28"/>
    </row>
    <row r="904" spans="1:4" ht="13.2">
      <c r="A904" s="286"/>
      <c r="B904" s="286"/>
      <c r="C904" s="28"/>
    </row>
    <row r="905" spans="1:4" ht="13.2">
      <c r="A905" s="286"/>
      <c r="B905" s="286"/>
      <c r="C905" s="28"/>
    </row>
    <row r="906" spans="1:4" ht="13.2">
      <c r="A906" s="286"/>
      <c r="B906" s="286"/>
      <c r="C906" s="28"/>
    </row>
    <row r="907" spans="1:4" ht="13.2">
      <c r="A907" s="286"/>
      <c r="B907" s="286"/>
      <c r="C907" s="28"/>
    </row>
    <row r="908" spans="1:4" ht="13.2">
      <c r="A908" s="286"/>
      <c r="B908" s="286"/>
      <c r="C908" s="28"/>
    </row>
    <row r="909" spans="1:4" ht="13.2">
      <c r="A909" s="286"/>
      <c r="B909" s="286"/>
      <c r="C909" s="28"/>
    </row>
    <row r="910" spans="1:4" ht="13.2">
      <c r="A910" s="286"/>
      <c r="B910" s="286"/>
      <c r="C910" s="28"/>
    </row>
    <row r="911" spans="1:4" ht="13.2">
      <c r="A911" s="286"/>
      <c r="B911" s="286"/>
      <c r="C911" s="28"/>
    </row>
    <row r="912" spans="1:4" ht="13.2">
      <c r="A912" s="286"/>
      <c r="B912" s="286"/>
      <c r="C912" s="28"/>
    </row>
    <row r="913" spans="1:4" ht="13.2">
      <c r="A913" s="286"/>
      <c r="B913" s="286"/>
      <c r="C913" s="28"/>
    </row>
    <row r="914" spans="1:4" ht="13.2">
      <c r="A914" s="286"/>
      <c r="B914" s="286"/>
      <c r="C914" s="28"/>
    </row>
    <row r="915" spans="1:4" ht="13.2">
      <c r="A915" s="286"/>
      <c r="B915" s="286"/>
      <c r="C915" s="28"/>
    </row>
    <row r="916" spans="1:4" ht="13.2">
      <c r="A916" s="51"/>
      <c r="B916" s="51"/>
      <c r="C916" s="28"/>
      <c r="D916" s="271"/>
    </row>
    <row r="917" spans="1:4" ht="13.2">
      <c r="A917" s="51"/>
      <c r="B917" s="51"/>
      <c r="C917" s="28"/>
    </row>
    <row r="918" spans="1:4" ht="13.2">
      <c r="A918" s="10"/>
      <c r="B918" s="10"/>
      <c r="C918" s="28"/>
    </row>
    <row r="919" spans="1:4" ht="13.2">
      <c r="A919" s="51"/>
      <c r="B919" s="51"/>
      <c r="C919" s="28"/>
    </row>
    <row r="920" spans="1:4" ht="13.2">
      <c r="A920" s="51"/>
      <c r="B920" s="51"/>
      <c r="C920" s="28"/>
      <c r="D920" s="106"/>
    </row>
    <row r="921" spans="1:4" ht="13.2">
      <c r="A921" s="51"/>
      <c r="B921" s="51"/>
      <c r="C921" s="28"/>
    </row>
    <row r="922" spans="1:4" ht="13.2">
      <c r="A922" s="51"/>
      <c r="B922" s="51"/>
      <c r="C922" s="28"/>
    </row>
    <row r="923" spans="1:4" ht="13.2">
      <c r="A923" s="51"/>
      <c r="B923" s="51"/>
      <c r="C923" s="28"/>
    </row>
    <row r="924" spans="1:4" ht="13.2">
      <c r="A924" s="51"/>
      <c r="B924" s="51"/>
      <c r="C924" s="28"/>
    </row>
    <row r="925" spans="1:4" ht="13.2">
      <c r="A925" s="51"/>
      <c r="B925" s="51"/>
      <c r="C925" s="28"/>
    </row>
    <row r="926" spans="1:4" ht="13.2">
      <c r="A926" s="51"/>
      <c r="B926" s="51"/>
      <c r="C926" s="28"/>
    </row>
    <row r="927" spans="1:4" ht="13.2">
      <c r="A927" s="51"/>
      <c r="B927" s="51"/>
      <c r="C927" s="28"/>
    </row>
    <row r="928" spans="1:4" ht="13.2">
      <c r="A928" s="51"/>
      <c r="B928" s="51"/>
      <c r="C928" s="28"/>
    </row>
    <row r="929" spans="1:4" ht="13.2">
      <c r="A929" s="51"/>
      <c r="B929" s="51"/>
      <c r="C929" s="28"/>
    </row>
    <row r="930" spans="1:4" ht="13.2">
      <c r="A930" s="51"/>
      <c r="B930" s="51"/>
      <c r="C930" s="28"/>
    </row>
    <row r="931" spans="1:4" ht="13.2">
      <c r="A931" s="51"/>
      <c r="B931" s="51"/>
      <c r="C931" s="28"/>
    </row>
    <row r="932" spans="1:4" ht="13.2">
      <c r="A932" s="51"/>
      <c r="B932" s="51"/>
      <c r="C932" s="28"/>
    </row>
    <row r="933" spans="1:4" ht="13.2">
      <c r="A933" s="51"/>
      <c r="B933" s="51"/>
      <c r="C933" s="28"/>
    </row>
    <row r="934" spans="1:4" ht="13.2">
      <c r="A934" s="51"/>
      <c r="B934" s="51"/>
      <c r="C934" s="28"/>
    </row>
    <row r="935" spans="1:4" ht="13.2">
      <c r="A935" s="51"/>
      <c r="B935" s="51"/>
      <c r="C935" s="28"/>
    </row>
    <row r="936" spans="1:4" ht="13.2">
      <c r="A936" s="51"/>
      <c r="B936" s="51"/>
      <c r="C936" s="28"/>
    </row>
    <row r="937" spans="1:4" ht="13.2">
      <c r="A937" s="51"/>
      <c r="B937" s="51"/>
      <c r="C937" s="28"/>
    </row>
    <row r="938" spans="1:4" ht="13.2">
      <c r="A938" s="51"/>
      <c r="B938" s="51"/>
      <c r="C938" s="28"/>
      <c r="D938" s="271"/>
    </row>
    <row r="939" spans="1:4" ht="13.2">
      <c r="A939" s="51"/>
      <c r="B939" s="51"/>
      <c r="C939" s="28"/>
    </row>
    <row r="940" spans="1:4" ht="13.2">
      <c r="A940" s="51"/>
      <c r="B940" s="51"/>
      <c r="C940" s="28"/>
    </row>
    <row r="941" spans="1:4" ht="13.2">
      <c r="A941" s="51"/>
      <c r="B941" s="51"/>
      <c r="C941" s="28"/>
    </row>
    <row r="942" spans="1:4" ht="13.2">
      <c r="A942" s="51"/>
      <c r="B942" s="51"/>
      <c r="C942" s="28"/>
    </row>
    <row r="943" spans="1:4" ht="13.2">
      <c r="A943" s="51"/>
      <c r="B943" s="51"/>
      <c r="C943" s="28"/>
    </row>
    <row r="944" spans="1:4" ht="13.2">
      <c r="A944" s="51"/>
      <c r="B944" s="51"/>
      <c r="C944" s="28"/>
    </row>
    <row r="945" spans="1:3" ht="13.2">
      <c r="A945" s="51"/>
      <c r="B945" s="51"/>
      <c r="C945" s="28"/>
    </row>
    <row r="946" spans="1:3" ht="13.2">
      <c r="A946" s="51"/>
      <c r="B946" s="51"/>
      <c r="C946" s="28"/>
    </row>
    <row r="947" spans="1:3" ht="13.2">
      <c r="A947" s="51"/>
      <c r="B947" s="51"/>
      <c r="C947" s="28"/>
    </row>
    <row r="948" spans="1:3" ht="13.2">
      <c r="A948" s="51"/>
      <c r="B948" s="51"/>
      <c r="C948" s="28"/>
    </row>
    <row r="949" spans="1:3" ht="13.2">
      <c r="A949" s="51"/>
      <c r="B949" s="51"/>
      <c r="C949" s="28"/>
    </row>
    <row r="950" spans="1:3" ht="13.2">
      <c r="A950" s="51"/>
      <c r="B950" s="51"/>
      <c r="C950" s="28"/>
    </row>
    <row r="951" spans="1:3" ht="13.2">
      <c r="A951" s="51"/>
      <c r="B951" s="51"/>
      <c r="C951" s="28"/>
    </row>
    <row r="952" spans="1:3" ht="13.2">
      <c r="A952" s="51"/>
      <c r="B952" s="51"/>
      <c r="C952" s="28"/>
    </row>
    <row r="953" spans="1:3" ht="13.2">
      <c r="A953" s="51"/>
      <c r="B953" s="51"/>
      <c r="C953" s="28"/>
    </row>
    <row r="954" spans="1:3" ht="13.2">
      <c r="A954" s="51"/>
      <c r="B954" s="51"/>
      <c r="C954" s="28"/>
    </row>
    <row r="955" spans="1:3" ht="13.2">
      <c r="A955" s="51"/>
      <c r="B955" s="51"/>
      <c r="C955" s="28"/>
    </row>
    <row r="956" spans="1:3" ht="13.2">
      <c r="A956" s="51"/>
      <c r="B956" s="51"/>
      <c r="C956" s="28"/>
    </row>
    <row r="957" spans="1:3" ht="13.2">
      <c r="A957" s="51"/>
      <c r="B957" s="51"/>
      <c r="C957" s="28"/>
    </row>
    <row r="958" spans="1:3" ht="13.2">
      <c r="A958" s="51"/>
      <c r="B958" s="51"/>
      <c r="C958" s="28"/>
    </row>
    <row r="959" spans="1:3" ht="13.2">
      <c r="A959" s="51"/>
      <c r="B959" s="51"/>
      <c r="C959" s="28"/>
    </row>
    <row r="960" spans="1:3" ht="13.2">
      <c r="A960" s="51"/>
      <c r="B960" s="51"/>
      <c r="C960" s="28"/>
    </row>
    <row r="961" spans="1:4" ht="13.2">
      <c r="A961" s="51"/>
      <c r="B961" s="51"/>
      <c r="C961" s="28"/>
    </row>
    <row r="962" spans="1:4" ht="13.2">
      <c r="A962" s="51"/>
      <c r="B962" s="51"/>
      <c r="C962" s="28"/>
      <c r="D962" s="268"/>
    </row>
    <row r="963" spans="1:4" ht="13.2">
      <c r="A963" s="51"/>
      <c r="B963" s="51"/>
      <c r="C963" s="28"/>
    </row>
    <row r="964" spans="1:4" ht="13.2">
      <c r="A964" s="51"/>
      <c r="B964" s="51"/>
      <c r="C964" s="28"/>
      <c r="D964" s="271"/>
    </row>
    <row r="965" spans="1:4" ht="13.2">
      <c r="A965" s="51"/>
      <c r="B965" s="51"/>
      <c r="C965" s="28"/>
    </row>
    <row r="966" spans="1:4" ht="13.2">
      <c r="A966" s="51"/>
      <c r="B966" s="51"/>
      <c r="C966" s="28"/>
    </row>
    <row r="967" spans="1:4" ht="13.2">
      <c r="A967" s="51"/>
      <c r="B967" s="51"/>
      <c r="C967" s="28"/>
    </row>
    <row r="968" spans="1:4" ht="13.2">
      <c r="A968" s="51"/>
      <c r="B968" s="51"/>
      <c r="C968" s="28"/>
    </row>
    <row r="969" spans="1:4" ht="13.2">
      <c r="A969" s="51"/>
      <c r="B969" s="51"/>
      <c r="C969" s="28"/>
    </row>
    <row r="970" spans="1:4" ht="13.2">
      <c r="A970" s="51"/>
      <c r="B970" s="51"/>
      <c r="C970" s="28"/>
    </row>
    <row r="971" spans="1:4" ht="13.2">
      <c r="A971" s="51"/>
      <c r="B971" s="51"/>
      <c r="C971" s="28"/>
    </row>
    <row r="972" spans="1:4" ht="13.2">
      <c r="A972" s="10"/>
      <c r="B972" s="10"/>
      <c r="C972" s="28"/>
    </row>
    <row r="973" spans="1:4" ht="13.2">
      <c r="A973" s="51"/>
      <c r="B973" s="51"/>
      <c r="C973" s="28"/>
    </row>
    <row r="974" spans="1:4" ht="13.2">
      <c r="A974" s="51"/>
      <c r="B974" s="51"/>
      <c r="C974" s="28"/>
    </row>
    <row r="975" spans="1:4" ht="13.2">
      <c r="A975" s="51"/>
      <c r="B975" s="51"/>
      <c r="C975" s="28"/>
    </row>
    <row r="976" spans="1:4" ht="13.2">
      <c r="A976" s="51"/>
      <c r="B976" s="51"/>
      <c r="C976" s="28"/>
    </row>
  </sheetData>
  <mergeCells count="1">
    <mergeCell ref="A899:B915"/>
  </mergeCells>
  <hyperlinks>
    <hyperlink ref="B600" r:id="rId1" xr:uid="{00000000-0004-0000-0900-000007000000}"/>
  </hyperlinks>
  <pageMargins left="0.7" right="0.7" top="0.75" bottom="0.75" header="0.3" footer="0.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topLeftCell="A51" workbookViewId="0"/>
  </sheetViews>
  <sheetFormatPr defaultColWidth="15.109375" defaultRowHeight="15.75" customHeight="1"/>
  <cols>
    <col min="1" max="1" width="17.109375" customWidth="1"/>
    <col min="2" max="2" width="101.21875" customWidth="1"/>
  </cols>
  <sheetData>
    <row r="1" spans="1:2" ht="15.75" customHeight="1">
      <c r="B1" s="272" t="s">
        <v>1751</v>
      </c>
    </row>
    <row r="2" spans="1:2" ht="15.75" customHeight="1">
      <c r="B2" s="273" t="str">
        <f>HYPERLINK("https://www.youtube.com/watch?v=tKGztXjnnuA","Training Secrets of Success Video")</f>
        <v>Training Secrets of Success Video</v>
      </c>
    </row>
    <row r="5" spans="1:2" ht="15.75" customHeight="1">
      <c r="A5" s="29" t="s">
        <v>1752</v>
      </c>
    </row>
    <row r="6" spans="1:2" ht="15.75" customHeight="1">
      <c r="B6" s="12" t="s">
        <v>1753</v>
      </c>
    </row>
    <row r="7" spans="1:2" ht="15.75" customHeight="1">
      <c r="B7" s="12" t="s">
        <v>1754</v>
      </c>
    </row>
    <row r="9" spans="1:2" ht="15.75" customHeight="1">
      <c r="A9" s="29" t="s">
        <v>1755</v>
      </c>
    </row>
    <row r="10" spans="1:2" ht="15.75" customHeight="1">
      <c r="B10" s="12" t="s">
        <v>1756</v>
      </c>
    </row>
    <row r="11" spans="1:2" ht="15.75" customHeight="1">
      <c r="B11" s="274"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2" t="s">
        <v>1757</v>
      </c>
    </row>
    <row r="14" spans="1:2" ht="15.75" customHeight="1">
      <c r="A14" s="29" t="s">
        <v>1758</v>
      </c>
    </row>
    <row r="15" spans="1:2" ht="15.75" customHeight="1">
      <c r="B15" s="12" t="s">
        <v>1759</v>
      </c>
    </row>
    <row r="16" spans="1:2" ht="15.75" customHeight="1">
      <c r="B16" s="12" t="s">
        <v>1760</v>
      </c>
    </row>
    <row r="17" spans="1:2" ht="15.75" customHeight="1">
      <c r="B17" s="12" t="s">
        <v>1761</v>
      </c>
    </row>
    <row r="18" spans="1:2" ht="15.75" customHeight="1">
      <c r="B18" s="12" t="s">
        <v>1762</v>
      </c>
    </row>
    <row r="20" spans="1:2" ht="15.75" customHeight="1">
      <c r="A20" s="29" t="s">
        <v>1763</v>
      </c>
    </row>
    <row r="21" spans="1:2" ht="15.75" customHeight="1">
      <c r="B21" s="12" t="s">
        <v>1764</v>
      </c>
    </row>
    <row r="22" spans="1:2" ht="15.75" customHeight="1">
      <c r="B22" s="12" t="s">
        <v>1765</v>
      </c>
    </row>
    <row r="23" spans="1:2" ht="15.75" customHeight="1">
      <c r="B23" s="12" t="s">
        <v>1766</v>
      </c>
    </row>
    <row r="25" spans="1:2" ht="15.75" customHeight="1">
      <c r="A25" s="29" t="s">
        <v>1767</v>
      </c>
    </row>
    <row r="26" spans="1:2" ht="15.75" customHeight="1">
      <c r="B26" s="12" t="s">
        <v>1768</v>
      </c>
    </row>
    <row r="27" spans="1:2" ht="13.2">
      <c r="B27" s="12" t="s">
        <v>1769</v>
      </c>
    </row>
    <row r="29" spans="1:2" ht="13.2">
      <c r="A29" s="29" t="s">
        <v>1770</v>
      </c>
    </row>
    <row r="30" spans="1:2" ht="13.2">
      <c r="B30" s="12" t="s">
        <v>1771</v>
      </c>
    </row>
    <row r="31" spans="1:2" ht="13.2">
      <c r="B31" s="12" t="s">
        <v>1772</v>
      </c>
    </row>
    <row r="33" spans="1:2" ht="13.2">
      <c r="A33" s="29" t="s">
        <v>1773</v>
      </c>
    </row>
    <row r="34" spans="1:2" ht="13.2">
      <c r="B34" s="12" t="s">
        <v>1774</v>
      </c>
    </row>
    <row r="35" spans="1:2" ht="13.2">
      <c r="B35" s="12" t="s">
        <v>1775</v>
      </c>
    </row>
    <row r="36" spans="1:2" ht="13.2">
      <c r="B36" s="12" t="s">
        <v>1776</v>
      </c>
    </row>
    <row r="37" spans="1:2" ht="13.2">
      <c r="B37" s="12" t="s">
        <v>1777</v>
      </c>
    </row>
    <row r="39" spans="1:2" ht="13.2">
      <c r="A39" s="29" t="s">
        <v>1778</v>
      </c>
    </row>
    <row r="40" spans="1:2" ht="13.2">
      <c r="B40" s="12" t="s">
        <v>1779</v>
      </c>
    </row>
    <row r="41" spans="1:2" ht="13.2">
      <c r="B41" s="12" t="s">
        <v>1780</v>
      </c>
    </row>
    <row r="43" spans="1:2" ht="13.2">
      <c r="A43" s="29" t="s">
        <v>1781</v>
      </c>
    </row>
    <row r="44" spans="1:2" ht="13.2">
      <c r="B44" s="12" t="s">
        <v>1782</v>
      </c>
    </row>
    <row r="45" spans="1:2" ht="13.2">
      <c r="B45" s="12" t="s">
        <v>1783</v>
      </c>
    </row>
    <row r="47" spans="1:2" ht="13.2">
      <c r="A47" s="29" t="s">
        <v>1784</v>
      </c>
    </row>
    <row r="48" spans="1:2" ht="13.2">
      <c r="B48" s="12" t="s">
        <v>1785</v>
      </c>
    </row>
    <row r="49" spans="1:2" ht="13.2">
      <c r="B49" s="12" t="s">
        <v>1786</v>
      </c>
    </row>
    <row r="50" spans="1:2" ht="26.4">
      <c r="B50" s="12" t="s">
        <v>1787</v>
      </c>
    </row>
    <row r="52" spans="1:2" ht="13.2">
      <c r="A52" s="29" t="s">
        <v>1788</v>
      </c>
    </row>
    <row r="53" spans="1:2" ht="13.2">
      <c r="B53" s="12" t="s">
        <v>1789</v>
      </c>
    </row>
    <row r="54" spans="1:2" ht="13.2">
      <c r="B54" s="12" t="s">
        <v>1790</v>
      </c>
    </row>
    <row r="55" spans="1:2" ht="13.2">
      <c r="B55" s="12" t="s">
        <v>1791</v>
      </c>
    </row>
    <row r="57" spans="1:2" ht="13.2">
      <c r="A57" s="29" t="s">
        <v>1792</v>
      </c>
    </row>
    <row r="58" spans="1:2" ht="13.2">
      <c r="B58" s="12" t="s">
        <v>1793</v>
      </c>
    </row>
    <row r="60" spans="1:2" ht="26.4">
      <c r="A60" s="29" t="s">
        <v>1794</v>
      </c>
    </row>
    <row r="61" spans="1:2" ht="13.2">
      <c r="B61" s="12" t="s">
        <v>1795</v>
      </c>
    </row>
    <row r="62" spans="1:2" ht="13.2">
      <c r="B62" s="12" t="s">
        <v>1796</v>
      </c>
    </row>
    <row r="63" spans="1:2" ht="13.2">
      <c r="B63" s="12" t="s">
        <v>1797</v>
      </c>
    </row>
    <row r="64" spans="1:2" ht="13.2">
      <c r="B64" s="12" t="s">
        <v>1798</v>
      </c>
    </row>
    <row r="65" spans="2:2" ht="13.2">
      <c r="B65" s="12" t="s">
        <v>1799</v>
      </c>
    </row>
    <row r="66" spans="2:2" ht="13.2">
      <c r="B66" s="12" t="s">
        <v>1800</v>
      </c>
    </row>
    <row r="67" spans="2:2" ht="13.2">
      <c r="B67" s="12" t="s">
        <v>1801</v>
      </c>
    </row>
    <row r="68" spans="2:2" ht="13.2">
      <c r="B68" s="12" t="s">
        <v>1802</v>
      </c>
    </row>
    <row r="69" spans="2:2" ht="13.2">
      <c r="B69" s="12" t="s">
        <v>1803</v>
      </c>
    </row>
    <row r="70" spans="2:2" ht="13.2">
      <c r="B70" s="12" t="s">
        <v>1804</v>
      </c>
    </row>
    <row r="71" spans="2:2" ht="13.2">
      <c r="B71" s="12"/>
    </row>
    <row r="72" spans="2:2" ht="13.2">
      <c r="B72" s="275" t="s">
        <v>1805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topLeftCell="A70" workbookViewId="0">
      <selection activeCell="C6" sqref="C6"/>
    </sheetView>
  </sheetViews>
  <sheetFormatPr defaultColWidth="15.109375" defaultRowHeight="15.75" customHeight="1"/>
  <cols>
    <col min="1" max="1" width="146.44140625" customWidth="1"/>
  </cols>
  <sheetData>
    <row r="1" spans="1:1" ht="15.75" customHeight="1">
      <c r="A1" s="29" t="s">
        <v>89</v>
      </c>
    </row>
    <row r="2" spans="1:1" ht="15.75" customHeight="1">
      <c r="A2" s="12" t="s">
        <v>90</v>
      </c>
    </row>
    <row r="4" spans="1:1" ht="15.75" customHeight="1">
      <c r="A4" s="30" t="s">
        <v>91</v>
      </c>
    </row>
    <row r="5" spans="1:1" ht="15.75" customHeight="1">
      <c r="A5" s="10" t="s">
        <v>92</v>
      </c>
    </row>
    <row r="6" spans="1:1" ht="15.75" customHeight="1">
      <c r="A6" s="30" t="s">
        <v>93</v>
      </c>
    </row>
    <row r="7" spans="1:1" ht="15.75" customHeight="1">
      <c r="A7" s="12" t="s">
        <v>94</v>
      </c>
    </row>
    <row r="9" spans="1:1" ht="15.75" customHeight="1">
      <c r="A9" s="29" t="s">
        <v>95</v>
      </c>
    </row>
    <row r="10" spans="1:1" ht="15.75" customHeight="1">
      <c r="A10" s="31" t="s">
        <v>96</v>
      </c>
    </row>
    <row r="12" spans="1:1" ht="15.75" customHeight="1">
      <c r="A12" s="29" t="s">
        <v>97</v>
      </c>
    </row>
    <row r="13" spans="1:1" ht="15.75" customHeight="1">
      <c r="A13" s="12" t="s">
        <v>98</v>
      </c>
    </row>
    <row r="15" spans="1:1" ht="15.75" customHeight="1">
      <c r="A15" s="29" t="s">
        <v>99</v>
      </c>
    </row>
    <row r="16" spans="1:1" ht="15.75" customHeight="1">
      <c r="A16" s="12" t="s">
        <v>100</v>
      </c>
    </row>
    <row r="18" spans="1:1" ht="15.75" customHeight="1">
      <c r="A18" s="29" t="s">
        <v>101</v>
      </c>
    </row>
    <row r="19" spans="1:1" ht="15.75" customHeight="1">
      <c r="A19" s="12" t="s">
        <v>102</v>
      </c>
    </row>
    <row r="21" spans="1:1" ht="15.75" customHeight="1">
      <c r="A21" s="29" t="s">
        <v>103</v>
      </c>
    </row>
    <row r="22" spans="1:1" ht="15.75" customHeight="1">
      <c r="A22" s="12" t="s">
        <v>104</v>
      </c>
    </row>
    <row r="24" spans="1:1" ht="15.75" customHeight="1">
      <c r="A24" s="29" t="s">
        <v>105</v>
      </c>
    </row>
    <row r="25" spans="1:1" ht="15.75" customHeight="1">
      <c r="A25" s="12" t="s">
        <v>106</v>
      </c>
    </row>
    <row r="27" spans="1:1" ht="13.2">
      <c r="A27" s="30" t="s">
        <v>107</v>
      </c>
    </row>
    <row r="28" spans="1:1" ht="26.4">
      <c r="A28" s="10" t="s">
        <v>108</v>
      </c>
    </row>
    <row r="29" spans="1:1" ht="13.2">
      <c r="A29" s="10"/>
    </row>
    <row r="30" spans="1:1" ht="13.2">
      <c r="A30" s="30" t="s">
        <v>109</v>
      </c>
    </row>
    <row r="31" spans="1:1" ht="52.8">
      <c r="A31" s="12" t="s">
        <v>110</v>
      </c>
    </row>
    <row r="33" spans="1:1" ht="13.2">
      <c r="A33" s="30" t="s">
        <v>111</v>
      </c>
    </row>
    <row r="34" spans="1:1" ht="290.39999999999998">
      <c r="A34" s="12" t="s">
        <v>112</v>
      </c>
    </row>
    <row r="36" spans="1:1" ht="26.4">
      <c r="A36" s="12" t="s">
        <v>113</v>
      </c>
    </row>
    <row r="38" spans="1:1" ht="13.2">
      <c r="A38" s="30" t="s">
        <v>114</v>
      </c>
    </row>
    <row r="39" spans="1:1" ht="105.6">
      <c r="A39" s="12" t="s">
        <v>115</v>
      </c>
    </row>
    <row r="41" spans="1:1" ht="13.2">
      <c r="A41" s="30" t="s">
        <v>116</v>
      </c>
    </row>
    <row r="42" spans="1:1" ht="79.2">
      <c r="A42" s="12" t="s">
        <v>117</v>
      </c>
    </row>
    <row r="45" spans="1:1" ht="13.2">
      <c r="A45" s="30" t="s">
        <v>118</v>
      </c>
    </row>
    <row r="46" spans="1:1" ht="184.8">
      <c r="A46" s="12" t="s">
        <v>119</v>
      </c>
    </row>
    <row r="48" spans="1:1" ht="13.2">
      <c r="A48" s="30" t="s">
        <v>120</v>
      </c>
    </row>
    <row r="49" spans="1:1" ht="118.8">
      <c r="A49" s="12" t="s">
        <v>121</v>
      </c>
    </row>
    <row r="51" spans="1:1" ht="13.2">
      <c r="A51" s="30" t="s">
        <v>122</v>
      </c>
    </row>
    <row r="52" spans="1:1" ht="92.4">
      <c r="A52" s="12" t="s">
        <v>123</v>
      </c>
    </row>
    <row r="54" spans="1:1" ht="13.2">
      <c r="A54" s="30" t="s">
        <v>124</v>
      </c>
    </row>
    <row r="55" spans="1:1" ht="13.2">
      <c r="A55" s="12" t="s">
        <v>125</v>
      </c>
    </row>
    <row r="57" spans="1:1" ht="13.2">
      <c r="A57" s="30" t="s">
        <v>126</v>
      </c>
    </row>
    <row r="58" spans="1:1" ht="52.8">
      <c r="A58" s="12" t="s">
        <v>127</v>
      </c>
    </row>
    <row r="60" spans="1:1" ht="13.2">
      <c r="A60" s="30" t="s">
        <v>128</v>
      </c>
    </row>
    <row r="61" spans="1:1" ht="13.2">
      <c r="A61" s="12" t="s">
        <v>129</v>
      </c>
    </row>
    <row r="63" spans="1:1" ht="13.2">
      <c r="A63" s="30" t="s">
        <v>130</v>
      </c>
    </row>
    <row r="64" spans="1:1" ht="13.2">
      <c r="A64" s="31" t="s">
        <v>131</v>
      </c>
    </row>
    <row r="66" spans="1:1" ht="13.2">
      <c r="A66" s="30" t="s">
        <v>132</v>
      </c>
    </row>
    <row r="67" spans="1:1" ht="26.4">
      <c r="A67" s="12" t="s">
        <v>133</v>
      </c>
    </row>
    <row r="69" spans="1:1" ht="13.2">
      <c r="A69" s="30" t="s">
        <v>134</v>
      </c>
    </row>
    <row r="70" spans="1:1" ht="198">
      <c r="A70" s="12" t="s">
        <v>135</v>
      </c>
    </row>
    <row r="72" spans="1:1" ht="13.2">
      <c r="A72" s="30" t="s">
        <v>136</v>
      </c>
    </row>
    <row r="73" spans="1:1" ht="13.2">
      <c r="A73" s="31" t="s">
        <v>137</v>
      </c>
    </row>
    <row r="75" spans="1:1" ht="13.2">
      <c r="A75" s="30" t="s">
        <v>138</v>
      </c>
    </row>
    <row r="76" spans="1:1" ht="13.2">
      <c r="A76" s="31" t="s">
        <v>139</v>
      </c>
    </row>
    <row r="78" spans="1:1" ht="13.2">
      <c r="A78" s="30" t="s">
        <v>140</v>
      </c>
    </row>
    <row r="79" spans="1:1" ht="39.6">
      <c r="A79" s="12" t="s">
        <v>141</v>
      </c>
    </row>
    <row r="81" spans="1:1" ht="13.2">
      <c r="A81" s="30" t="s">
        <v>142</v>
      </c>
    </row>
    <row r="82" spans="1:1" ht="13.2">
      <c r="A82" s="12" t="s">
        <v>143</v>
      </c>
    </row>
    <row r="84" spans="1:1" ht="13.2">
      <c r="A84" s="30" t="s">
        <v>144</v>
      </c>
    </row>
    <row r="85" spans="1:1" ht="13.2">
      <c r="A85" s="12"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239"/>
  <sheetViews>
    <sheetView tabSelected="1" workbookViewId="0">
      <pane ySplit="1" topLeftCell="A2" activePane="bottomLeft" state="frozen"/>
      <selection pane="bottomLeft" activeCell="B16" sqref="B16"/>
    </sheetView>
  </sheetViews>
  <sheetFormatPr defaultColWidth="15.109375" defaultRowHeight="15.75" customHeight="1"/>
  <cols>
    <col min="1" max="1" width="41.44140625" bestFit="1" customWidth="1"/>
    <col min="2" max="2" width="13.33203125" customWidth="1"/>
    <col min="3" max="3" width="8.77734375" customWidth="1"/>
    <col min="4" max="4" width="31.44140625" bestFit="1" customWidth="1"/>
  </cols>
  <sheetData>
    <row r="1" spans="1:4" ht="13.2">
      <c r="A1" s="32" t="s">
        <v>146</v>
      </c>
      <c r="B1" s="33" t="s">
        <v>147</v>
      </c>
      <c r="C1" s="32" t="s">
        <v>1806</v>
      </c>
      <c r="D1" s="32" t="s">
        <v>157</v>
      </c>
    </row>
    <row r="2" spans="1:4" ht="15.75" customHeight="1">
      <c r="A2" s="43" t="s">
        <v>161</v>
      </c>
      <c r="B2" s="44" t="str">
        <f>HYPERLINK("http://codeforces.com/contest/677/problem/A","CF677-D2-A")</f>
        <v>CF677-D2-A</v>
      </c>
      <c r="C2" s="281" t="s">
        <v>160</v>
      </c>
      <c r="D2" s="276" t="s">
        <v>1807</v>
      </c>
    </row>
    <row r="3" spans="1:4" ht="13.2">
      <c r="A3" s="43" t="s">
        <v>162</v>
      </c>
      <c r="B3" s="44" t="str">
        <f>HYPERLINK("http://codeforces.com/contest/734/problem/A","CF734-D2-A")</f>
        <v>CF734-D2-A</v>
      </c>
      <c r="C3" s="281" t="s">
        <v>160</v>
      </c>
      <c r="D3" s="276" t="s">
        <v>1808</v>
      </c>
    </row>
    <row r="4" spans="1:4" ht="15.75" customHeight="1">
      <c r="A4" s="311"/>
      <c r="B4" s="312"/>
      <c r="C4" s="313"/>
      <c r="D4" s="313"/>
    </row>
    <row r="5" spans="1:4" ht="15.75" customHeight="1">
      <c r="A5" s="43" t="s">
        <v>163</v>
      </c>
      <c r="B5" s="46" t="str">
        <f>HYPERLINK("codeforces.com/contest/791/problem/A","CF791-D2-A")</f>
        <v>CF791-D2-A</v>
      </c>
      <c r="C5" s="281" t="s">
        <v>160</v>
      </c>
      <c r="D5" s="276" t="s">
        <v>1807</v>
      </c>
    </row>
    <row r="6" spans="1:4" ht="15.75" customHeight="1">
      <c r="A6" s="43" t="s">
        <v>164</v>
      </c>
      <c r="B6" s="44" t="str">
        <f>HYPERLINK("http://codeforces.com/contest/231/problem/A","CF231-D2-A")</f>
        <v>CF231-D2-A</v>
      </c>
      <c r="C6" s="281" t="s">
        <v>160</v>
      </c>
      <c r="D6" s="276" t="s">
        <v>1809</v>
      </c>
    </row>
    <row r="7" spans="1:4" ht="15.75" customHeight="1">
      <c r="A7" s="43" t="s">
        <v>165</v>
      </c>
      <c r="B7" s="44" t="str">
        <f>HYPERLINK("http://codeforces.com/contest/263/problem/A","CF263-D2-A")</f>
        <v>CF263-D2-A</v>
      </c>
      <c r="C7" s="281" t="s">
        <v>160</v>
      </c>
      <c r="D7" s="276" t="s">
        <v>1807</v>
      </c>
    </row>
    <row r="8" spans="1:4" ht="13.2">
      <c r="A8" s="48" t="s">
        <v>166</v>
      </c>
      <c r="B8" s="49" t="str">
        <f>HYPERLINK("http://codeforces.com/contest/405/problem/A","CF405-D2-A")</f>
        <v>CF405-D2-A</v>
      </c>
      <c r="C8" s="281" t="s">
        <v>160</v>
      </c>
      <c r="D8" s="280" t="s">
        <v>1810</v>
      </c>
    </row>
    <row r="9" spans="1:4" ht="15.75" customHeight="1">
      <c r="A9" s="48" t="s">
        <v>167</v>
      </c>
      <c r="B9" s="49" t="str">
        <f>HYPERLINK("http://codeforces.com/contest/112/problem/A","CF112-D2-A")</f>
        <v>CF112-D2-A</v>
      </c>
      <c r="C9" s="276"/>
      <c r="D9" s="280" t="s">
        <v>1808</v>
      </c>
    </row>
    <row r="10" spans="1:4" ht="15.75" customHeight="1">
      <c r="A10" s="48" t="s">
        <v>168</v>
      </c>
      <c r="B10" s="49" t="str">
        <f>HYPERLINK("http://codeforces.com/contest/236/problem/A","CF236-D2-A")</f>
        <v>CF236-D2-A</v>
      </c>
      <c r="C10" s="281" t="s">
        <v>160</v>
      </c>
      <c r="D10" s="280" t="s">
        <v>1811</v>
      </c>
    </row>
    <row r="11" spans="1:4" ht="15.75" customHeight="1">
      <c r="A11" s="51" t="s">
        <v>169</v>
      </c>
      <c r="B11" s="52" t="str">
        <f>HYPERLINK("http://codeforces.com/contest/59/problem/A","CF59-D2-A")</f>
        <v>CF59-D2-A</v>
      </c>
      <c r="C11" s="281" t="s">
        <v>160</v>
      </c>
      <c r="D11" s="280" t="s">
        <v>1808</v>
      </c>
    </row>
    <row r="12" spans="1:4" ht="15.75" customHeight="1">
      <c r="A12" s="48" t="s">
        <v>170</v>
      </c>
      <c r="B12" s="49" t="str">
        <f>HYPERLINK("http://codeforces.com/contest/344/problem/A","CF344-D2-A")</f>
        <v>CF344-D2-A</v>
      </c>
      <c r="C12" s="281" t="s">
        <v>160</v>
      </c>
      <c r="D12" s="280" t="s">
        <v>1807</v>
      </c>
    </row>
    <row r="13" spans="1:4" ht="15.75" customHeight="1">
      <c r="A13" s="48" t="s">
        <v>171</v>
      </c>
      <c r="B13" s="53" t="str">
        <f>HYPERLINK("http://codeforces.com/contest/381/problem/A","CF381-D2-A")</f>
        <v>CF381-D2-A</v>
      </c>
      <c r="C13" s="281" t="s">
        <v>160</v>
      </c>
      <c r="D13" s="280" t="s">
        <v>1812</v>
      </c>
    </row>
    <row r="14" spans="1:4" ht="15.75" customHeight="1">
      <c r="A14" s="43" t="s">
        <v>172</v>
      </c>
      <c r="B14" s="44" t="str">
        <f>HYPERLINK("http://codeforces.com/contest/266/problem/A","CF266-D2-A")</f>
        <v>CF266-D2-A</v>
      </c>
      <c r="C14" s="281" t="s">
        <v>160</v>
      </c>
      <c r="D14" s="276" t="s">
        <v>1807</v>
      </c>
    </row>
    <row r="15" spans="1:4" ht="15.75" customHeight="1">
      <c r="A15" s="43" t="s">
        <v>173</v>
      </c>
      <c r="B15" s="44" t="str">
        <f>HYPERLINK("http://codeforces.com/contest/427/problem/A","CF427-D2-A")</f>
        <v>CF427-D2-A</v>
      </c>
      <c r="C15" s="281" t="s">
        <v>160</v>
      </c>
      <c r="D15" s="276" t="s">
        <v>1807</v>
      </c>
    </row>
    <row r="16" spans="1:4" ht="15.75" customHeight="1">
      <c r="A16" s="54" t="s">
        <v>174</v>
      </c>
      <c r="B16" s="44" t="str">
        <f>HYPERLINK("http://codeforces.com/contest/431/problem/A","CF431-D2-A")</f>
        <v>CF431-D2-A</v>
      </c>
      <c r="C16" s="276"/>
      <c r="D16" s="276"/>
    </row>
    <row r="17" spans="1:4" ht="15.75" customHeight="1">
      <c r="A17" s="54" t="s">
        <v>175</v>
      </c>
      <c r="B17" s="44" t="str">
        <f>HYPERLINK("http://codeforces.com/contest/731/problem/A","CF731-D2-A")</f>
        <v>CF731-D2-A</v>
      </c>
      <c r="C17" s="276"/>
      <c r="D17" s="276"/>
    </row>
    <row r="18" spans="1:4" ht="15.75" customHeight="1">
      <c r="A18" s="54" t="s">
        <v>176</v>
      </c>
      <c r="B18" s="44" t="str">
        <f>HYPERLINK("http://codeforces.com/contest/268/problem/A","CF268-D2-A")</f>
        <v>CF268-D2-A</v>
      </c>
      <c r="C18" s="276"/>
      <c r="D18" s="276"/>
    </row>
    <row r="19" spans="1:4" ht="13.2">
      <c r="A19" s="314"/>
      <c r="B19" s="315"/>
      <c r="C19" s="313"/>
      <c r="D19" s="313"/>
    </row>
    <row r="20" spans="1:4" ht="13.2">
      <c r="A20" s="48" t="s">
        <v>177</v>
      </c>
      <c r="B20" s="49" t="str">
        <f>HYPERLINK("http://codeforces.com/contest/732/problem/A","CF732-D2-A")</f>
        <v>CF732-D2-A</v>
      </c>
      <c r="C20" s="280"/>
      <c r="D20" s="280"/>
    </row>
    <row r="21" spans="1:4" ht="13.2">
      <c r="A21" s="48" t="s">
        <v>178</v>
      </c>
      <c r="B21" s="49" t="str">
        <f>HYPERLINK("http://codeforces.com/contest/228/problem/A","CF228-D2-A")</f>
        <v>CF228-D2-A</v>
      </c>
      <c r="C21" s="280"/>
      <c r="D21" s="280"/>
    </row>
    <row r="22" spans="1:4" ht="13.2">
      <c r="A22" s="48" t="s">
        <v>179</v>
      </c>
      <c r="B22" s="49" t="str">
        <f>HYPERLINK("http://codeforces.com/contest/265/problem/A","CF265-D2-A")</f>
        <v>CF265-D2-A</v>
      </c>
      <c r="C22" s="280"/>
      <c r="D22" s="280"/>
    </row>
    <row r="23" spans="1:4" ht="13.2">
      <c r="A23" s="51" t="s">
        <v>180</v>
      </c>
      <c r="B23" s="55" t="str">
        <f>HYPERLINK("http://codeforces.com/contest/9/problem/A","CF9-D2-A")</f>
        <v>CF9-D2-A</v>
      </c>
      <c r="C23" s="276"/>
      <c r="D23" s="280"/>
    </row>
    <row r="24" spans="1:4" ht="13.2">
      <c r="A24" s="51" t="s">
        <v>181</v>
      </c>
      <c r="B24" s="57" t="str">
        <f>HYPERLINK("http://codeforces.com/contest/294/problem/A","CF294-D2-A")</f>
        <v>CF294-D2-A</v>
      </c>
      <c r="C24" s="276"/>
      <c r="D24" s="280"/>
    </row>
    <row r="25" spans="1:4" ht="13.2">
      <c r="A25" s="48" t="s">
        <v>182</v>
      </c>
      <c r="B25" s="53" t="str">
        <f>HYPERLINK("http://codeforces.com/contest/709/problem/A","CF709-D2-A")</f>
        <v>CF709-D2-A</v>
      </c>
      <c r="C25" s="276"/>
      <c r="D25" s="280"/>
    </row>
    <row r="26" spans="1:4" ht="13.2">
      <c r="A26" s="51" t="s">
        <v>183</v>
      </c>
      <c r="B26" s="58" t="str">
        <f>HYPERLINK("http://codeforces.com/contest/799/problem/A","CF799-D2-A")</f>
        <v>CF799-D2-A</v>
      </c>
      <c r="C26" s="276"/>
      <c r="D26" s="280"/>
    </row>
    <row r="27" spans="1:4" ht="13.2">
      <c r="A27" s="51" t="s">
        <v>184</v>
      </c>
      <c r="B27" s="55" t="str">
        <f>HYPERLINK("http://codeforces.com/contest/443/problem/A","CF443-D2-A")</f>
        <v>CF443-D2-A</v>
      </c>
      <c r="C27" s="276"/>
      <c r="D27" s="280"/>
    </row>
    <row r="28" spans="1:4" ht="13.2">
      <c r="A28" s="48" t="s">
        <v>185</v>
      </c>
      <c r="B28" s="49" t="str">
        <f>HYPERLINK("http://codeforces.com/contest/71/problem/A","CF71-D2-A")</f>
        <v>CF71-D2-A</v>
      </c>
      <c r="C28" s="281" t="s">
        <v>160</v>
      </c>
      <c r="D28" s="280" t="s">
        <v>1813</v>
      </c>
    </row>
    <row r="29" spans="1:4" ht="13.2">
      <c r="A29" s="48" t="s">
        <v>186</v>
      </c>
      <c r="B29" s="49" t="str">
        <f>HYPERLINK("http://codeforces.com/contest/686/problem/A","CF686-D2-A")</f>
        <v>CF686-D2-A</v>
      </c>
      <c r="C29" s="276"/>
      <c r="D29" s="280"/>
    </row>
    <row r="30" spans="1:4" ht="13.2">
      <c r="A30" s="51" t="s">
        <v>187</v>
      </c>
      <c r="B30" s="52" t="str">
        <f>HYPERLINK("http://codeforces.com/contest/339/problem/A","CF339-D2-A")</f>
        <v>CF339-D2-A</v>
      </c>
      <c r="C30" s="276"/>
      <c r="D30" s="280"/>
    </row>
    <row r="31" spans="1:4" ht="13.2">
      <c r="A31" s="48" t="s">
        <v>188</v>
      </c>
      <c r="B31" s="53" t="str">
        <f>HYPERLINK("http://codeforces.com/contest/490/problem/A","CF490-D2-A")</f>
        <v>CF490-D2-A</v>
      </c>
      <c r="C31" s="276"/>
      <c r="D31" s="280"/>
    </row>
    <row r="32" spans="1:4" ht="13.2">
      <c r="A32" s="51" t="s">
        <v>189</v>
      </c>
      <c r="B32" s="60" t="str">
        <f>HYPERLINK("http://codeforces.com/contest/770/problem/A","CF770-D2-A")</f>
        <v>CF770-D2-A</v>
      </c>
      <c r="C32" s="276"/>
      <c r="D32" s="280"/>
    </row>
    <row r="33" spans="1:4" ht="13.2">
      <c r="A33" s="10"/>
      <c r="B33" s="10"/>
      <c r="C33" s="276"/>
      <c r="D33" s="280"/>
    </row>
    <row r="34" spans="1:4" ht="13.2">
      <c r="A34" s="10"/>
      <c r="B34" s="10"/>
      <c r="C34" s="276"/>
      <c r="D34" s="280"/>
    </row>
    <row r="35" spans="1:4" ht="13.2">
      <c r="A35" s="10"/>
      <c r="B35" s="10"/>
      <c r="C35" s="276"/>
      <c r="D35" s="280"/>
    </row>
    <row r="36" spans="1:4" ht="13.2">
      <c r="A36" s="10"/>
      <c r="B36" s="10"/>
      <c r="C36" s="276"/>
      <c r="D36" s="280"/>
    </row>
    <row r="37" spans="1:4" ht="13.2">
      <c r="A37" s="62" t="s">
        <v>190</v>
      </c>
      <c r="B37" s="63" t="str">
        <f>HYPERLINK("https://uva.onlinejudge.org/index.php?option=com_onlinejudge&amp;Itemid=8&amp;page=show_problem&amp;problem=1051","UVA 10110")</f>
        <v>UVA 10110</v>
      </c>
      <c r="C37" s="276"/>
      <c r="D37" s="280"/>
    </row>
    <row r="38" spans="1:4" ht="13.2">
      <c r="A38" s="62" t="s">
        <v>191</v>
      </c>
      <c r="B38" s="63" t="str">
        <f>HYPERLINK("https://uva.onlinejudge.org/index.php?option=com_onlinejudge&amp;Itemid=8&amp;page=show_problem&amp;problem=1047","UVA 10106")</f>
        <v>UVA 10106</v>
      </c>
      <c r="C38" s="276"/>
      <c r="D38" s="280"/>
    </row>
    <row r="39" spans="1:4" ht="13.2">
      <c r="A39" s="62" t="s">
        <v>192</v>
      </c>
      <c r="B39" s="63" t="str">
        <f>HYPERLINK("https://uva.onlinejudge.org/index.php?option=onlinejudge&amp;page=show_problem&amp;problem=349","UVA 408")</f>
        <v>UVA 408</v>
      </c>
      <c r="C39" s="276"/>
      <c r="D39" s="280"/>
    </row>
    <row r="40" spans="1:4" ht="13.2">
      <c r="A40" s="62" t="s">
        <v>193</v>
      </c>
      <c r="B40" s="63" t="str">
        <f>HYPERLINK("https://uva.onlinejudge.org/index.php?option=onlinejudge&amp;page=show_problem&amp;problem=2172","UVA 11231")</f>
        <v>UVA 11231</v>
      </c>
      <c r="C40" s="276"/>
      <c r="D40" s="280"/>
    </row>
    <row r="41" spans="1:4" ht="26.4">
      <c r="A41" s="62"/>
      <c r="B41" s="65" t="str">
        <f>HYPERLINK("https://www.spoj.com/problems/EASYMATH/","SPOJ EASYMATH")</f>
        <v>SPOJ EASYMATH</v>
      </c>
      <c r="C41" s="276"/>
      <c r="D41" s="280"/>
    </row>
    <row r="42" spans="1:4" ht="13.2">
      <c r="A42" s="66" t="s">
        <v>194</v>
      </c>
      <c r="B42" s="67" t="str">
        <f>HYPERLINK("https://uva.onlinejudge.org/index.php?option=onlinejudge&amp;page=show_problem&amp;problem=3300","UVA 12148")</f>
        <v>UVA 12148</v>
      </c>
      <c r="C42" s="276"/>
      <c r="D42" s="280"/>
    </row>
    <row r="43" spans="1:4" ht="13.2">
      <c r="A43" s="51"/>
      <c r="B43" s="60"/>
      <c r="C43" s="276"/>
      <c r="D43" s="280"/>
    </row>
    <row r="44" spans="1:4" ht="13.2">
      <c r="A44" s="48" t="s">
        <v>195</v>
      </c>
      <c r="B44" s="49" t="str">
        <f>HYPERLINK("http://codeforces.com/contest/136/problem/A","CF136-D2-A")</f>
        <v>CF136-D2-A</v>
      </c>
      <c r="C44" s="276"/>
      <c r="D44" s="280"/>
    </row>
    <row r="45" spans="1:4" ht="13.2">
      <c r="A45" s="48" t="s">
        <v>196</v>
      </c>
      <c r="B45" s="53" t="str">
        <f>HYPERLINK("http://codeforces.com/contest/567/problem/A","CF567-D2-A")</f>
        <v>CF567-D2-A</v>
      </c>
      <c r="C45" s="276"/>
      <c r="D45" s="280"/>
    </row>
    <row r="46" spans="1:4" ht="13.2">
      <c r="A46" s="51" t="s">
        <v>197</v>
      </c>
      <c r="B46" s="60" t="str">
        <f>HYPERLINK("http://codeforces.com/contest/766/problem/A","CF766-D2-A")</f>
        <v>CF766-D2-A</v>
      </c>
      <c r="C46" s="276"/>
      <c r="D46" s="280"/>
    </row>
    <row r="47" spans="1:4" ht="13.2">
      <c r="A47" s="48" t="s">
        <v>198</v>
      </c>
      <c r="B47" s="69" t="str">
        <f>HYPERLINK("http://codeforces.com/problemset/problem/767/A","CF767-D2-A")</f>
        <v>CF767-D2-A</v>
      </c>
      <c r="C47" s="276"/>
      <c r="D47" s="280"/>
    </row>
    <row r="48" spans="1:4" ht="13.2">
      <c r="A48" s="48" t="s">
        <v>199</v>
      </c>
      <c r="B48" s="69" t="str">
        <f>HYPERLINK("http://codeforces.com/contest/768/problem/A","CF768-D2-A")</f>
        <v>CF768-D2-A</v>
      </c>
      <c r="C48" s="276"/>
      <c r="D48" s="280"/>
    </row>
    <row r="49" spans="1:4" ht="13.2">
      <c r="A49" s="48" t="s">
        <v>200</v>
      </c>
      <c r="B49" s="49" t="str">
        <f>HYPERLINK("http://codeforces.com/contest/520/problem/A","CF520-D2-A")</f>
        <v>CF520-D2-A</v>
      </c>
      <c r="C49" s="276"/>
      <c r="D49" s="280"/>
    </row>
    <row r="50" spans="1:4" ht="13.2">
      <c r="A50" s="48" t="s">
        <v>201</v>
      </c>
      <c r="B50" s="53" t="str">
        <f>HYPERLINK("http://codeforces.com/contest/160/problem/A","CF160-D2-A")</f>
        <v>CF160-D2-A</v>
      </c>
      <c r="C50" s="276"/>
      <c r="D50" s="280"/>
    </row>
    <row r="51" spans="1:4" ht="13.2">
      <c r="A51" s="48" t="s">
        <v>202</v>
      </c>
      <c r="B51" s="53" t="str">
        <f>HYPERLINK("http://codeforces.com/contest/474/problem/A","CF474-D2-A")</f>
        <v>CF474-D2-A</v>
      </c>
      <c r="C51" s="280"/>
      <c r="D51" s="280"/>
    </row>
    <row r="52" spans="1:4" ht="13.2">
      <c r="A52" s="10"/>
      <c r="B52" s="10"/>
      <c r="C52" s="276"/>
      <c r="D52" s="280"/>
    </row>
    <row r="53" spans="1:4" ht="13.2">
      <c r="A53" s="10"/>
      <c r="B53" s="10"/>
      <c r="C53" s="276"/>
      <c r="D53" s="280"/>
    </row>
    <row r="54" spans="1:4" ht="13.2">
      <c r="A54" s="10"/>
      <c r="B54" s="10"/>
      <c r="C54" s="276"/>
      <c r="D54" s="280"/>
    </row>
    <row r="55" spans="1:4" ht="13.2">
      <c r="A55" s="62" t="s">
        <v>203</v>
      </c>
      <c r="B55" s="23" t="str">
        <f>HYPERLINK("https://uva.onlinejudge.org/index.php?option=onlinejudge&amp;page=show_problem&amp;problem=288","UVA 352")</f>
        <v>UVA 352</v>
      </c>
      <c r="C55" s="276"/>
      <c r="D55" s="280"/>
    </row>
    <row r="56" spans="1:4" ht="13.2">
      <c r="A56" s="62" t="s">
        <v>204</v>
      </c>
      <c r="B56" s="23" t="str">
        <f>HYPERLINK("https://uva.onlinejudge.org/index.php?option=onlinejudge&amp;page=show_problem&amp;problem=1393","UVA 10452")</f>
        <v>UVA 10452</v>
      </c>
      <c r="C56" s="276"/>
      <c r="D56" s="280"/>
    </row>
    <row r="57" spans="1:4" ht="13.2">
      <c r="A57" s="62" t="s">
        <v>205</v>
      </c>
      <c r="B57" s="23" t="str">
        <f>HYPERLINK("https://uva.onlinejudge.org/index.php?option=com_onlinejudge&amp;Itemid=8&amp;page=show_problem&amp;problem=3104","UVA 11953")</f>
        <v>UVA 11953</v>
      </c>
      <c r="C57" s="276"/>
      <c r="D57" s="280"/>
    </row>
    <row r="58" spans="1:4" ht="13.2">
      <c r="A58" s="10"/>
      <c r="B58" s="10"/>
      <c r="C58" s="276"/>
      <c r="D58" s="280"/>
    </row>
    <row r="59" spans="1:4" ht="13.2">
      <c r="A59" s="62" t="s">
        <v>206</v>
      </c>
      <c r="B59" s="23" t="str">
        <f>HYPERLINK("http://codeforces.com/contest/216/problem/B","CF216-D2-B")</f>
        <v>CF216-D2-B</v>
      </c>
      <c r="C59" s="276"/>
      <c r="D59" s="280"/>
    </row>
    <row r="60" spans="1:4" ht="26.4">
      <c r="A60" s="62" t="s">
        <v>207</v>
      </c>
      <c r="B60" s="70" t="str">
        <f>HYPERLINK("http://www.spoj.com/problems/MAKETREE/","SPOJ MAKETREE")</f>
        <v>SPOJ MAKETREE</v>
      </c>
      <c r="C60" s="276"/>
      <c r="D60" s="280"/>
    </row>
    <row r="61" spans="1:4" ht="13.2">
      <c r="A61" s="62" t="s">
        <v>208</v>
      </c>
      <c r="B61" s="70" t="str">
        <f>HYPERLINK("https://uva.onlinejudge.org/index.php?option=onlinejudge&amp;page=show_problem&amp;problem=1246","UVA 10305")</f>
        <v>UVA 10305</v>
      </c>
      <c r="C61" s="276"/>
      <c r="D61" s="280"/>
    </row>
    <row r="62" spans="1:4" ht="13.2">
      <c r="A62" s="48"/>
      <c r="B62" s="49"/>
      <c r="C62" s="276"/>
      <c r="D62" s="280"/>
    </row>
    <row r="63" spans="1:4" ht="13.2">
      <c r="A63" s="48" t="s">
        <v>209</v>
      </c>
      <c r="B63" s="53" t="str">
        <f>HYPERLINK("http://codeforces.com/contest/318/problem/A","CF318-D2-A")</f>
        <v>CF318-D2-A</v>
      </c>
      <c r="C63" s="276"/>
      <c r="D63" s="280"/>
    </row>
    <row r="64" spans="1:4" ht="13.2">
      <c r="A64" s="48" t="s">
        <v>210</v>
      </c>
      <c r="B64" s="53" t="str">
        <f>HYPERLINK("http://codeforces.com/contest/469/problem/A","CF469-D2-A")</f>
        <v>CF469-D2-A</v>
      </c>
      <c r="C64" s="276"/>
      <c r="D64" s="280"/>
    </row>
    <row r="65" spans="1:4" ht="13.2">
      <c r="A65" s="48" t="s">
        <v>211</v>
      </c>
      <c r="B65" s="69" t="str">
        <f>HYPERLINK("http://codeforces.com/contest/807/problem/A","CF807-D2-A")</f>
        <v>CF807-D2-A</v>
      </c>
      <c r="C65" s="276"/>
      <c r="D65" s="280"/>
    </row>
    <row r="66" spans="1:4" ht="13.2">
      <c r="A66" s="48" t="s">
        <v>212</v>
      </c>
      <c r="B66" s="49" t="str">
        <f>HYPERLINK("http://codeforces.com/contest/584/problem/A","CF584-D2-A")</f>
        <v>CF584-D2-A</v>
      </c>
      <c r="C66" s="276"/>
      <c r="D66" s="280"/>
    </row>
    <row r="67" spans="1:4" ht="13.2">
      <c r="A67" s="51" t="s">
        <v>213</v>
      </c>
      <c r="B67" s="52" t="str">
        <f>HYPERLINK("http://codeforces.com/contest/43/problem/A","CF43-D2-A")</f>
        <v>CF43-D2-A</v>
      </c>
      <c r="C67" s="276"/>
      <c r="D67" s="280"/>
    </row>
    <row r="68" spans="1:4" ht="13.2">
      <c r="A68" s="51" t="s">
        <v>214</v>
      </c>
      <c r="B68" s="52" t="str">
        <f>HYPERLINK("http://codeforces.com/contest/707/problem/A","CF707-D2-A")</f>
        <v>CF707-D2-A</v>
      </c>
      <c r="C68" s="276"/>
      <c r="D68" s="280"/>
    </row>
    <row r="69" spans="1:4" ht="13.2">
      <c r="A69" s="51" t="s">
        <v>215</v>
      </c>
      <c r="B69" s="52" t="str">
        <f>HYPERLINK("http://codeforces.com/contest/208/problem/A","CF208-D2-A")</f>
        <v>CF208-D2-A</v>
      </c>
      <c r="C69" s="276"/>
      <c r="D69" s="280"/>
    </row>
    <row r="70" spans="1:4" ht="13.2">
      <c r="A70" s="48" t="s">
        <v>216</v>
      </c>
      <c r="B70" s="53" t="str">
        <f>HYPERLINK("http://codeforces.com/contest/404/problem/A","CF404-D2-A")</f>
        <v>CF404-D2-A</v>
      </c>
      <c r="C70" s="280"/>
      <c r="D70" s="280"/>
    </row>
    <row r="71" spans="1:4" ht="13.2">
      <c r="A71" s="48" t="s">
        <v>217</v>
      </c>
      <c r="B71" s="53" t="str">
        <f>HYPERLINK("http://codeforces.com/contest/742/problem/A","CF742-D2-A")</f>
        <v>CF742-D2-A</v>
      </c>
      <c r="C71" s="280"/>
      <c r="D71" s="280"/>
    </row>
    <row r="72" spans="1:4" ht="13.2">
      <c r="A72" s="48" t="s">
        <v>218</v>
      </c>
      <c r="B72" s="53" t="str">
        <f>HYPERLINK("http://codeforces.com/contest/486/problem/A","CF486-D2-A")</f>
        <v>CF486-D2-A</v>
      </c>
      <c r="C72" s="280"/>
      <c r="D72" s="280"/>
    </row>
    <row r="73" spans="1:4" ht="13.2">
      <c r="A73" s="48" t="s">
        <v>219</v>
      </c>
      <c r="B73" s="53" t="str">
        <f>HYPERLINK("http://codeforces.com/contest/1/problem/A","CF1-D12-A")</f>
        <v>CF1-D12-A</v>
      </c>
      <c r="C73" s="280"/>
      <c r="D73" s="280"/>
    </row>
    <row r="74" spans="1:4" ht="13.2">
      <c r="A74" s="48" t="s">
        <v>220</v>
      </c>
      <c r="B74" s="53" t="str">
        <f>HYPERLINK("http://codeforces.com/contest/785/problem/A","CF785-D2-A")</f>
        <v>CF785-D2-A</v>
      </c>
      <c r="C74" s="280"/>
      <c r="D74" s="280"/>
    </row>
    <row r="75" spans="1:4" ht="13.2">
      <c r="A75" s="48" t="s">
        <v>221</v>
      </c>
      <c r="B75" s="53" t="str">
        <f>HYPERLINK("http://codeforces.com/contest/80/problem/A","CF80-D2-A")</f>
        <v>CF80-D2-A</v>
      </c>
      <c r="C75" s="280"/>
      <c r="D75" s="280"/>
    </row>
    <row r="76" spans="1:4" ht="13.2">
      <c r="A76" s="48" t="s">
        <v>222</v>
      </c>
      <c r="B76" s="49" t="str">
        <f>HYPERLINK("http://codeforces.com/contest/483/problem/A","CF483-D2-A")</f>
        <v>CF483-D2-A</v>
      </c>
      <c r="C76" s="280"/>
      <c r="D76" s="280"/>
    </row>
    <row r="77" spans="1:4" ht="13.2">
      <c r="A77" s="39"/>
      <c r="B77" s="72"/>
      <c r="C77" s="276"/>
      <c r="D77" s="276"/>
    </row>
    <row r="78" spans="1:4" ht="13.2">
      <c r="A78" s="10"/>
      <c r="B78" s="10"/>
      <c r="C78" s="280"/>
      <c r="D78" s="280"/>
    </row>
    <row r="79" spans="1:4" ht="13.2">
      <c r="A79" s="39"/>
      <c r="B79" s="72"/>
      <c r="C79" s="276"/>
      <c r="D79" s="276"/>
    </row>
    <row r="80" spans="1:4" ht="13.2">
      <c r="A80" s="43"/>
      <c r="B80" s="73"/>
      <c r="C80" s="276"/>
      <c r="D80" s="276"/>
    </row>
    <row r="81" spans="1:4" ht="13.2">
      <c r="A81" s="74" t="s">
        <v>223</v>
      </c>
      <c r="B81" s="75" t="str">
        <f>HYPERLINK("http://codeforces.com/contest/127/problem/A","CF127-D2-A")</f>
        <v>CF127-D2-A</v>
      </c>
      <c r="C81" s="276"/>
      <c r="D81" s="280"/>
    </row>
    <row r="82" spans="1:4" ht="13.2">
      <c r="A82" s="74" t="s">
        <v>224</v>
      </c>
      <c r="B82" s="75" t="str">
        <f>HYPERLINK("https://uva.onlinejudge.org/index.php?option=onlinejudge&amp;page=show_problem&amp;problem=417","UVA 476")</f>
        <v>UVA 476</v>
      </c>
      <c r="C82" s="276"/>
      <c r="D82" s="276"/>
    </row>
    <row r="83" spans="1:4" ht="13.2">
      <c r="A83" s="74" t="s">
        <v>225</v>
      </c>
      <c r="B83" s="75" t="str">
        <f>HYPERLINK("https://uva.onlinejudge.org/index.php?option=onlinejudge&amp;page=show_problem&amp;problem=401","UVA 460")</f>
        <v>UVA 460</v>
      </c>
      <c r="C83" s="276"/>
      <c r="D83" s="276"/>
    </row>
    <row r="84" spans="1:4" ht="13.2">
      <c r="A84" s="74" t="s">
        <v>226</v>
      </c>
      <c r="B84" s="75" t="str">
        <f>HYPERLINK("http://codeforces.com/contest/270/problem/A","CF270-D2-A")</f>
        <v>CF270-D2-A</v>
      </c>
      <c r="C84" s="276"/>
      <c r="D84" s="280"/>
    </row>
    <row r="85" spans="1:4" ht="13.2">
      <c r="A85" s="74" t="s">
        <v>227</v>
      </c>
      <c r="B85" s="75" t="str">
        <f>HYPERLINK("http://codeforces.com/contest/667/problem/A","CF667-D2-A")</f>
        <v>CF667-D2-A</v>
      </c>
      <c r="C85" s="276"/>
      <c r="D85" s="280"/>
    </row>
    <row r="86" spans="1:4" ht="13.2">
      <c r="A86" s="74" t="s">
        <v>228</v>
      </c>
      <c r="B86" s="75" t="str">
        <f>HYPERLINK("https://uva.onlinejudge.org/index.php?option=onlinejudge&amp;page=show_problem&amp;problem=1183","UVA 10242")</f>
        <v>UVA 10242</v>
      </c>
      <c r="C86" s="276"/>
      <c r="D86" s="276"/>
    </row>
    <row r="87" spans="1:4" ht="13.2">
      <c r="A87" s="43"/>
      <c r="B87" s="73"/>
      <c r="C87" s="276"/>
      <c r="D87" s="276"/>
    </row>
    <row r="88" spans="1:4" ht="13.2">
      <c r="A88" s="54" t="s">
        <v>229</v>
      </c>
      <c r="B88" s="44" t="str">
        <f>HYPERLINK("http://codeforces.com/contest/365/problem/A","CF365-D2-A")</f>
        <v>CF365-D2-A</v>
      </c>
      <c r="C88" s="276"/>
      <c r="D88" s="276"/>
    </row>
    <row r="89" spans="1:4" ht="13.2">
      <c r="A89" s="54" t="s">
        <v>230</v>
      </c>
      <c r="B89" s="44" t="str">
        <f>HYPERLINK("http://codeforces.com/contest/225/problem/A","CF225-D2-A")</f>
        <v>CF225-D2-A</v>
      </c>
      <c r="C89" s="276"/>
      <c r="D89" s="276"/>
    </row>
    <row r="90" spans="1:4" ht="13.2">
      <c r="A90" s="54" t="s">
        <v>231</v>
      </c>
      <c r="B90" s="44" t="str">
        <f>HYPERLINK("http://codeforces.com/contest/682/problem/A","CF682-D2-A")</f>
        <v>CF682-D2-A</v>
      </c>
      <c r="C90" s="276"/>
      <c r="D90" s="276"/>
    </row>
    <row r="91" spans="1:4" ht="13.2">
      <c r="A91" s="54" t="s">
        <v>232</v>
      </c>
      <c r="B91" s="44" t="str">
        <f>HYPERLINK("http://codeforces.com/contest/218/problem/A","CF218-D2-A")</f>
        <v>CF218-D2-A</v>
      </c>
      <c r="C91" s="276"/>
      <c r="D91" s="276"/>
    </row>
    <row r="92" spans="1:4" ht="13.2">
      <c r="A92" s="54" t="s">
        <v>233</v>
      </c>
      <c r="B92" s="44" t="str">
        <f>HYPERLINK("http://codeforces.com/contest/143/problem/A","CF143-D2-A")</f>
        <v>CF143-D2-A</v>
      </c>
      <c r="C92" s="276"/>
      <c r="D92" s="276"/>
    </row>
    <row r="93" spans="1:4" ht="13.2">
      <c r="A93" s="54" t="s">
        <v>234</v>
      </c>
      <c r="B93" s="44" t="str">
        <f>HYPERLINK("http://codeforces.com/contest/514/problem/A","CF514-D2-A")</f>
        <v>CF514-D2-A</v>
      </c>
      <c r="C93" s="276"/>
      <c r="D93" s="276"/>
    </row>
    <row r="94" spans="1:4" ht="13.2">
      <c r="A94" s="54" t="s">
        <v>235</v>
      </c>
      <c r="B94" s="44" t="str">
        <f>HYPERLINK("http://codeforces.com/contest/382/problem/A","CF382-D2-A")</f>
        <v>CF382-D2-A</v>
      </c>
      <c r="C94" s="276"/>
      <c r="D94" s="276"/>
    </row>
    <row r="95" spans="1:4" ht="13.2">
      <c r="A95" s="54" t="s">
        <v>236</v>
      </c>
      <c r="B95" s="44" t="str">
        <f>HYPERLINK("http://codeforces.com/contest/699/problem/A","CF699-D2-A")</f>
        <v>CF699-D2-A</v>
      </c>
      <c r="C95" s="276"/>
      <c r="D95" s="276"/>
    </row>
    <row r="96" spans="1:4" ht="13.2">
      <c r="A96" s="51" t="s">
        <v>237</v>
      </c>
      <c r="B96" s="79" t="str">
        <f>HYPERLINK("http://codeforces.com/contest/289/problem/A","CF289-D2-A")</f>
        <v>CF289-D2-A</v>
      </c>
      <c r="C96" s="276"/>
      <c r="D96" s="280"/>
    </row>
    <row r="97" spans="1:4" ht="13.2">
      <c r="A97" s="51" t="s">
        <v>238</v>
      </c>
      <c r="B97" s="79" t="str">
        <f>HYPERLINK("http://codeforces.com/contest/287/problem/A","CF287-D2-A")</f>
        <v>CF287-D2-A</v>
      </c>
      <c r="C97" s="276"/>
      <c r="D97" s="280"/>
    </row>
    <row r="98" spans="1:4" ht="13.2">
      <c r="A98" s="51" t="s">
        <v>239</v>
      </c>
      <c r="B98" s="79" t="str">
        <f>HYPERLINK("http://codeforces.com/contest/296/problem/A","CF296-D2-A")</f>
        <v>CF296-D2-A</v>
      </c>
      <c r="C98" s="276"/>
      <c r="D98" s="280"/>
    </row>
    <row r="99" spans="1:4" ht="13.2">
      <c r="A99" s="51" t="s">
        <v>240</v>
      </c>
      <c r="B99" s="79" t="str">
        <f>HYPERLINK("http://codeforces.com/contest/298/problem/A","CF298-D2-A")</f>
        <v>CF298-D2-A</v>
      </c>
      <c r="C99" s="276"/>
      <c r="D99" s="280"/>
    </row>
    <row r="100" spans="1:4" ht="13.2">
      <c r="A100" s="51" t="s">
        <v>241</v>
      </c>
      <c r="B100" s="80" t="str">
        <f>HYPERLINK("http://codeforces.com/contest/579/problem/A","CF579-D2-A")</f>
        <v>CF579-D2-A</v>
      </c>
      <c r="C100" s="276"/>
      <c r="D100" s="280"/>
    </row>
    <row r="101" spans="1:4" ht="13.2">
      <c r="A101" s="51" t="s">
        <v>242</v>
      </c>
      <c r="B101" s="80" t="str">
        <f>HYPERLINK("https://codeforces.com/contest/1204/problem/A","CF1204-D2-A")</f>
        <v>CF1204-D2-A</v>
      </c>
      <c r="C101" s="276"/>
      <c r="D101" s="280"/>
    </row>
    <row r="102" spans="1:4" ht="26.4">
      <c r="A102" s="51" t="s">
        <v>243</v>
      </c>
      <c r="B102" s="81" t="str">
        <f>HYPERLINK("https://codeforces.com/contest/1237/problem/A","CF1237-D12-A")</f>
        <v>CF1237-D12-A</v>
      </c>
      <c r="C102" s="276"/>
      <c r="D102" s="280"/>
    </row>
    <row r="103" spans="1:4" ht="13.2">
      <c r="A103" s="43"/>
      <c r="B103" s="73"/>
      <c r="C103" s="276"/>
      <c r="D103" s="276"/>
    </row>
    <row r="104" spans="1:4" ht="13.2">
      <c r="A104" s="43"/>
      <c r="B104" s="73"/>
      <c r="C104" s="276"/>
      <c r="D104" s="276"/>
    </row>
    <row r="105" spans="1:4" ht="13.2">
      <c r="A105" s="62" t="s">
        <v>244</v>
      </c>
      <c r="B105" s="63" t="str">
        <f>HYPERLINK("https://uva.onlinejudge.org/index.php?option=com_onlinejudge&amp;Itemid=8&amp;page=show_problem&amp;problem=1552","UVA 10611")</f>
        <v>UVA 10611</v>
      </c>
      <c r="C105" s="276"/>
      <c r="D105" s="280"/>
    </row>
    <row r="106" spans="1:4" ht="13.2">
      <c r="A106" s="74" t="s">
        <v>245</v>
      </c>
      <c r="B106" s="82" t="str">
        <f>HYPERLINK("http://codeforces.com/contest/287/problem/B","CF287-D2-B")</f>
        <v>CF287-D2-B</v>
      </c>
      <c r="C106" s="276"/>
      <c r="D106" s="276"/>
    </row>
    <row r="107" spans="1:4" ht="13.2">
      <c r="A107" s="74" t="s">
        <v>246</v>
      </c>
      <c r="B107" s="83" t="str">
        <f>HYPERLINK("https://codeforces.com/contest/165/problem/B","CF165-D2-B")</f>
        <v>CF165-D2-B</v>
      </c>
      <c r="C107" s="276"/>
      <c r="D107" s="280"/>
    </row>
    <row r="108" spans="1:4" ht="13.2">
      <c r="A108" s="74" t="s">
        <v>247</v>
      </c>
      <c r="B108" s="75" t="str">
        <f>HYPERLINK("http://www.spoj.com/problems/AGGRCOW/","SPOJ AGGRCOW")</f>
        <v>SPOJ AGGRCOW</v>
      </c>
      <c r="C108" s="276"/>
      <c r="D108" s="280"/>
    </row>
    <row r="109" spans="1:4" ht="13.2">
      <c r="A109" s="84"/>
      <c r="B109" s="85"/>
      <c r="C109" s="278"/>
      <c r="D109" s="278"/>
    </row>
    <row r="110" spans="1:4" ht="13.2">
      <c r="A110" s="39"/>
      <c r="B110" s="40"/>
      <c r="C110" s="307"/>
      <c r="D110" s="307"/>
    </row>
    <row r="111" spans="1:4" ht="13.2">
      <c r="A111" s="84"/>
      <c r="B111" s="85"/>
      <c r="C111" s="278"/>
      <c r="D111" s="278"/>
    </row>
    <row r="112" spans="1:4" ht="13.2">
      <c r="A112" s="48" t="s">
        <v>250</v>
      </c>
      <c r="B112" s="53" t="str">
        <f>HYPERLINK("http://codeforces.com/contest/281/problem/A","CF281-D2-A")</f>
        <v>CF281-D2-A</v>
      </c>
      <c r="C112" s="280"/>
      <c r="D112" s="280"/>
    </row>
    <row r="113" spans="1:4" ht="13.2">
      <c r="A113" s="48" t="s">
        <v>251</v>
      </c>
      <c r="B113" s="53" t="str">
        <f>HYPERLINK("http://codeforces.com/contest/158/problem/A","CF158-D12-A")</f>
        <v>CF158-D12-A</v>
      </c>
      <c r="C113" s="280"/>
      <c r="D113" s="280"/>
    </row>
    <row r="114" spans="1:4" ht="13.2">
      <c r="A114" s="48" t="s">
        <v>252</v>
      </c>
      <c r="B114" s="53" t="str">
        <f>HYPERLINK("http://codeforces.com/contest/69/problem/A","CF69-D2-A")</f>
        <v>CF69-D2-A</v>
      </c>
      <c r="C114" s="280"/>
      <c r="D114" s="280"/>
    </row>
    <row r="115" spans="1:4" ht="13.2">
      <c r="A115" s="48" t="s">
        <v>253</v>
      </c>
      <c r="B115" s="53" t="str">
        <f>HYPERLINK("http://codeforces.com/contest/282/problem/A","CF282-D2-A")</f>
        <v>CF282-D2-A</v>
      </c>
      <c r="C115" s="280"/>
      <c r="D115" s="280"/>
    </row>
    <row r="116" spans="1:4" ht="13.2">
      <c r="A116" s="48" t="s">
        <v>254</v>
      </c>
      <c r="B116" s="53" t="str">
        <f>HYPERLINK("http://codeforces.com/contest/556/problem/A","CF556-D2-A")</f>
        <v>CF556-D2-A</v>
      </c>
      <c r="C116" s="280"/>
      <c r="D116" s="280"/>
    </row>
    <row r="117" spans="1:4" ht="13.2">
      <c r="A117" s="48" t="s">
        <v>255</v>
      </c>
      <c r="B117" s="53" t="str">
        <f>HYPERLINK("http://codeforces.com/contest/41/problem/A","CF41-D2-A")</f>
        <v>CF41-D2-A</v>
      </c>
      <c r="C117" s="280"/>
      <c r="D117" s="280"/>
    </row>
    <row r="118" spans="1:4" ht="13.2">
      <c r="A118" s="48" t="s">
        <v>256</v>
      </c>
      <c r="B118" s="53" t="str">
        <f>HYPERLINK("http://codeforces.com/contest/118/problem/A","CF118-D2-A")</f>
        <v>CF118-D2-A</v>
      </c>
      <c r="C118" s="280"/>
      <c r="D118" s="280"/>
    </row>
    <row r="119" spans="1:4" ht="13.2">
      <c r="A119" s="48" t="s">
        <v>257</v>
      </c>
      <c r="B119" s="49" t="str">
        <f>HYPERLINK("http://codeforces.com/contest/456/problem/A","CF456-D2-A")</f>
        <v>CF456-D2-A</v>
      </c>
      <c r="C119" s="280"/>
      <c r="D119" s="280"/>
    </row>
    <row r="120" spans="1:4" ht="13.2">
      <c r="A120" s="43" t="s">
        <v>258</v>
      </c>
      <c r="B120" s="80" t="str">
        <f>HYPERLINK("http://codeforces.com/contest/950/problem/A","CF950-D2-A")</f>
        <v>CF950-D2-A</v>
      </c>
      <c r="C120" s="276"/>
      <c r="D120" s="280"/>
    </row>
    <row r="121" spans="1:4" ht="13.2">
      <c r="A121" s="43" t="s">
        <v>259</v>
      </c>
      <c r="B121" s="86" t="str">
        <f>HYPERLINK("http://codeforces.com/contest/467/problem/A","CF467-D2-A")</f>
        <v>CF467-D2-A</v>
      </c>
      <c r="C121" s="276"/>
      <c r="D121" s="280"/>
    </row>
    <row r="122" spans="1:4" ht="13.2">
      <c r="A122" s="48" t="s">
        <v>260</v>
      </c>
      <c r="B122" s="49" t="str">
        <f>HYPERLINK("http://codeforces.com/contest/525/problem/A","CF525-D2-A")</f>
        <v>CF525-D2-A</v>
      </c>
      <c r="C122" s="280"/>
      <c r="D122" s="280"/>
    </row>
    <row r="123" spans="1:4" ht="13.2">
      <c r="A123" s="43" t="s">
        <v>261</v>
      </c>
      <c r="B123" s="86" t="str">
        <f>HYPERLINK("http://codeforces.com/contest/581/problem/A","CF581-D2-A")</f>
        <v>CF581-D2-A</v>
      </c>
      <c r="C123" s="276"/>
      <c r="D123" s="280"/>
    </row>
    <row r="124" spans="1:4" ht="13.2">
      <c r="A124" s="43" t="s">
        <v>262</v>
      </c>
      <c r="B124" s="86" t="str">
        <f>HYPERLINK("http://codeforces.com/contest/510/problem/A","CF510-D2-A")</f>
        <v>CF510-D2-A</v>
      </c>
      <c r="C124" s="276"/>
      <c r="D124" s="280"/>
    </row>
    <row r="125" spans="1:4" ht="13.2">
      <c r="A125" s="43" t="s">
        <v>263</v>
      </c>
      <c r="B125" s="86" t="str">
        <f>HYPERLINK("http://codeforces.com/contest/723/problem/A","CF723-D2-A")</f>
        <v>CF723-D2-A</v>
      </c>
      <c r="C125" s="276"/>
      <c r="D125" s="280"/>
    </row>
    <row r="126" spans="1:4" ht="13.2">
      <c r="A126" s="43" t="s">
        <v>264</v>
      </c>
      <c r="B126" s="86" t="str">
        <f>HYPERLINK("http://codeforces.com/contest/617/problem/A","CF617-D2-A")</f>
        <v>CF617-D2-A</v>
      </c>
      <c r="C126" s="276"/>
      <c r="D126" s="280"/>
    </row>
    <row r="127" spans="1:4" ht="13.2">
      <c r="A127" s="43" t="s">
        <v>265</v>
      </c>
      <c r="B127" s="86" t="str">
        <f>HYPERLINK("http://codeforces.com/contest/255/problem/A","CF255-D2-A")</f>
        <v>CF255-D2-A</v>
      </c>
      <c r="C127" s="276"/>
      <c r="D127" s="280"/>
    </row>
    <row r="128" spans="1:4" ht="13.2">
      <c r="A128" s="43" t="s">
        <v>266</v>
      </c>
      <c r="B128" s="86" t="str">
        <f>HYPERLINK("http://codeforces.com/contest/61/problem/A","CF61-D2-A")</f>
        <v>CF61-D2-A</v>
      </c>
      <c r="C128" s="276"/>
      <c r="D128" s="280"/>
    </row>
    <row r="129" spans="1:4" ht="13.2">
      <c r="A129" s="43" t="s">
        <v>267</v>
      </c>
      <c r="B129" s="86" t="str">
        <f>HYPERLINK("http://codeforces.com/contest/454/problem/A","CF454-D2-A")</f>
        <v>CF454-D2-A</v>
      </c>
      <c r="C129" s="276"/>
      <c r="D129" s="280"/>
    </row>
    <row r="130" spans="1:4" ht="13.2">
      <c r="A130" s="43" t="s">
        <v>268</v>
      </c>
      <c r="B130" s="86" t="str">
        <f>HYPERLINK("http://codeforces.com/contest/721/problem/A","CF721-D2-A")</f>
        <v>CF721-D2-A</v>
      </c>
      <c r="C130" s="276"/>
      <c r="D130" s="280"/>
    </row>
    <row r="131" spans="1:4" ht="13.2">
      <c r="A131" s="43" t="s">
        <v>269</v>
      </c>
      <c r="B131" s="86" t="str">
        <f>HYPERLINK("http://codeforces.com/contest/546/problem/A","CF546-D2-A")</f>
        <v>CF546-D2-A</v>
      </c>
      <c r="C131" s="276"/>
      <c r="D131" s="280"/>
    </row>
    <row r="132" spans="1:4" ht="13.2">
      <c r="A132" s="43"/>
      <c r="B132" s="73"/>
      <c r="C132" s="276"/>
      <c r="D132" s="280"/>
    </row>
    <row r="133" spans="1:4" ht="13.2">
      <c r="A133" s="43" t="s">
        <v>270</v>
      </c>
      <c r="B133" s="86" t="str">
        <f>HYPERLINK("http://codeforces.com/contest/711/problem/A","CF711-D2-A")</f>
        <v>CF711-D2-A</v>
      </c>
      <c r="C133" s="276"/>
      <c r="D133" s="280"/>
    </row>
    <row r="134" spans="1:4" ht="13.2">
      <c r="A134" s="48" t="s">
        <v>271</v>
      </c>
      <c r="B134" s="49" t="str">
        <f>HYPERLINK("http://codeforces.com/contest/129/problem/A","CF129-D2-A")</f>
        <v>CF129-D2-A</v>
      </c>
      <c r="C134" s="276"/>
      <c r="D134" s="280"/>
    </row>
    <row r="135" spans="1:4" ht="13.2">
      <c r="A135" s="54" t="s">
        <v>272</v>
      </c>
      <c r="B135" s="44" t="str">
        <f>HYPERLINK("http://codeforces.com/contest/22/problem/A","CF22-D2-A")</f>
        <v>CF22-D2-A</v>
      </c>
      <c r="C135" s="276"/>
      <c r="D135" s="280"/>
    </row>
    <row r="136" spans="1:4" ht="13.2">
      <c r="A136" s="54" t="s">
        <v>273</v>
      </c>
      <c r="B136" s="44" t="str">
        <f>HYPERLINK("http://codeforces.com/contest/110/problem/A","CF110-D2-A")</f>
        <v>CF110-D2-A</v>
      </c>
      <c r="C136" s="276"/>
      <c r="D136" s="280"/>
    </row>
    <row r="137" spans="1:4" ht="13.2">
      <c r="A137" s="43" t="s">
        <v>274</v>
      </c>
      <c r="B137" s="86" t="str">
        <f>HYPERLINK("http://codeforces.com/contest/378/problem/A","CF378-D2-A")</f>
        <v>CF378-D2-A</v>
      </c>
      <c r="C137" s="276"/>
      <c r="D137" s="280"/>
    </row>
    <row r="138" spans="1:4" ht="13.2">
      <c r="A138" s="54" t="s">
        <v>275</v>
      </c>
      <c r="B138" s="44" t="str">
        <f>HYPERLINK("http://codeforces.com/contest/681/problem/A","CF681-D2-A")</f>
        <v>CF681-D2-A</v>
      </c>
      <c r="C138" s="276"/>
      <c r="D138" s="280"/>
    </row>
    <row r="139" spans="1:4" ht="13.2">
      <c r="A139" s="43" t="s">
        <v>276</v>
      </c>
      <c r="B139" s="86" t="str">
        <f>HYPERLINK("http://codeforces.com/contest/271/problem/A","CF271-D2-A")</f>
        <v>CF271-D2-A</v>
      </c>
      <c r="C139" s="276"/>
      <c r="D139" s="280"/>
    </row>
    <row r="140" spans="1:4" ht="13.2">
      <c r="A140" s="43" t="s">
        <v>277</v>
      </c>
      <c r="B140" s="86" t="str">
        <f>HYPERLINK("http://codeforces.com/contest/629/problem/A","CF629-D2-A")</f>
        <v>CF629-D2-A</v>
      </c>
      <c r="C140" s="276"/>
      <c r="D140" s="280"/>
    </row>
    <row r="141" spans="1:4" ht="13.2">
      <c r="A141" s="43" t="s">
        <v>278</v>
      </c>
      <c r="B141" s="86" t="str">
        <f>HYPERLINK("http://codeforces.com/contest/415/problem/A","CF415-D2-A")</f>
        <v>CF415-D2-A</v>
      </c>
      <c r="C141" s="276"/>
      <c r="D141" s="280"/>
    </row>
    <row r="142" spans="1:4" ht="13.2">
      <c r="A142" s="43" t="s">
        <v>279</v>
      </c>
      <c r="B142" s="86" t="str">
        <f>HYPERLINK("http://codeforces.com/contest/47/problem/A","CF47-D2-A")</f>
        <v>CF47-D2-A</v>
      </c>
      <c r="C142" s="276"/>
      <c r="D142" s="280"/>
    </row>
    <row r="143" spans="1:4" ht="13.2">
      <c r="A143" s="43"/>
      <c r="B143" s="73"/>
      <c r="C143" s="276"/>
      <c r="D143" s="280"/>
    </row>
    <row r="144" spans="1:4" ht="13.2">
      <c r="A144" s="43" t="s">
        <v>280</v>
      </c>
      <c r="B144" s="86" t="str">
        <f>HYPERLINK("http://codeforces.com/contest/262/problem/A","CF262-D2-A")</f>
        <v>CF262-D2-A</v>
      </c>
      <c r="C144" s="276"/>
      <c r="D144" s="280"/>
    </row>
    <row r="145" spans="1:4" ht="13.2">
      <c r="A145" s="43" t="s">
        <v>281</v>
      </c>
      <c r="B145" s="86" t="str">
        <f>HYPERLINK("http://codeforces.com/contest/84/problem/A","CF84-D2-A")</f>
        <v>CF84-D2-A</v>
      </c>
      <c r="C145" s="276"/>
      <c r="D145" s="280"/>
    </row>
    <row r="146" spans="1:4" ht="13.2">
      <c r="A146" s="43" t="s">
        <v>282</v>
      </c>
      <c r="B146" s="86" t="str">
        <f>HYPERLINK("http://codeforces.com/contest/361/problem/A","CF361-D2-A")</f>
        <v>CF361-D2-A</v>
      </c>
      <c r="C146" s="276"/>
      <c r="D146" s="280"/>
    </row>
    <row r="147" spans="1:4" ht="13.2">
      <c r="A147" s="43" t="s">
        <v>283</v>
      </c>
      <c r="B147" s="86" t="str">
        <f>HYPERLINK("http://codeforces.com/contest/701/problem/A","CF701-D2-A")</f>
        <v>CF701-D2-A</v>
      </c>
      <c r="C147" s="276"/>
      <c r="D147" s="280"/>
    </row>
    <row r="148" spans="1:4" ht="13.2">
      <c r="A148" s="43" t="s">
        <v>284</v>
      </c>
      <c r="B148" s="86" t="str">
        <f>HYPERLINK("http://codeforces.com/contest/591/problem/A","CF591-D2-A")</f>
        <v>CF591-D2-A</v>
      </c>
      <c r="C148" s="276"/>
      <c r="D148" s="280"/>
    </row>
    <row r="149" spans="1:4" ht="13.2">
      <c r="A149" s="43" t="s">
        <v>285</v>
      </c>
      <c r="B149" s="86" t="str">
        <f>HYPERLINK("http://codeforces.com/contest/540/problem/A","CF540-D2-A")</f>
        <v>CF540-D2-A</v>
      </c>
      <c r="C149" s="276"/>
      <c r="D149" s="280"/>
    </row>
    <row r="150" spans="1:4" ht="13.2">
      <c r="A150" s="43" t="s">
        <v>286</v>
      </c>
      <c r="B150" s="86" t="str">
        <f>HYPERLINK("http://codeforces.com/contest/672/problem/A","CF672-D2-A")</f>
        <v>CF672-D2-A</v>
      </c>
      <c r="C150" s="276"/>
      <c r="D150" s="280"/>
    </row>
    <row r="151" spans="1:4" ht="13.2">
      <c r="A151" s="48" t="s">
        <v>287</v>
      </c>
      <c r="B151" s="49" t="str">
        <f>HYPERLINK("http://codeforces.com/contest/151/problem/A","CF151-D2-A")</f>
        <v>CF151-D2-A</v>
      </c>
      <c r="C151" s="276"/>
      <c r="D151" s="280"/>
    </row>
    <row r="152" spans="1:4" ht="13.2">
      <c r="A152" s="48" t="s">
        <v>288</v>
      </c>
      <c r="B152" s="49" t="str">
        <f>HYPERLINK("http://codeforces.com/contest/384/problem/A","CF384-D2-A")</f>
        <v>CF384-D2-A</v>
      </c>
      <c r="C152" s="276"/>
      <c r="D152" s="280"/>
    </row>
    <row r="153" spans="1:4" ht="13.2">
      <c r="A153" s="43" t="s">
        <v>289</v>
      </c>
      <c r="B153" s="86" t="str">
        <f>HYPERLINK("http://codeforces.com/contest/551/problem/A","CF551-D2-A")</f>
        <v>CF551-D2-A</v>
      </c>
      <c r="C153" s="276"/>
      <c r="D153" s="280"/>
    </row>
    <row r="154" spans="1:4" ht="13.2">
      <c r="A154" s="43"/>
      <c r="B154" s="73"/>
      <c r="C154" s="276"/>
      <c r="D154" s="280"/>
    </row>
    <row r="155" spans="1:4" ht="13.2">
      <c r="A155" s="48" t="s">
        <v>290</v>
      </c>
      <c r="B155" s="49" t="str">
        <f>HYPERLINK("http://codeforces.com/contest/278/problem/A","CF278-D2-A")</f>
        <v>CF278-D2-A</v>
      </c>
      <c r="C155" s="276"/>
      <c r="D155" s="280"/>
    </row>
    <row r="156" spans="1:4" ht="13.2">
      <c r="A156" s="43" t="s">
        <v>291</v>
      </c>
      <c r="B156" s="86" t="str">
        <f>HYPERLINK("http://codeforces.com/contest/599/problem/A","CF599-D2-A")</f>
        <v>CF599-D2-A</v>
      </c>
      <c r="C156" s="276"/>
      <c r="D156" s="280"/>
    </row>
    <row r="157" spans="1:4" ht="13.2">
      <c r="A157" s="43" t="s">
        <v>292</v>
      </c>
      <c r="B157" s="86" t="str">
        <f>HYPERLINK("http://codeforces.com/contest/432/problem/A","CF432-D2-A")</f>
        <v>CF432-D2-A</v>
      </c>
      <c r="C157" s="276"/>
      <c r="D157" s="280"/>
    </row>
    <row r="158" spans="1:4" ht="13.2">
      <c r="A158" s="43" t="s">
        <v>293</v>
      </c>
      <c r="B158" s="86" t="str">
        <f>HYPERLINK("http://codeforces.com/contest/492/problem/A","CF492-D2-A")</f>
        <v>CF492-D2-A</v>
      </c>
      <c r="C158" s="276"/>
      <c r="D158" s="280"/>
    </row>
    <row r="159" spans="1:4" ht="13.2">
      <c r="A159" s="48" t="s">
        <v>294</v>
      </c>
      <c r="B159" s="49" t="str">
        <f>HYPERLINK("http://codeforces.com/contest/148/problem/A","CF148-D2-A")</f>
        <v>CF148-D2-A</v>
      </c>
      <c r="C159" s="276"/>
      <c r="D159" s="280"/>
    </row>
    <row r="160" spans="1:4" ht="13.2">
      <c r="A160" s="43" t="s">
        <v>295</v>
      </c>
      <c r="B160" s="86" t="str">
        <f>HYPERLINK("http://codeforces.com/contest/330/problem/A","CF330-D2-A")</f>
        <v>CF330-D2-A</v>
      </c>
      <c r="C160" s="276"/>
      <c r="D160" s="280"/>
    </row>
    <row r="161" spans="1:4" ht="13.2">
      <c r="A161" s="48" t="s">
        <v>296</v>
      </c>
      <c r="B161" s="49" t="str">
        <f>HYPERLINK("http://codeforces.com/contest/16/problem/A","CF16-D2-A")</f>
        <v>CF16-D2-A</v>
      </c>
      <c r="C161" s="276"/>
      <c r="D161" s="280"/>
    </row>
    <row r="162" spans="1:4" ht="13.2">
      <c r="A162" s="43" t="s">
        <v>297</v>
      </c>
      <c r="B162" s="86" t="str">
        <f>HYPERLINK("http://codeforces.com/contest/248/problem/A","CF248-D2-A")</f>
        <v>CF248-D2-A</v>
      </c>
      <c r="C162" s="276"/>
      <c r="D162" s="280"/>
    </row>
    <row r="163" spans="1:4" ht="13.2">
      <c r="A163" s="43" t="s">
        <v>298</v>
      </c>
      <c r="B163" s="86" t="str">
        <f>HYPERLINK("http://codeforces.com/contest/363/problem/A","CF363-D2-A")</f>
        <v>CF363-D2-A</v>
      </c>
      <c r="C163" s="276"/>
      <c r="D163" s="280"/>
    </row>
    <row r="164" spans="1:4" ht="13.2">
      <c r="A164" s="43"/>
      <c r="B164" s="73"/>
      <c r="C164" s="276"/>
      <c r="D164" s="280"/>
    </row>
    <row r="165" spans="1:4" ht="13.2">
      <c r="A165" s="48" t="s">
        <v>299</v>
      </c>
      <c r="B165" s="49" t="str">
        <f>HYPERLINK("http://codeforces.com/contest/141/problem/A","CF141-D2-A")</f>
        <v>CF141-D2-A</v>
      </c>
      <c r="C165" s="276"/>
      <c r="D165" s="280"/>
    </row>
    <row r="166" spans="1:4" ht="13.2">
      <c r="A166" s="43" t="s">
        <v>300</v>
      </c>
      <c r="B166" s="86" t="str">
        <f>HYPERLINK("http://codeforces.com/contest/275/problem/A","CF275-D2-A")</f>
        <v>CF275-D2-A</v>
      </c>
      <c r="C166" s="276"/>
      <c r="D166" s="280"/>
    </row>
    <row r="167" spans="1:4" ht="13.2">
      <c r="A167" s="43" t="s">
        <v>301</v>
      </c>
      <c r="B167" s="86" t="str">
        <f>HYPERLINK("http://codeforces.com/contest/276/problem/A","CF276-D2-A")</f>
        <v>CF276-D2-A</v>
      </c>
      <c r="C167" s="276"/>
      <c r="D167" s="280"/>
    </row>
    <row r="168" spans="1:4" ht="13.2">
      <c r="A168" s="43" t="s">
        <v>302</v>
      </c>
      <c r="B168" s="86" t="str">
        <f>HYPERLINK("http://codeforces.com/contest/588/problem/A","CF588-D2-A")</f>
        <v>CF588-D2-A</v>
      </c>
      <c r="C168" s="276"/>
      <c r="D168" s="280"/>
    </row>
    <row r="169" spans="1:4" ht="13.2">
      <c r="A169" s="43" t="s">
        <v>303</v>
      </c>
      <c r="B169" s="86" t="str">
        <f>HYPERLINK("http://codeforces.com/contest/401/problem/A","CF401-D2-A")</f>
        <v>CF401-D2-A</v>
      </c>
      <c r="C169" s="276"/>
      <c r="D169" s="280"/>
    </row>
    <row r="170" spans="1:4" ht="13.2">
      <c r="A170" s="43" t="s">
        <v>304</v>
      </c>
      <c r="B170" s="86" t="str">
        <f>HYPERLINK("http://codeforces.com/contest/424/problem/A","CF424-D2-A")</f>
        <v>CF424-D2-A</v>
      </c>
      <c r="C170" s="276"/>
      <c r="D170" s="280"/>
    </row>
    <row r="171" spans="1:4" ht="13.2">
      <c r="A171" s="43" t="s">
        <v>305</v>
      </c>
      <c r="B171" s="86" t="str">
        <f>HYPERLINK("http://codeforces.com/contest/144/problem/A","CF144-D2-A")</f>
        <v>CF144-D2-A</v>
      </c>
      <c r="C171" s="276"/>
      <c r="D171" s="280"/>
    </row>
    <row r="172" spans="1:4" ht="13.2">
      <c r="A172" s="43" t="s">
        <v>306</v>
      </c>
      <c r="B172" s="86" t="str">
        <f>HYPERLINK("http://codeforces.com/contest/63/problem/A","CF63-D2-A")</f>
        <v>CF63-D2-A</v>
      </c>
      <c r="C172" s="276"/>
      <c r="D172" s="280"/>
    </row>
    <row r="173" spans="1:4" ht="13.2">
      <c r="A173" s="43" t="s">
        <v>307</v>
      </c>
      <c r="B173" s="86" t="str">
        <f>HYPERLINK("http://codeforces.com/contest/202/problem/A","CF202-D2-A")</f>
        <v>CF202-D2-A</v>
      </c>
      <c r="C173" s="276"/>
      <c r="D173" s="280"/>
    </row>
    <row r="174" spans="1:4" ht="13.2">
      <c r="A174" s="43" t="s">
        <v>308</v>
      </c>
      <c r="B174" s="86" t="str">
        <f>HYPERLINK("http://codeforces.com/contest/334/problem/A","CF334-D2-A")</f>
        <v>CF334-D2-A</v>
      </c>
      <c r="C174" s="276"/>
      <c r="D174" s="280"/>
    </row>
    <row r="175" spans="1:4" ht="13.2">
      <c r="A175" s="43"/>
      <c r="B175" s="73"/>
      <c r="C175" s="276"/>
      <c r="D175" s="280"/>
    </row>
    <row r="176" spans="1:4" ht="13.2">
      <c r="A176" s="48" t="s">
        <v>309</v>
      </c>
      <c r="B176" s="53" t="str">
        <f>HYPERLINK("http://codeforces.com/contest/451/problem/A","CF451-D2-A")</f>
        <v>CF451-D2-A</v>
      </c>
      <c r="C176" s="276"/>
      <c r="D176" s="280"/>
    </row>
    <row r="177" spans="1:4" ht="13.2">
      <c r="A177" s="48" t="s">
        <v>310</v>
      </c>
      <c r="B177" s="53" t="str">
        <f>HYPERLINK("http://codeforces.com/contest/460/problem/A","CF460-D2-A")</f>
        <v>CF460-D2-A</v>
      </c>
      <c r="C177" s="276"/>
      <c r="D177" s="280"/>
    </row>
    <row r="178" spans="1:4" ht="13.2">
      <c r="A178" s="43" t="s">
        <v>311</v>
      </c>
      <c r="B178" s="86" t="str">
        <f>HYPERLINK("http://codeforces.com/contest/272/problem/A","CF272-D2-A")</f>
        <v>CF272-D2-A</v>
      </c>
      <c r="C178" s="276"/>
      <c r="D178" s="280"/>
    </row>
    <row r="179" spans="1:4" ht="13.2">
      <c r="A179" s="43" t="s">
        <v>312</v>
      </c>
      <c r="B179" s="86" t="str">
        <f>HYPERLINK("http://codeforces.com/contest/676/problem/A","CF676-D2-A")</f>
        <v>CF676-D2-A</v>
      </c>
      <c r="C179" s="276"/>
      <c r="D179" s="280"/>
    </row>
    <row r="180" spans="1:4" ht="13.2">
      <c r="A180" s="48" t="s">
        <v>313</v>
      </c>
      <c r="B180" s="53" t="str">
        <f>HYPERLINK("http://codeforces.com/contest/545/problem/A","CF545-D2-A")</f>
        <v>CF545-D2-A</v>
      </c>
      <c r="C180" s="276"/>
      <c r="D180" s="280"/>
    </row>
    <row r="181" spans="1:4" ht="13.2">
      <c r="A181" s="43" t="s">
        <v>314</v>
      </c>
      <c r="B181" s="86" t="str">
        <f>HYPERLINK("http://codeforces.com/contest/447/problem/A","CF447-D2-A")</f>
        <v>CF447-D2-A</v>
      </c>
      <c r="C181" s="276"/>
      <c r="D181" s="280"/>
    </row>
    <row r="182" spans="1:4" ht="13.2">
      <c r="A182" s="48" t="s">
        <v>315</v>
      </c>
      <c r="B182" s="53" t="str">
        <f>HYPERLINK("http://codeforces.com/contest/133/problem/A","CF133-D2-A")</f>
        <v>CF133-D2-A</v>
      </c>
      <c r="C182" s="276"/>
      <c r="D182" s="280"/>
    </row>
    <row r="183" spans="1:4" ht="13.2">
      <c r="A183" s="48" t="s">
        <v>316</v>
      </c>
      <c r="B183" s="53" t="str">
        <f>HYPERLINK("http://codeforces.com/contest/670/problem/A","CF670-D2-A")</f>
        <v>CF670-D2-A</v>
      </c>
      <c r="C183" s="276"/>
      <c r="D183" s="280"/>
    </row>
    <row r="184" spans="1:4" ht="13.2">
      <c r="A184" s="43" t="s">
        <v>317</v>
      </c>
      <c r="B184" s="86" t="str">
        <f>HYPERLINK("http://codeforces.com/contest/244/problem/A","CF244-D2-A")</f>
        <v>CF244-D2-A</v>
      </c>
      <c r="C184" s="276"/>
      <c r="D184" s="280"/>
    </row>
    <row r="185" spans="1:4" ht="13.2">
      <c r="A185" s="48" t="s">
        <v>318</v>
      </c>
      <c r="B185" s="53" t="str">
        <f>HYPERLINK("http://codeforces.com/contest/78/problem/A","CF78-D2-A")</f>
        <v>CF78-D2-A</v>
      </c>
      <c r="C185" s="276"/>
      <c r="D185" s="280"/>
    </row>
    <row r="186" spans="1:4" ht="13.2">
      <c r="A186" s="48"/>
      <c r="B186" s="53"/>
      <c r="C186" s="276"/>
      <c r="D186" s="280"/>
    </row>
    <row r="187" spans="1:4" ht="13.2">
      <c r="A187" s="43" t="s">
        <v>319</v>
      </c>
      <c r="B187" s="86" t="str">
        <f>HYPERLINK("http://codeforces.com/contest/214/problem/A","CF214-D2-A")</f>
        <v>CF214-D2-A</v>
      </c>
      <c r="C187" s="276"/>
      <c r="D187" s="280"/>
    </row>
    <row r="188" spans="1:4" ht="13.2">
      <c r="A188" s="48" t="s">
        <v>320</v>
      </c>
      <c r="B188" s="53" t="str">
        <f>HYPERLINK("http://codeforces.com/contest/25/problem/A","CF25-D2-A")</f>
        <v>CF25-D2-A</v>
      </c>
      <c r="C188" s="276"/>
      <c r="D188" s="280"/>
    </row>
    <row r="189" spans="1:4" ht="13.2">
      <c r="A189" s="43" t="s">
        <v>321</v>
      </c>
      <c r="B189" s="86" t="str">
        <f>HYPERLINK("http://codeforces.com/contest/501/problem/A","CF501-D2-A")</f>
        <v>CF501-D2-A</v>
      </c>
      <c r="C189" s="276"/>
      <c r="D189" s="280"/>
    </row>
    <row r="190" spans="1:4" ht="13.2">
      <c r="A190" s="48" t="s">
        <v>322</v>
      </c>
      <c r="B190" s="53" t="str">
        <f>HYPERLINK("http://codeforces.com/contest/94/problem/A","CF94-D2-A")</f>
        <v>CF94-D2-A</v>
      </c>
      <c r="C190" s="276"/>
      <c r="D190" s="280"/>
    </row>
    <row r="191" spans="1:4" ht="13.2">
      <c r="A191" s="43" t="s">
        <v>323</v>
      </c>
      <c r="B191" s="86" t="str">
        <f>HYPERLINK("http://codeforces.com/contest/369/problem/A","CF369-D2-A")</f>
        <v>CF369-D2-A</v>
      </c>
      <c r="C191" s="276"/>
      <c r="D191" s="280"/>
    </row>
    <row r="192" spans="1:4" ht="13.2">
      <c r="A192" s="48" t="s">
        <v>324</v>
      </c>
      <c r="B192" s="53" t="str">
        <f>HYPERLINK("http://codeforces.com/contest/496/problem/A","CF496-D2-A")</f>
        <v>CF496-D2-A</v>
      </c>
      <c r="C192" s="276"/>
      <c r="D192" s="280"/>
    </row>
    <row r="193" spans="1:4" ht="13.2">
      <c r="A193" s="43" t="s">
        <v>325</v>
      </c>
      <c r="B193" s="86" t="str">
        <f>HYPERLINK("http://codeforces.com/contest/221/problem/A","CF221-D2-A")</f>
        <v>CF221-D2-A</v>
      </c>
      <c r="C193" s="276"/>
      <c r="D193" s="280"/>
    </row>
    <row r="194" spans="1:4" ht="13.2">
      <c r="A194" s="43" t="s">
        <v>326</v>
      </c>
      <c r="B194" s="86" t="str">
        <f>HYPERLINK("http://codeforces.com/contest/373/problem/A","CF373-D2-A")</f>
        <v>CF373-D2-A</v>
      </c>
      <c r="C194" s="276"/>
      <c r="D194" s="280"/>
    </row>
    <row r="195" spans="1:4" ht="13.2">
      <c r="A195" s="43" t="s">
        <v>327</v>
      </c>
      <c r="B195" s="86" t="str">
        <f>HYPERLINK("http://codeforces.com/contest/14/problem/A","CF14-D2-A")</f>
        <v>CF14-D2-A</v>
      </c>
      <c r="C195" s="276"/>
      <c r="D195" s="280"/>
    </row>
    <row r="196" spans="1:4" ht="13.2">
      <c r="A196" s="43" t="s">
        <v>328</v>
      </c>
      <c r="B196" s="86" t="str">
        <f>HYPERLINK("http://codeforces.com/contest/580/problem/A","CF580-D2-A")</f>
        <v>CF580-D2-A</v>
      </c>
      <c r="C196" s="276"/>
      <c r="D196" s="280"/>
    </row>
    <row r="197" spans="1:4" ht="13.2">
      <c r="A197" s="43"/>
      <c r="B197" s="73"/>
      <c r="C197" s="276"/>
      <c r="D197" s="280"/>
    </row>
    <row r="198" spans="1:4" ht="13.2">
      <c r="A198" s="43" t="s">
        <v>329</v>
      </c>
      <c r="B198" s="86" t="str">
        <f>HYPERLINK("http://codeforces.com/contest/313/problem/A","CF313-D2-A")</f>
        <v>CF313-D2-A</v>
      </c>
      <c r="C198" s="276"/>
      <c r="D198" s="280"/>
    </row>
    <row r="199" spans="1:4" ht="13.2">
      <c r="A199" s="43" t="s">
        <v>330</v>
      </c>
      <c r="B199" s="86" t="str">
        <f>HYPERLINK("http://codeforces.com/contest/604/problem/A","CF604-D2-A")</f>
        <v>CF604-D2-A</v>
      </c>
      <c r="C199" s="276"/>
      <c r="D199" s="280"/>
    </row>
    <row r="200" spans="1:4" ht="13.2">
      <c r="A200" s="43" t="s">
        <v>331</v>
      </c>
      <c r="B200" s="86" t="str">
        <f>HYPERLINK("http://codeforces.com/contest/34/problem/A","CF34-D2-A")</f>
        <v>CF34-D2-A</v>
      </c>
      <c r="C200" s="276"/>
      <c r="D200" s="280"/>
    </row>
    <row r="201" spans="1:4" ht="13.2">
      <c r="A201" s="43" t="s">
        <v>332</v>
      </c>
      <c r="B201" s="86" t="str">
        <f>HYPERLINK("http://codeforces.com/contest/146/problem/A","CF146-D2-A")</f>
        <v>CF146-D2-A</v>
      </c>
      <c r="C201" s="276"/>
      <c r="D201" s="280"/>
    </row>
    <row r="202" spans="1:4" ht="13.2">
      <c r="A202" s="43" t="s">
        <v>333</v>
      </c>
      <c r="B202" s="86" t="str">
        <f>HYPERLINK("http://codeforces.com/contest/58/problem/A","CF58-D2-A")</f>
        <v>CF58-D2-A</v>
      </c>
      <c r="C202" s="276"/>
      <c r="D202" s="280"/>
    </row>
    <row r="203" spans="1:4" ht="13.2">
      <c r="A203" s="43" t="s">
        <v>334</v>
      </c>
      <c r="B203" s="86" t="str">
        <f>HYPERLINK("http://codeforces.com/contest/387/problem/A","CF387-D2-A")</f>
        <v>CF387-D2-A</v>
      </c>
      <c r="C203" s="276"/>
      <c r="D203" s="280"/>
    </row>
    <row r="204" spans="1:4" ht="13.2">
      <c r="A204" s="43" t="s">
        <v>335</v>
      </c>
      <c r="B204" s="86" t="str">
        <f>HYPERLINK("http://codeforces.com/contest/735/problem/A","CF735-D2-A")</f>
        <v>CF735-D2-A</v>
      </c>
      <c r="C204" s="276"/>
      <c r="D204" s="280"/>
    </row>
    <row r="205" spans="1:4" ht="13.2">
      <c r="A205" s="48" t="s">
        <v>336</v>
      </c>
      <c r="B205" s="53" t="str">
        <f>HYPERLINK("http://codeforces.com/contest/124/problem/A","CF124-D2-A")</f>
        <v>CF124-D2-A</v>
      </c>
      <c r="C205" s="276"/>
      <c r="D205" s="280"/>
    </row>
    <row r="206" spans="1:4" ht="13.2">
      <c r="A206" s="43" t="s">
        <v>337</v>
      </c>
      <c r="B206" s="86" t="str">
        <f>HYPERLINK("http://codeforces.com/contest/359/problem/A","CF359-D2-A")</f>
        <v>CF359-D2-A</v>
      </c>
      <c r="C206" s="276"/>
      <c r="D206" s="280"/>
    </row>
    <row r="207" spans="1:4" ht="13.2">
      <c r="A207" s="43" t="s">
        <v>338</v>
      </c>
      <c r="B207" s="86" t="str">
        <f>HYPERLINK("http://codeforces.com/contest/535/problem/A","CF535-D2-A")</f>
        <v>CF535-D2-A</v>
      </c>
      <c r="C207" s="276"/>
      <c r="D207" s="280"/>
    </row>
    <row r="208" spans="1:4" ht="13.2">
      <c r="A208" s="43"/>
      <c r="B208" s="73"/>
      <c r="C208" s="276"/>
      <c r="D208" s="280"/>
    </row>
    <row r="209" spans="1:4" ht="13.2">
      <c r="A209" s="43" t="s">
        <v>339</v>
      </c>
      <c r="B209" s="86" t="str">
        <f>HYPERLINK("http://codeforces.com/contest/4/problem/A","CF4-D2-A")</f>
        <v>CF4-D2-A</v>
      </c>
      <c r="C209" s="276"/>
      <c r="D209" s="280"/>
    </row>
    <row r="210" spans="1:4" ht="13.2">
      <c r="A210" s="43" t="s">
        <v>340</v>
      </c>
      <c r="B210" s="86" t="str">
        <f>HYPERLINK("http://codeforces.com/contest/195/problem/A","CF195-D2-A")</f>
        <v>CF195-D2-A</v>
      </c>
      <c r="C210" s="276"/>
      <c r="D210" s="280"/>
    </row>
    <row r="211" spans="1:4" ht="13.2">
      <c r="A211" s="43" t="s">
        <v>341</v>
      </c>
      <c r="B211" s="86" t="str">
        <f>HYPERLINK("http://codeforces.com/contest/478/problem/A","CF478-D2-A")</f>
        <v>CF478-D2-A</v>
      </c>
      <c r="C211" s="276"/>
      <c r="D211" s="280"/>
    </row>
    <row r="212" spans="1:4" ht="13.2">
      <c r="A212" s="43" t="s">
        <v>342</v>
      </c>
      <c r="B212" s="86" t="str">
        <f>HYPERLINK("http://codeforces.com/contest/608/problem/A","CF608-D2-A")</f>
        <v>CF608-D2-A</v>
      </c>
      <c r="C212" s="276"/>
      <c r="D212" s="280"/>
    </row>
    <row r="213" spans="1:4" ht="13.2">
      <c r="A213" s="43" t="s">
        <v>343</v>
      </c>
      <c r="B213" s="86" t="str">
        <f>HYPERLINK("http://codeforces.com/contest/435/problem/A","CF435-D2-A")</f>
        <v>CF435-D2-A</v>
      </c>
      <c r="C213" s="276"/>
      <c r="D213" s="280"/>
    </row>
    <row r="214" spans="1:4" ht="13.2">
      <c r="A214" s="43" t="s">
        <v>344</v>
      </c>
      <c r="B214" s="86" t="str">
        <f>HYPERLINK("http://codeforces.com/contest/215/problem/A","CF215-D2-A")</f>
        <v>CF215-D2-A</v>
      </c>
      <c r="C214" s="276"/>
      <c r="D214" s="280"/>
    </row>
    <row r="215" spans="1:4" ht="13.2">
      <c r="A215" s="43" t="s">
        <v>345</v>
      </c>
      <c r="B215" s="86" t="str">
        <f>HYPERLINK("http://codeforces.com/contest/205/problem/A","CF205-D2-A")</f>
        <v>CF205-D2-A</v>
      </c>
      <c r="C215" s="276"/>
      <c r="D215" s="280"/>
    </row>
    <row r="216" spans="1:4" ht="13.2">
      <c r="A216" s="43" t="s">
        <v>346</v>
      </c>
      <c r="B216" s="86" t="str">
        <f>HYPERLINK("http://codeforces.com/contest/507/problem/A","CF507-D2-A")</f>
        <v>CF507-D2-A</v>
      </c>
      <c r="C216" s="276"/>
      <c r="D216" s="280"/>
    </row>
    <row r="217" spans="1:4" ht="13.2">
      <c r="A217" s="43" t="s">
        <v>347</v>
      </c>
      <c r="B217" s="86" t="str">
        <f>HYPERLINK("http://codeforces.com/contest/152/problem/A","CF152-D2-A")</f>
        <v>CF152-D2-A</v>
      </c>
      <c r="C217" s="276"/>
      <c r="D217" s="280"/>
    </row>
    <row r="218" spans="1:4" ht="13.2">
      <c r="A218" s="43" t="s">
        <v>348</v>
      </c>
      <c r="B218" s="86" t="str">
        <f>HYPERLINK("http://codeforces.com/contest/137/problem/A","CF137-D2-A")</f>
        <v>CF137-D2-A</v>
      </c>
      <c r="C218" s="276"/>
      <c r="D218" s="280"/>
    </row>
    <row r="219" spans="1:4" ht="13.2">
      <c r="A219" s="43"/>
      <c r="B219" s="73"/>
      <c r="C219" s="276"/>
      <c r="D219" s="280"/>
    </row>
    <row r="220" spans="1:4" ht="13.2">
      <c r="A220" s="43" t="s">
        <v>349</v>
      </c>
      <c r="B220" s="86" t="str">
        <f>HYPERLINK("http://codeforces.com/contest/149/problem/A","CF149-D2-A")</f>
        <v>CF149-D2-A</v>
      </c>
      <c r="C220" s="276"/>
      <c r="D220" s="280"/>
    </row>
    <row r="221" spans="1:4" ht="13.2">
      <c r="A221" s="48" t="s">
        <v>350</v>
      </c>
      <c r="B221" s="53" t="str">
        <f>HYPERLINK("http://codeforces.com/contest/515/problem/A","CF515-D2-A")</f>
        <v>CF515-D2-A</v>
      </c>
      <c r="C221" s="276"/>
      <c r="D221" s="280"/>
    </row>
    <row r="222" spans="1:4" ht="13.2">
      <c r="A222" s="48" t="s">
        <v>351</v>
      </c>
      <c r="B222" s="53" t="str">
        <f>HYPERLINK("http://codeforces.com/contest/577/problem/A","CF577-D2-A")</f>
        <v>CF577-D2-A</v>
      </c>
      <c r="C222" s="276"/>
      <c r="D222" s="280"/>
    </row>
    <row r="223" spans="1:4" ht="13.2">
      <c r="A223" s="43" t="s">
        <v>352</v>
      </c>
      <c r="B223" s="86" t="str">
        <f>HYPERLINK("http://codeforces.com/contest/534/problem/A","CF534-D2-A")</f>
        <v>CF534-D2-A</v>
      </c>
      <c r="C223" s="276"/>
      <c r="D223" s="280"/>
    </row>
    <row r="224" spans="1:4" ht="13.2">
      <c r="A224" s="43" t="s">
        <v>353</v>
      </c>
      <c r="B224" s="86" t="str">
        <f>HYPERLINK("http://codeforces.com/contest/586/problem/A","CF586-D2-A")</f>
        <v>CF586-D2-A</v>
      </c>
      <c r="C224" s="276"/>
      <c r="D224" s="280"/>
    </row>
    <row r="225" spans="1:4" ht="13.2">
      <c r="A225" s="43" t="s">
        <v>354</v>
      </c>
      <c r="B225" s="86" t="str">
        <f>HYPERLINK("http://codeforces.com/contest/631/problem/A","CF631-D2-A")</f>
        <v>CF631-D2-A</v>
      </c>
      <c r="C225" s="276"/>
      <c r="D225" s="280"/>
    </row>
    <row r="226" spans="1:4" ht="13.2">
      <c r="A226" s="43" t="s">
        <v>355</v>
      </c>
      <c r="B226" s="86" t="str">
        <f>HYPERLINK("http://codeforces.com/contest/122/problem/A","CF122-D2-A")</f>
        <v>CF122-D2-A</v>
      </c>
      <c r="C226" s="276"/>
      <c r="D226" s="280"/>
    </row>
    <row r="227" spans="1:4" ht="13.2">
      <c r="A227" s="43" t="s">
        <v>356</v>
      </c>
      <c r="B227" s="86" t="str">
        <f>HYPERLINK("http://codeforces.com/contest/462/problem/A","CF462-D2-A")</f>
        <v>CF462-D2-A</v>
      </c>
      <c r="C227" s="276"/>
      <c r="D227" s="280"/>
    </row>
    <row r="228" spans="1:4" ht="13.2">
      <c r="A228" s="43" t="s">
        <v>357</v>
      </c>
      <c r="B228" s="86" t="str">
        <f>HYPERLINK("http://codeforces.com/contest/355/problem/A","CF355-D2-A")</f>
        <v>CF355-D2-A</v>
      </c>
      <c r="C228" s="276"/>
      <c r="D228" s="280"/>
    </row>
    <row r="229" spans="1:4" ht="13.2">
      <c r="A229" s="43" t="s">
        <v>358</v>
      </c>
      <c r="B229" s="86" t="str">
        <f>HYPERLINK("http://codeforces.com/contest/224/problem/A","CF224-D2-A")</f>
        <v>CF224-D2-A</v>
      </c>
      <c r="C229" s="276"/>
      <c r="D229" s="280"/>
    </row>
    <row r="230" spans="1:4" ht="13.2">
      <c r="A230" s="43"/>
      <c r="B230" s="73"/>
      <c r="C230" s="276"/>
      <c r="D230" s="280"/>
    </row>
    <row r="231" spans="1:4" ht="13.2">
      <c r="A231" s="43" t="s">
        <v>359</v>
      </c>
      <c r="B231" s="86" t="str">
        <f>HYPERLINK("http://codeforces.com/contest/357/problem/A","CF357-D2-A")</f>
        <v>CF357-D2-A</v>
      </c>
      <c r="C231" s="276"/>
      <c r="D231" s="280"/>
    </row>
    <row r="232" spans="1:4" ht="13.2">
      <c r="A232" s="43" t="s">
        <v>360</v>
      </c>
      <c r="B232" s="86" t="str">
        <f>HYPERLINK("http://codeforces.com/contest/651/problem/A","CF651-D2-A")</f>
        <v>CF651-D2-A</v>
      </c>
      <c r="C232" s="276"/>
      <c r="D232" s="280"/>
    </row>
    <row r="233" spans="1:4" ht="13.2">
      <c r="A233" s="43" t="s">
        <v>361</v>
      </c>
      <c r="B233" s="86" t="str">
        <f>HYPERLINK("http://codeforces.com/contest/300/problem/A","CF300-D2-A")</f>
        <v>CF300-D2-A</v>
      </c>
      <c r="C233" s="276"/>
      <c r="D233" s="280"/>
    </row>
    <row r="234" spans="1:4" ht="13.2">
      <c r="A234" s="48" t="s">
        <v>362</v>
      </c>
      <c r="B234" s="53" t="str">
        <f>HYPERLINK("http://codeforces.com/contest/659/problem/A","CF659-D2-A")</f>
        <v>CF659-D2-A</v>
      </c>
      <c r="C234" s="276"/>
      <c r="D234" s="280"/>
    </row>
    <row r="235" spans="1:4" ht="13.2">
      <c r="A235" s="43" t="s">
        <v>363</v>
      </c>
      <c r="B235" s="86" t="str">
        <f>HYPERLINK("http://codeforces.com/contest/558/problem/A","CF558-D2-A")</f>
        <v>CF558-D2-A</v>
      </c>
      <c r="C235" s="276"/>
      <c r="D235" s="280"/>
    </row>
    <row r="236" spans="1:4" ht="13.2">
      <c r="A236" s="43" t="s">
        <v>364</v>
      </c>
      <c r="B236" s="86" t="str">
        <f>HYPERLINK("http://codeforces.com/contest/53/problem/A","CF53-D2-A")</f>
        <v>CF53-D2-A</v>
      </c>
      <c r="C236" s="276"/>
      <c r="D236" s="280"/>
    </row>
    <row r="237" spans="1:4" ht="13.2">
      <c r="A237" s="43" t="s">
        <v>365</v>
      </c>
      <c r="B237" s="86" t="str">
        <f>HYPERLINK("http://codeforces.com/contest/495/problem/A","CF495-D2-A")</f>
        <v>CF495-D2-A</v>
      </c>
      <c r="C237" s="276"/>
      <c r="D237" s="280"/>
    </row>
    <row r="238" spans="1:4" ht="13.2">
      <c r="A238" s="43" t="s">
        <v>366</v>
      </c>
      <c r="B238" s="86" t="str">
        <f>HYPERLINK("http://codeforces.com/contest/75/problem/A","CF75-D2-A")</f>
        <v>CF75-D2-A</v>
      </c>
      <c r="C238" s="276"/>
      <c r="D238" s="279"/>
    </row>
    <row r="239" spans="1:4" ht="15.75" customHeight="1">
      <c r="C239" s="277"/>
      <c r="D239" s="277"/>
    </row>
  </sheetData>
  <mergeCells count="1">
    <mergeCell ref="C110:D110"/>
  </mergeCells>
  <conditionalFormatting sqref="C112:C238 C2:C108">
    <cfRule type="cellIs" dxfId="66" priority="10" operator="equal">
      <formula>"No"</formula>
    </cfRule>
    <cfRule type="cellIs" dxfId="65" priority="11" operator="equal">
      <formula>"no"</formula>
    </cfRule>
    <cfRule type="cellIs" dxfId="64"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workbookViewId="0">
      <pane ySplit="2" topLeftCell="A3" activePane="bottomLeft" state="frozen"/>
      <selection pane="bottomLeft" activeCell="B4" sqref="B4"/>
    </sheetView>
  </sheetViews>
  <sheetFormatPr defaultColWidth="15.109375" defaultRowHeight="15.75" customHeight="1"/>
  <cols>
    <col min="1" max="1" width="14"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87"/>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88"/>
      <c r="B2" s="10" t="s">
        <v>159</v>
      </c>
      <c r="C2" s="36">
        <f>COUNTIF(C3:C10479, "AC")</f>
        <v>0</v>
      </c>
      <c r="D2" s="36" t="e">
        <f ca="1">ROUND(SUMPRODUCT(D3:D10479,INT(EQ(C3:C10479, "AC")))/MAX(1, C2),1)</f>
        <v>#NAME?</v>
      </c>
      <c r="E2" s="36" t="e">
        <f ca="1">ROUND(SUMPRODUCT(E3:E10501,INT(EQ(C3:C10501, "AC")))/MAX(1, C2),0)</f>
        <v>#NAME?</v>
      </c>
      <c r="F2" s="36" t="e">
        <f ca="1">ROUND(SUMPRODUCT(F3:F10504,INT(EQ(C3:C10504, "AC")))/MAX(1, C2),0)</f>
        <v>#NAME?</v>
      </c>
      <c r="G2" s="36" t="e">
        <f ca="1">ROUND(SUMPRODUCT(G3:G10504,INT(EQ(C3:C10504, "AC")))/MAX(1, C2),0)</f>
        <v>#NAME?</v>
      </c>
      <c r="H2" s="36" t="e">
        <f ca="1">ROUND(SUMPRODUCT(H3:H10504,INT(EQ(C3:C10504, "AC")))/MAX(1, C2),0)</f>
        <v>#NAME?</v>
      </c>
      <c r="I2" s="36" t="e">
        <f ca="1">ROUND(SUMPRODUCT(I3:I10476,INT(EQ(C3:C10476, "AC")))/MAX(1, C2),0)</f>
        <v>#NAME?</v>
      </c>
      <c r="J2" s="36" t="e">
        <f ca="1">ROUND(SUMPRODUCT(J3:J10474,INT(EQ(C3:C10474, "AC")))/MAX(1, C2),1)</f>
        <v>#NAME?</v>
      </c>
      <c r="K2" s="36" t="e">
        <f ca="1">SUMPRODUCT(EQ(K3:K10479, "YES"),INT(EQ(C3:C10504, "AC")))</f>
        <v>#NAME?</v>
      </c>
      <c r="L2" s="37">
        <f ca="1">IFERROR(__xludf.DUMMYFUNCTION("COUNTA(FILTER(C3:C9971, NOT(REGEXMATCH(C3:C9971, ""AC""))))"),0)</f>
        <v>0</v>
      </c>
      <c r="M2" s="38">
        <f ca="1">IFERROR(__xludf.DUMMYFUNCTION("COUNTA(FILTER(C3:C9965, NOT(REGEXMATCH(C3:C9965, ""AC""))))"),0)</f>
        <v>0</v>
      </c>
    </row>
    <row r="3" spans="1:13" ht="13.2">
      <c r="A3" s="48"/>
      <c r="B3" s="10"/>
      <c r="C3" s="56"/>
      <c r="D3" s="56"/>
      <c r="E3" s="56"/>
      <c r="F3" s="56"/>
      <c r="G3" s="56"/>
      <c r="H3" s="56"/>
      <c r="I3" s="35">
        <f t="shared" ref="I3:I55" si="0">SUM(E3:H3)</f>
        <v>0</v>
      </c>
      <c r="J3" s="35"/>
      <c r="K3" s="35"/>
      <c r="L3" s="56"/>
      <c r="M3" s="89" t="str">
        <f>HYPERLINK("https://www.youtube.com/watch?v=x1rCxxKfFbM","Watch - Thinking - Problem Simplification ")</f>
        <v xml:space="preserve">Watch - Thinking - Problem Simplification </v>
      </c>
    </row>
    <row r="4" spans="1:13" ht="13.2">
      <c r="A4" s="48"/>
      <c r="B4" s="10"/>
      <c r="C4" s="56"/>
      <c r="D4" s="56"/>
      <c r="E4" s="56"/>
      <c r="F4" s="56"/>
      <c r="G4" s="56"/>
      <c r="H4" s="56"/>
      <c r="I4" s="35">
        <f t="shared" si="0"/>
        <v>0</v>
      </c>
      <c r="J4" s="35"/>
      <c r="K4" s="35"/>
      <c r="L4" s="56"/>
      <c r="M4" s="89" t="str">
        <f>HYPERLINK("https://www.youtube.com/watch?v=7z1498LTCgg","Watch - Thinking - Brainstorm - Rank - Approach ")</f>
        <v xml:space="preserve">Watch - Thinking - Brainstorm - Rank - Approach </v>
      </c>
    </row>
    <row r="5" spans="1:13" ht="13.2">
      <c r="A5" s="48"/>
      <c r="B5" s="10"/>
      <c r="C5" s="56"/>
      <c r="D5" s="56"/>
      <c r="E5" s="56"/>
      <c r="F5" s="56"/>
      <c r="G5" s="56"/>
      <c r="H5" s="56"/>
      <c r="I5" s="35">
        <f t="shared" si="0"/>
        <v>0</v>
      </c>
      <c r="J5" s="35"/>
      <c r="K5" s="35"/>
      <c r="L5" s="56"/>
      <c r="M5" s="90" t="s">
        <v>367</v>
      </c>
    </row>
    <row r="6" spans="1:13" ht="13.2">
      <c r="A6" s="48"/>
      <c r="B6" s="91"/>
      <c r="C6" s="56"/>
      <c r="D6" s="56"/>
      <c r="E6" s="56"/>
      <c r="F6" s="56"/>
      <c r="G6" s="56"/>
      <c r="H6" s="56"/>
      <c r="I6" s="35">
        <f t="shared" si="0"/>
        <v>0</v>
      </c>
      <c r="J6" s="35"/>
      <c r="K6" s="35"/>
      <c r="L6" s="56"/>
      <c r="M6" s="92" t="str">
        <f>HYPERLINK("https://www.youtube.com/watch?v=9wvqNeX_JnI","Watch - Combinatorics - Permutations and Combinations - 1")</f>
        <v>Watch - Combinatorics - Permutations and Combinations - 1</v>
      </c>
    </row>
    <row r="7" spans="1:13" ht="13.2">
      <c r="A7" s="48"/>
      <c r="B7" s="91"/>
      <c r="C7" s="56"/>
      <c r="D7" s="56"/>
      <c r="E7" s="56"/>
      <c r="F7" s="56"/>
      <c r="G7" s="56"/>
      <c r="H7" s="56"/>
      <c r="I7" s="35">
        <f t="shared" si="0"/>
        <v>0</v>
      </c>
      <c r="J7" s="35"/>
      <c r="K7" s="35"/>
      <c r="L7" s="56"/>
      <c r="M7" s="92" t="str">
        <f>HYPERLINK("https://www.youtube.com/watch?v=8V_xhaPpjmM","Watch - Combinatorics - Permutations and Combinations - 2")</f>
        <v>Watch - Combinatorics - Permutations and Combinations - 2</v>
      </c>
    </row>
    <row r="8" spans="1:13" ht="13.2">
      <c r="A8" s="41" t="s">
        <v>368</v>
      </c>
      <c r="B8" s="31" t="str">
        <f>HYPERLINK("http://codeforces.com/contest/66/problem/B","CF66-D2-B")</f>
        <v>CF66-D2-B</v>
      </c>
      <c r="C8" s="56"/>
      <c r="D8" s="56"/>
      <c r="E8" s="56"/>
      <c r="F8" s="56"/>
      <c r="G8" s="56"/>
      <c r="H8" s="56"/>
      <c r="I8" s="35">
        <f t="shared" si="0"/>
        <v>0</v>
      </c>
      <c r="J8" s="35"/>
      <c r="K8" s="35"/>
      <c r="L8" s="56"/>
      <c r="M8" s="50" t="str">
        <f>HYPERLINK("https://www.youtube.com/watch?v=XRgCL-gVU7M&amp;feature=youtu.be","Video Solution - Eng Muntaser Abukadeja")</f>
        <v>Video Solution - Eng Muntaser Abukadeja</v>
      </c>
    </row>
    <row r="9" spans="1:13" ht="13.2">
      <c r="A9" s="41" t="s">
        <v>369</v>
      </c>
      <c r="B9" s="31" t="str">
        <f>HYPERLINK("http://codeforces.com/contest/680/problem/B","CF680-D2-B")</f>
        <v>CF680-D2-B</v>
      </c>
      <c r="C9" s="56"/>
      <c r="D9" s="56"/>
      <c r="E9" s="56"/>
      <c r="F9" s="56"/>
      <c r="G9" s="56"/>
      <c r="H9" s="56"/>
      <c r="I9" s="35">
        <f t="shared" si="0"/>
        <v>0</v>
      </c>
      <c r="J9" s="35"/>
      <c r="K9" s="35"/>
      <c r="L9" s="56"/>
      <c r="M9" s="50" t="str">
        <f>HYPERLINK("https://www.youtube.com/watch?v=oKRNtI-ZI5g&amp;feature=youtu.be","Video Solution - Eng Muntaser Abukadeja")</f>
        <v>Video Solution - Eng Muntaser Abukadeja</v>
      </c>
    </row>
    <row r="10" spans="1:13" ht="13.2">
      <c r="A10" s="41" t="s">
        <v>370</v>
      </c>
      <c r="B10" s="31" t="str">
        <f>HYPERLINK("http://codeforces.com/contest/16/problem/B","CF16-D2-B")</f>
        <v>CF16-D2-B</v>
      </c>
      <c r="C10" s="56"/>
      <c r="D10" s="56"/>
      <c r="E10" s="56"/>
      <c r="F10" s="56"/>
      <c r="G10" s="56"/>
      <c r="H10" s="56"/>
      <c r="I10" s="35">
        <f t="shared" si="0"/>
        <v>0</v>
      </c>
      <c r="J10" s="35"/>
      <c r="K10" s="35"/>
      <c r="L10" s="56"/>
      <c r="M10" s="50" t="str">
        <f>HYPERLINK("https://www.youtube.com/watch?v=eDg_yuWBS8o&amp;feature=youtu.be","Video Solution - Eng Muntaser Abukadeja")</f>
        <v>Video Solution - Eng Muntaser Abukadeja</v>
      </c>
    </row>
    <row r="11" spans="1:13" ht="13.2">
      <c r="A11" s="41" t="s">
        <v>371</v>
      </c>
      <c r="B11" s="31" t="str">
        <f>HYPERLINK("http://codeforces.com/contest/463/problem/B","CF463-D2-B")</f>
        <v>CF463-D2-B</v>
      </c>
      <c r="C11" s="56"/>
      <c r="D11" s="56"/>
      <c r="E11" s="56"/>
      <c r="F11" s="56"/>
      <c r="G11" s="56"/>
      <c r="H11" s="56"/>
      <c r="I11" s="35">
        <f t="shared" si="0"/>
        <v>0</v>
      </c>
      <c r="J11" s="35"/>
      <c r="K11" s="35"/>
      <c r="L11" s="56"/>
      <c r="M11" s="50" t="str">
        <f>HYPERLINK("https://www.youtube.com/watch?v=c6X5U5HATAA","Video Solution - Eng Muntaser Abukadeja")</f>
        <v>Video Solution - Eng Muntaser Abukadeja</v>
      </c>
    </row>
    <row r="12" spans="1:13" ht="13.2">
      <c r="A12" s="41" t="s">
        <v>372</v>
      </c>
      <c r="B12" s="31" t="str">
        <f>HYPERLINK("http://codeforces.com/contest/102/problem/B","CF102-D2-B")</f>
        <v>CF102-D2-B</v>
      </c>
      <c r="C12" s="56"/>
      <c r="D12" s="56"/>
      <c r="E12" s="56"/>
      <c r="F12" s="56"/>
      <c r="G12" s="56"/>
      <c r="H12" s="56"/>
      <c r="I12" s="35">
        <f t="shared" si="0"/>
        <v>0</v>
      </c>
      <c r="J12" s="35"/>
      <c r="K12" s="35"/>
      <c r="L12" s="56"/>
      <c r="M12" s="50" t="str">
        <f>HYPERLINK("https://www.youtube.com/watch?v=_qdIm9Yj9_U","Video Solution - Eng Muntaser Abukadeja")</f>
        <v>Video Solution - Eng Muntaser Abukadeja</v>
      </c>
    </row>
    <row r="13" spans="1:13" ht="13.2">
      <c r="A13" s="41" t="s">
        <v>373</v>
      </c>
      <c r="B13" s="31" t="str">
        <f>HYPERLINK("http://codeforces.com/contest/47/problem/B","CF47-D2-B")</f>
        <v>CF47-D2-B</v>
      </c>
      <c r="C13" s="56"/>
      <c r="D13" s="56"/>
      <c r="E13" s="56"/>
      <c r="F13" s="56"/>
      <c r="G13" s="56"/>
      <c r="H13" s="56"/>
      <c r="I13" s="35">
        <f t="shared" si="0"/>
        <v>0</v>
      </c>
      <c r="J13" s="35"/>
      <c r="K13" s="35"/>
      <c r="L13" s="56"/>
      <c r="M13" s="50" t="str">
        <f>HYPERLINK("https://www.youtube.com/watch?v=lvK0ZlpWeEY&amp;feature=youtu.be","Video Solution - Eng Samed Hajajla")</f>
        <v>Video Solution - Eng Samed Hajajla</v>
      </c>
    </row>
    <row r="14" spans="1:13" ht="13.2">
      <c r="A14" s="41" t="s">
        <v>374</v>
      </c>
      <c r="B14" s="31" t="str">
        <f>HYPERLINK("http://codeforces.com/contest/227/problem/B","CF227-D2-B")</f>
        <v>CF227-D2-B</v>
      </c>
      <c r="C14" s="56"/>
      <c r="D14" s="56"/>
      <c r="E14" s="56"/>
      <c r="F14" s="56"/>
      <c r="G14" s="56"/>
      <c r="H14" s="56"/>
      <c r="I14" s="35">
        <f t="shared" si="0"/>
        <v>0</v>
      </c>
      <c r="J14" s="35"/>
      <c r="K14" s="35"/>
      <c r="L14" s="56"/>
      <c r="M14" s="50" t="str">
        <f>HYPERLINK("https://www.youtube.com/watch?v=76gg4S0A2nk","Video Solution - Eng Abanob Ashraf")</f>
        <v>Video Solution - Eng Abanob Ashraf</v>
      </c>
    </row>
    <row r="15" spans="1:13" ht="13.2">
      <c r="A15" s="41" t="s">
        <v>375</v>
      </c>
      <c r="B15" s="31" t="str">
        <f>HYPERLINK("http://codeforces.com/contest/78/problem/B","CF78-D2-B")</f>
        <v>CF78-D2-B</v>
      </c>
      <c r="C15" s="56"/>
      <c r="D15" s="56"/>
      <c r="E15" s="56"/>
      <c r="F15" s="56"/>
      <c r="G15" s="56"/>
      <c r="H15" s="56"/>
      <c r="I15" s="35">
        <f t="shared" si="0"/>
        <v>0</v>
      </c>
      <c r="J15" s="35"/>
      <c r="K15" s="35"/>
      <c r="L15" s="56"/>
      <c r="M15" s="50" t="str">
        <f>HYPERLINK("https://www.youtube.com/watch?v=rJN_rI2xiV4","Video Solution - Eng Abanob Ashraf")</f>
        <v>Video Solution - Eng Abanob Ashraf</v>
      </c>
    </row>
    <row r="16" spans="1:13" ht="13.2">
      <c r="A16" s="48" t="s">
        <v>376</v>
      </c>
      <c r="B16" s="53" t="str">
        <f>HYPERLINK("http://codeforces.com/contest/746/problem/B","CF746-D2-B")</f>
        <v>CF746-D2-B</v>
      </c>
      <c r="C16" s="56"/>
      <c r="D16" s="56"/>
      <c r="E16" s="56"/>
      <c r="F16" s="56"/>
      <c r="G16" s="56"/>
      <c r="H16" s="56"/>
      <c r="I16" s="35">
        <f t="shared" si="0"/>
        <v>0</v>
      </c>
      <c r="J16" s="35"/>
      <c r="K16" s="35"/>
      <c r="L16" s="56"/>
      <c r="M16" s="50" t="str">
        <f>HYPERLINK("https://www.youtube.com/watch?v=FI5HvI9SQtA","Video Solution - Solver to be (Java)")</f>
        <v>Video Solution - Solver to be (Java)</v>
      </c>
    </row>
    <row r="17" spans="1:13" ht="13.2">
      <c r="A17" s="48"/>
      <c r="B17" s="91"/>
      <c r="C17" s="56"/>
      <c r="D17" s="56"/>
      <c r="E17" s="56"/>
      <c r="F17" s="56"/>
      <c r="G17" s="56"/>
      <c r="H17" s="56"/>
      <c r="I17" s="35">
        <f t="shared" si="0"/>
        <v>0</v>
      </c>
      <c r="J17" s="35"/>
      <c r="K17" s="35"/>
      <c r="L17" s="56"/>
      <c r="M17" s="93" t="str">
        <f>HYPERLINK("https://www.youtube.com/watch?v=tKGztXjnnuA","Watch - Training-Secrets of Success")</f>
        <v>Watch - Training-Secrets of Success</v>
      </c>
    </row>
    <row r="18" spans="1:13" ht="13.2">
      <c r="A18" s="48"/>
      <c r="B18" s="91"/>
      <c r="C18" s="56"/>
      <c r="D18" s="56"/>
      <c r="E18" s="56"/>
      <c r="F18" s="56"/>
      <c r="G18" s="56"/>
      <c r="H18" s="56"/>
      <c r="I18" s="35">
        <f t="shared" si="0"/>
        <v>0</v>
      </c>
      <c r="J18" s="35"/>
      <c r="K18" s="35"/>
      <c r="L18" s="56"/>
      <c r="M18" s="93" t="str">
        <f>HYPERLINK("https://www.youtube.com/watch?v=6QS_Cup1YoI","Revise Stack/Queue datastructure concepts. Learn using STL")</f>
        <v>Revise Stack/Queue datastructure concepts. Learn using STL</v>
      </c>
    </row>
    <row r="19" spans="1:13" ht="13.2">
      <c r="A19" s="48"/>
      <c r="B19" s="91"/>
      <c r="C19" s="56"/>
      <c r="D19" s="56"/>
      <c r="E19" s="56"/>
      <c r="F19" s="56"/>
      <c r="G19" s="56"/>
      <c r="H19" s="56"/>
      <c r="I19" s="35">
        <f t="shared" si="0"/>
        <v>0</v>
      </c>
      <c r="J19" s="35"/>
      <c r="K19" s="35"/>
      <c r="L19" s="56"/>
      <c r="M19" s="92" t="str">
        <f>HYPERLINK("https://www.youtube.com/watch?v=YklnFXpq0ZE","Watch - Number Theory - Fib, GCD, LCM, Pow")</f>
        <v>Watch - Number Theory - Fib, GCD, LCM, Pow</v>
      </c>
    </row>
    <row r="20" spans="1:13" ht="13.2">
      <c r="A20" s="62" t="s">
        <v>377</v>
      </c>
      <c r="B20" s="94" t="str">
        <f>HYPERLINK("https://uva.onlinejudge.org/index.php?option=onlinejudge&amp;page=show_problem&amp;problem=310","UVA 374")</f>
        <v>UVA 374</v>
      </c>
      <c r="C20" s="56"/>
      <c r="D20" s="56"/>
      <c r="E20" s="56"/>
      <c r="F20" s="56"/>
      <c r="G20" s="56"/>
      <c r="H20" s="56"/>
      <c r="I20" s="35">
        <f t="shared" si="0"/>
        <v>0</v>
      </c>
      <c r="J20" s="35"/>
      <c r="K20" s="35"/>
      <c r="L20" s="56"/>
      <c r="M20" s="48"/>
    </row>
    <row r="21" spans="1:13" ht="13.2">
      <c r="A21" s="62" t="s">
        <v>378</v>
      </c>
      <c r="B21" s="23" t="str">
        <f>HYPERLINK("https://uva.onlinejudge.org/index.php?option=onlinejudge&amp;page=show_problem&amp;problem=305","UVA 369")</f>
        <v>UVA 369</v>
      </c>
      <c r="C21" s="56"/>
      <c r="D21" s="56"/>
      <c r="E21" s="56"/>
      <c r="F21" s="56"/>
      <c r="G21" s="56"/>
      <c r="H21" s="56"/>
      <c r="I21" s="35">
        <f t="shared" si="0"/>
        <v>0</v>
      </c>
      <c r="J21" s="35"/>
      <c r="K21" s="35"/>
      <c r="L21" s="56"/>
      <c r="M21" s="48"/>
    </row>
    <row r="22" spans="1:13" ht="13.2">
      <c r="A22" s="62" t="s">
        <v>379</v>
      </c>
      <c r="B22" s="23" t="str">
        <f>HYPERLINK("https://uva.onlinejudge.org/index.php?option=onlinejudge&amp;page=show_problem&amp;problem=353","UVA 412")</f>
        <v>UVA 412</v>
      </c>
      <c r="C22" s="56"/>
      <c r="D22" s="56"/>
      <c r="E22" s="56"/>
      <c r="F22" s="56"/>
      <c r="G22" s="56"/>
      <c r="H22" s="56"/>
      <c r="I22" s="35">
        <f t="shared" si="0"/>
        <v>0</v>
      </c>
      <c r="J22" s="35"/>
      <c r="K22" s="35"/>
      <c r="L22" s="56"/>
      <c r="M22" s="95" t="str">
        <f>HYPERLINK("https://www.youtube.com/watch?v=NmumgTB7B9c&amp;feature=youtu.be","Video Solution - Eng Mohamed Adel")</f>
        <v>Video Solution - Eng Mohamed Adel</v>
      </c>
    </row>
    <row r="23" spans="1:13" ht="13.2">
      <c r="A23" s="66" t="s">
        <v>380</v>
      </c>
      <c r="B23" s="96" t="str">
        <f>HYPERLINK("https://uva.onlinejudge.org/index.php?option=onlinejudge&amp;page=show_problem&amp;problem=654","UVA 713")</f>
        <v>UVA 713</v>
      </c>
      <c r="C23" s="35"/>
      <c r="D23" s="35"/>
      <c r="E23" s="35"/>
      <c r="F23" s="35"/>
      <c r="G23" s="35"/>
      <c r="H23" s="35"/>
      <c r="I23" s="35">
        <f t="shared" si="0"/>
        <v>0</v>
      </c>
      <c r="J23" s="35"/>
      <c r="K23" s="35"/>
      <c r="L23" s="35"/>
      <c r="M23" s="39" t="s">
        <v>381</v>
      </c>
    </row>
    <row r="24" spans="1:13" ht="13.2">
      <c r="A24" s="66" t="s">
        <v>382</v>
      </c>
      <c r="B24" s="97" t="str">
        <f>HYPERLINK("http://acm.timus.ru/problem.aspx?space=1&amp;num=1607","TIMUS 1607")</f>
        <v>TIMUS 1607</v>
      </c>
      <c r="C24" s="35"/>
      <c r="D24" s="35"/>
      <c r="E24" s="35"/>
      <c r="F24" s="35"/>
      <c r="G24" s="35"/>
      <c r="H24" s="35"/>
      <c r="I24" s="35">
        <f t="shared" si="0"/>
        <v>0</v>
      </c>
      <c r="J24" s="35"/>
      <c r="K24" s="35"/>
      <c r="L24" s="35"/>
      <c r="M24" s="39" t="s">
        <v>383</v>
      </c>
    </row>
    <row r="25" spans="1:13" ht="13.2">
      <c r="A25" s="66" t="s">
        <v>384</v>
      </c>
      <c r="B25" s="97" t="str">
        <f>HYPERLINK("https://icpcarchive.ecs.baylor.edu/index.php?option=com_onlinejudge&amp;Itemid=8&amp;page=show_problem&amp;problem=558","LIVEARCHIVE 2557")</f>
        <v>LIVEARCHIVE 2557</v>
      </c>
      <c r="C25" s="35"/>
      <c r="D25" s="35"/>
      <c r="E25" s="35"/>
      <c r="F25" s="35"/>
      <c r="G25" s="35"/>
      <c r="H25" s="35"/>
      <c r="I25" s="35">
        <f t="shared" si="0"/>
        <v>0</v>
      </c>
      <c r="J25" s="35"/>
      <c r="K25" s="35"/>
      <c r="L25" s="35"/>
      <c r="M25" s="47" t="str">
        <f>HYPERLINK("https://raw.githubusercontent.com/NadaAlaa/CompetitiveProgramming/master/LiveArchive/2557.cpp","Find a formula")</f>
        <v>Find a formula</v>
      </c>
    </row>
    <row r="26" spans="1:13" ht="13.2">
      <c r="A26" s="66" t="s">
        <v>385</v>
      </c>
      <c r="B26" s="67" t="str">
        <f>HYPERLINK("http://codeforces.com/contest/492/problem/B","CF492-D2-B")</f>
        <v>CF492-D2-B</v>
      </c>
      <c r="C26" s="10"/>
      <c r="D26" s="10"/>
      <c r="E26" s="10"/>
      <c r="F26" s="10"/>
      <c r="G26" s="10"/>
      <c r="H26" s="56"/>
      <c r="I26" s="35">
        <f t="shared" si="0"/>
        <v>0</v>
      </c>
      <c r="J26" s="35"/>
      <c r="K26" s="35"/>
      <c r="L26" s="10"/>
      <c r="M26" s="59" t="str">
        <f>HYPERLINK("https://www.youtube.com/watch?v=i4fMKTt8e84","Video Solution - Solver to be (Java)")</f>
        <v>Video Solution - Solver to be (Java)</v>
      </c>
    </row>
    <row r="27" spans="1:13" ht="13.2">
      <c r="A27" s="48"/>
      <c r="B27" s="91"/>
      <c r="C27" s="56"/>
      <c r="D27" s="56"/>
      <c r="E27" s="56"/>
      <c r="F27" s="56"/>
      <c r="G27" s="56"/>
      <c r="H27" s="56"/>
      <c r="I27" s="35">
        <f t="shared" si="0"/>
        <v>0</v>
      </c>
      <c r="J27" s="35"/>
      <c r="K27" s="35"/>
      <c r="L27" s="56"/>
      <c r="M27" s="98" t="str">
        <f>HYPERLINK("https://www.youtube.com/watch?v=hqOqr6vFPp8","Watch - Prefix Sum")</f>
        <v>Watch - Prefix Sum</v>
      </c>
    </row>
    <row r="28" spans="1:13" ht="13.2">
      <c r="A28" s="48" t="s">
        <v>386</v>
      </c>
      <c r="B28" s="94" t="str">
        <f>HYPERLINK("http://codeforces.com/contest/433/problem/B","CF433-D2-B")</f>
        <v>CF433-D2-B</v>
      </c>
      <c r="C28" s="10"/>
      <c r="D28" s="10"/>
      <c r="E28" s="10"/>
      <c r="F28" s="10"/>
      <c r="G28" s="10"/>
      <c r="H28" s="10"/>
      <c r="I28" s="56">
        <f t="shared" si="0"/>
        <v>0</v>
      </c>
      <c r="J28" s="10"/>
      <c r="K28" s="10"/>
      <c r="L28" s="10"/>
      <c r="M28" s="10"/>
    </row>
    <row r="29" spans="1:13" ht="13.2">
      <c r="A29" s="48" t="s">
        <v>387</v>
      </c>
      <c r="B29" s="94" t="str">
        <f>HYPERLINK("http://codeforces.com/contest/363/problem/B","CF363-D2-B")</f>
        <v>CF363-D2-B</v>
      </c>
      <c r="C29" s="10"/>
      <c r="D29" s="10"/>
      <c r="E29" s="10"/>
      <c r="F29" s="10"/>
      <c r="G29" s="10"/>
      <c r="H29" s="10"/>
      <c r="I29" s="56">
        <f t="shared" si="0"/>
        <v>0</v>
      </c>
      <c r="J29" s="10"/>
      <c r="K29" s="10"/>
      <c r="L29" s="10"/>
      <c r="M29" s="71" t="str">
        <f>HYPERLINK("https://www.youtube.com/watch?v=uwbfFMVMYBg&amp;feature=youtu.be","Video Solution - Eng Muntaser Abukadeja")</f>
        <v>Video Solution - Eng Muntaser Abukadeja</v>
      </c>
    </row>
    <row r="30" spans="1:13" ht="13.2">
      <c r="A30" s="41" t="s">
        <v>388</v>
      </c>
      <c r="B30" s="31" t="str">
        <f>HYPERLINK("http://codeforces.com/contest/6/problem/B","CF6-D2-B")</f>
        <v>CF6-D2-B</v>
      </c>
      <c r="C30" s="56"/>
      <c r="D30" s="56"/>
      <c r="E30" s="56"/>
      <c r="F30" s="56"/>
      <c r="G30" s="56"/>
      <c r="H30" s="56"/>
      <c r="I30" s="35">
        <f t="shared" si="0"/>
        <v>0</v>
      </c>
      <c r="J30" s="35"/>
      <c r="K30" s="35"/>
      <c r="L30" s="56"/>
      <c r="M30" s="50" t="str">
        <f>HYPERLINK("https://www.youtube.com/watch?v=FTM7HQahAc8&amp;feature=youtu.be","Video Solution - Eng Muntaser Abukadeja")</f>
        <v>Video Solution - Eng Muntaser Abukadeja</v>
      </c>
    </row>
    <row r="31" spans="1:13" ht="13.2">
      <c r="A31" s="51" t="s">
        <v>389</v>
      </c>
      <c r="B31" s="99" t="str">
        <f>HYPERLINK("http://codeforces.com/contest/688/problem/B","CF688-D2-B")</f>
        <v>CF688-D2-B</v>
      </c>
      <c r="C31" s="10"/>
      <c r="D31" s="10"/>
      <c r="E31" s="10"/>
      <c r="F31" s="10"/>
      <c r="G31" s="10"/>
      <c r="H31" s="56"/>
      <c r="I31" s="35">
        <f t="shared" si="0"/>
        <v>0</v>
      </c>
      <c r="J31" s="35"/>
      <c r="K31" s="35"/>
      <c r="L31" s="10"/>
      <c r="M31" s="50" t="str">
        <f>HYPERLINK("https://www.youtube.com/watch?v=sy_g77hnbaA","Video Solution - Solver to be (Java)")</f>
        <v>Video Solution - Solver to be (Java)</v>
      </c>
    </row>
    <row r="32" spans="1:13" ht="13.2">
      <c r="A32" s="51" t="s">
        <v>390</v>
      </c>
      <c r="B32" s="99" t="str">
        <f>HYPERLINK("http://codeforces.com/contest/451/problem/B","CF451-D2-B")</f>
        <v>CF451-D2-B</v>
      </c>
      <c r="C32" s="10"/>
      <c r="D32" s="10"/>
      <c r="E32" s="10"/>
      <c r="F32" s="10"/>
      <c r="G32" s="10"/>
      <c r="H32" s="56"/>
      <c r="I32" s="35">
        <f t="shared" si="0"/>
        <v>0</v>
      </c>
      <c r="J32" s="35"/>
      <c r="K32" s="35"/>
      <c r="L32" s="10"/>
      <c r="M32" s="50" t="str">
        <f>HYPERLINK("https://www.youtube.com/watch?v=I_WHkB7Aeeo","Video Solution - Solver to be (Java)")</f>
        <v>Video Solution - Solver to be (Java)</v>
      </c>
    </row>
    <row r="33" spans="1:13" ht="13.2">
      <c r="A33" s="51" t="s">
        <v>391</v>
      </c>
      <c r="B33" s="100" t="str">
        <f>HYPERLINK("http://codeforces.com/contest/810/problem/B","CF810-D2-B")</f>
        <v>CF810-D2-B</v>
      </c>
      <c r="C33" s="10"/>
      <c r="D33" s="10"/>
      <c r="E33" s="10"/>
      <c r="F33" s="10"/>
      <c r="G33" s="10"/>
      <c r="H33" s="56"/>
      <c r="I33" s="35">
        <f t="shared" si="0"/>
        <v>0</v>
      </c>
      <c r="J33" s="35"/>
      <c r="K33" s="35"/>
      <c r="L33" s="10"/>
      <c r="M33" s="50" t="str">
        <f>HYPERLINK("https://www.youtube.com/watch?v=cFqla_dXSBs","Video Solution - Solver to be (Java)")</f>
        <v>Video Solution - Solver to be (Java)</v>
      </c>
    </row>
    <row r="34" spans="1:13" ht="13.2">
      <c r="A34" s="51" t="s">
        <v>392</v>
      </c>
      <c r="B34" s="99" t="str">
        <f>HYPERLINK("http://codeforces.com/contest/79/problem/B","CF79-D12-B")</f>
        <v>CF79-D12-B</v>
      </c>
      <c r="C34" s="10"/>
      <c r="D34" s="10"/>
      <c r="E34" s="10"/>
      <c r="F34" s="10"/>
      <c r="G34" s="10"/>
      <c r="H34" s="56"/>
      <c r="I34" s="35">
        <f t="shared" si="0"/>
        <v>0</v>
      </c>
      <c r="J34" s="35"/>
      <c r="K34" s="35"/>
      <c r="L34" s="10"/>
      <c r="M34" s="50" t="str">
        <f>HYPERLINK("https://www.youtube.com/watch?v=QIANdSy3nQg","Video Solution - Solver to be (Java)")</f>
        <v>Video Solution - Solver to be (Java)</v>
      </c>
    </row>
    <row r="35" spans="1:13" ht="13.2">
      <c r="A35" s="51" t="s">
        <v>202</v>
      </c>
      <c r="B35" s="99" t="str">
        <f>HYPERLINK("http://codeforces.com/contest/88/problem/B","CF88-D2-B")</f>
        <v>CF88-D2-B</v>
      </c>
      <c r="C35" s="10"/>
      <c r="D35" s="10"/>
      <c r="E35" s="10"/>
      <c r="F35" s="10"/>
      <c r="G35" s="10"/>
      <c r="H35" s="56"/>
      <c r="I35" s="35">
        <f t="shared" si="0"/>
        <v>0</v>
      </c>
      <c r="J35" s="35"/>
      <c r="K35" s="35"/>
      <c r="L35" s="10"/>
      <c r="M35" s="50" t="str">
        <f>HYPERLINK("https://www.youtube.com/watch?v=IlM9o1-xgE4&amp;feature=youtu.be","Video Solution - Eng Muntaser Abukadeja")</f>
        <v>Video Solution - Eng Muntaser Abukadeja</v>
      </c>
    </row>
    <row r="36" spans="1:13" ht="13.2">
      <c r="A36" s="51" t="s">
        <v>393</v>
      </c>
      <c r="B36" s="100" t="str">
        <f>HYPERLINK("http://codeforces.com/contest/766/problem/B","CF766-D2-B")</f>
        <v>CF766-D2-B</v>
      </c>
      <c r="C36" s="10"/>
      <c r="D36" s="10"/>
      <c r="E36" s="10"/>
      <c r="F36" s="10"/>
      <c r="G36" s="10"/>
      <c r="H36" s="56"/>
      <c r="I36" s="35">
        <f t="shared" si="0"/>
        <v>0</v>
      </c>
      <c r="J36" s="35"/>
      <c r="K36" s="35"/>
      <c r="L36" s="10"/>
      <c r="M36" s="50" t="str">
        <f>HYPERLINK("https://www.youtube.com/watch?v=dCChUGZjaS4","Video Solution - Solver to be (Java)")</f>
        <v>Video Solution - Solver to be (Java)</v>
      </c>
    </row>
    <row r="37" spans="1:13" ht="13.2">
      <c r="A37" s="48"/>
      <c r="B37" s="91"/>
      <c r="C37" s="56"/>
      <c r="D37" s="56"/>
      <c r="E37" s="56"/>
      <c r="F37" s="56"/>
      <c r="G37" s="56"/>
      <c r="H37" s="56"/>
      <c r="I37" s="35">
        <f t="shared" si="0"/>
        <v>0</v>
      </c>
      <c r="J37" s="35"/>
      <c r="K37" s="35"/>
      <c r="L37" s="56"/>
      <c r="M37" s="92"/>
    </row>
    <row r="38" spans="1:13" ht="13.2">
      <c r="A38" s="48"/>
      <c r="B38" s="91"/>
      <c r="C38" s="56"/>
      <c r="D38" s="56"/>
      <c r="E38" s="56"/>
      <c r="F38" s="56"/>
      <c r="G38" s="56"/>
      <c r="H38" s="56"/>
      <c r="I38" s="35">
        <f t="shared" si="0"/>
        <v>0</v>
      </c>
      <c r="J38" s="35"/>
      <c r="K38" s="35"/>
      <c r="L38" s="56"/>
      <c r="M38" s="92" t="str">
        <f>HYPERLINK("https://www.youtube.com/watch?v=COB1GHq0YwY","Watch - Graph Theory - BFS")</f>
        <v>Watch - Graph Theory - BFS</v>
      </c>
    </row>
    <row r="39" spans="1:13" ht="13.2">
      <c r="A39" s="62" t="s">
        <v>394</v>
      </c>
      <c r="B39" s="94" t="str">
        <f>HYPERLINK("http://www.spoj.com/problems/TOE1/","SPOJ TOE1")</f>
        <v>SPOJ TOE1</v>
      </c>
      <c r="C39" s="56"/>
      <c r="D39" s="56"/>
      <c r="E39" s="56"/>
      <c r="F39" s="56"/>
      <c r="G39" s="56"/>
      <c r="H39" s="56"/>
      <c r="I39" s="35">
        <f t="shared" si="0"/>
        <v>0</v>
      </c>
      <c r="J39" s="35"/>
      <c r="K39" s="35"/>
      <c r="L39" s="56"/>
      <c r="M39" s="50" t="str">
        <f>HYPERLINK("https://www.youtube.com/watch?v=VM2c3csK3Ps","Video Solution - Eng Ayman Salah")</f>
        <v>Video Solution - Eng Ayman Salah</v>
      </c>
    </row>
    <row r="40" spans="1:13" ht="13.2">
      <c r="A40" s="62" t="s">
        <v>395</v>
      </c>
      <c r="B40" s="94" t="str">
        <f>HYPERLINK("http://www.spoj.com/problems/TOE2/","SPOJ TOE2")</f>
        <v>SPOJ TOE2</v>
      </c>
      <c r="C40" s="56"/>
      <c r="D40" s="56"/>
      <c r="E40" s="56"/>
      <c r="F40" s="56"/>
      <c r="G40" s="56"/>
      <c r="H40" s="56"/>
      <c r="I40" s="35">
        <f t="shared" si="0"/>
        <v>0</v>
      </c>
      <c r="J40" s="35"/>
      <c r="K40" s="35"/>
      <c r="L40" s="56"/>
      <c r="M40" s="50" t="str">
        <f>HYPERLINK("https://www.youtube.com/watch?v=LleR_xaCfMY&amp;feature=youtu.be","Video Solution - Eng Essam AlNaggar")</f>
        <v>Video Solution - Eng Essam AlNaggar</v>
      </c>
    </row>
    <row r="41" spans="1:13" ht="13.2">
      <c r="A41" s="62" t="s">
        <v>396</v>
      </c>
      <c r="B41" s="94" t="str">
        <f>HYPERLINK("https://uva.onlinejudge.org/index.php?option=com_onlinejudge&amp;Itemid=8&amp;page=show_problem&amp;problem=380","UVA 439")</f>
        <v>UVA 439</v>
      </c>
      <c r="C41" s="56"/>
      <c r="D41" s="56"/>
      <c r="E41" s="56"/>
      <c r="F41" s="56"/>
      <c r="G41" s="56"/>
      <c r="H41" s="56"/>
      <c r="I41" s="35">
        <f t="shared" si="0"/>
        <v>0</v>
      </c>
      <c r="J41" s="35"/>
      <c r="K41" s="35"/>
      <c r="L41" s="56"/>
      <c r="M41" s="50" t="str">
        <f>HYPERLINK("https://www.youtube.com/watch?v=_S7BCbISrdo&amp;feature=youtu.be","Video Solution - Eng Magdy Hasan")</f>
        <v>Video Solution - Eng Magdy Hasan</v>
      </c>
    </row>
    <row r="42" spans="1:13" ht="13.2">
      <c r="A42" s="62" t="s">
        <v>397</v>
      </c>
      <c r="B42" s="94" t="str">
        <f>HYPERLINK("http://codeforces.com/contest/242/problem/C","CF242-D2-C")</f>
        <v>CF242-D2-C</v>
      </c>
      <c r="C42" s="56"/>
      <c r="D42" s="56"/>
      <c r="E42" s="56"/>
      <c r="F42" s="56"/>
      <c r="G42" s="56"/>
      <c r="H42" s="56"/>
      <c r="I42" s="35">
        <f t="shared" si="0"/>
        <v>0</v>
      </c>
      <c r="J42" s="35"/>
      <c r="K42" s="35"/>
      <c r="L42" s="56"/>
      <c r="M42" s="50" t="str">
        <f>HYPERLINK("https://www.youtube.com/watch?v=KmxeOFQ_4Rw","Video Solution - Dr Mostafa Saad")</f>
        <v>Video Solution - Dr Mostafa Saad</v>
      </c>
    </row>
    <row r="43" spans="1:13" ht="13.2">
      <c r="A43" s="66" t="s">
        <v>398</v>
      </c>
      <c r="B43" s="101" t="s">
        <v>399</v>
      </c>
      <c r="C43" s="56"/>
      <c r="D43" s="56"/>
      <c r="E43" s="56"/>
      <c r="F43" s="56"/>
      <c r="G43" s="56"/>
      <c r="H43" s="56"/>
      <c r="I43" s="35">
        <f t="shared" si="0"/>
        <v>0</v>
      </c>
      <c r="J43" s="35"/>
      <c r="K43" s="35"/>
      <c r="L43" s="56"/>
      <c r="M43" s="50" t="str">
        <f>HYPERLINK("http://xoptutorials.com/index.php/2017/01/01/timus1638/","Can you get AC first submission")</f>
        <v>Can you get AC first submission</v>
      </c>
    </row>
    <row r="44" spans="1:13" ht="13.2">
      <c r="A44" s="66"/>
      <c r="B44" s="102" t="s">
        <v>400</v>
      </c>
      <c r="C44" s="56"/>
      <c r="D44" s="56"/>
      <c r="E44" s="56"/>
      <c r="F44" s="56"/>
      <c r="G44" s="56"/>
      <c r="H44" s="56"/>
      <c r="I44" s="35">
        <f t="shared" si="0"/>
        <v>0</v>
      </c>
      <c r="J44" s="35"/>
      <c r="K44" s="35"/>
      <c r="L44" s="56"/>
      <c r="M44" s="103" t="s">
        <v>401</v>
      </c>
    </row>
    <row r="45" spans="1:13" ht="26.4">
      <c r="A45" s="48"/>
      <c r="B45" s="102" t="s">
        <v>402</v>
      </c>
      <c r="C45" s="56"/>
      <c r="D45" s="56"/>
      <c r="E45" s="56"/>
      <c r="F45" s="56"/>
      <c r="G45" s="56"/>
      <c r="H45" s="56"/>
      <c r="I45" s="35">
        <f t="shared" si="0"/>
        <v>0</v>
      </c>
      <c r="J45" s="35"/>
      <c r="K45" s="35"/>
      <c r="L45" s="56"/>
      <c r="M45" s="104" t="str">
        <f>HYPERLINK("https://github.com/Ownography/CP/blob/master/SPOJ%20POSTERIN", "Sol")</f>
        <v>Sol</v>
      </c>
    </row>
    <row r="46" spans="1:13" ht="13.2">
      <c r="A46" s="48"/>
      <c r="B46" s="91"/>
      <c r="C46" s="56"/>
      <c r="D46" s="56"/>
      <c r="E46" s="56"/>
      <c r="F46" s="56"/>
      <c r="G46" s="56"/>
      <c r="H46" s="56"/>
      <c r="I46" s="35">
        <f t="shared" si="0"/>
        <v>0</v>
      </c>
      <c r="J46" s="35"/>
      <c r="K46" s="35"/>
      <c r="L46" s="56"/>
      <c r="M46" s="48"/>
    </row>
    <row r="47" spans="1:13" ht="13.2">
      <c r="A47" s="41" t="s">
        <v>403</v>
      </c>
      <c r="B47" s="31" t="str">
        <f>HYPERLINK("http://codeforces.com/contest/129/problem/B","CF129-D2-B")</f>
        <v>CF129-D2-B</v>
      </c>
      <c r="C47" s="56"/>
      <c r="D47" s="56"/>
      <c r="E47" s="56"/>
      <c r="F47" s="56"/>
      <c r="G47" s="56"/>
      <c r="H47" s="56"/>
      <c r="I47" s="35">
        <f t="shared" si="0"/>
        <v>0</v>
      </c>
      <c r="J47" s="35"/>
      <c r="K47" s="35"/>
      <c r="L47" s="56"/>
      <c r="M47" s="50" t="str">
        <f>HYPERLINK("https://www.youtube.com/watch?v=si51JINxbpk&amp;feature=youtu.be","Video Solution - Eng Abanob Ashraf")</f>
        <v>Video Solution - Eng Abanob Ashraf</v>
      </c>
    </row>
    <row r="48" spans="1:13" ht="13.2">
      <c r="A48" s="41" t="s">
        <v>404</v>
      </c>
      <c r="B48" s="31" t="str">
        <f>HYPERLINK("http://codeforces.com/contest/476/problem/B","CF476-D2-B")</f>
        <v>CF476-D2-B</v>
      </c>
      <c r="C48" s="56"/>
      <c r="D48" s="56"/>
      <c r="E48" s="56"/>
      <c r="F48" s="56"/>
      <c r="G48" s="56"/>
      <c r="H48" s="56"/>
      <c r="I48" s="35">
        <f t="shared" si="0"/>
        <v>0</v>
      </c>
      <c r="J48" s="35"/>
      <c r="K48" s="35"/>
      <c r="L48" s="56"/>
      <c r="M48" s="50" t="str">
        <f>HYPERLINK("https://www.youtube.com/watch?v=uzA2fH9Ol7I&amp;feature=youtu.be","Video Solution - Eng Mohamed Adel")</f>
        <v>Video Solution - Eng Mohamed Adel</v>
      </c>
    </row>
    <row r="49" spans="1:13" ht="13.2">
      <c r="A49" s="41" t="s">
        <v>405</v>
      </c>
      <c r="B49" s="31" t="str">
        <f>HYPERLINK("http://codeforces.com/contest/469/problem/B","CF469-D2-B")</f>
        <v>CF469-D2-B</v>
      </c>
      <c r="C49" s="56"/>
      <c r="D49" s="56"/>
      <c r="E49" s="56"/>
      <c r="F49" s="56"/>
      <c r="G49" s="56"/>
      <c r="H49" s="56"/>
      <c r="I49" s="35">
        <f t="shared" si="0"/>
        <v>0</v>
      </c>
      <c r="J49" s="35"/>
      <c r="K49" s="35"/>
      <c r="L49" s="56"/>
      <c r="M49" s="50" t="str">
        <f>HYPERLINK("https://www.youtube.com/watch?v=7ns-xfWB-8g","Video Solution - Eng Mohamed Adel")</f>
        <v>Video Solution - Eng Mohamed Adel</v>
      </c>
    </row>
    <row r="50" spans="1:13" ht="13.2">
      <c r="A50" s="41" t="s">
        <v>406</v>
      </c>
      <c r="B50" s="31" t="str">
        <f>HYPERLINK("http://codeforces.com/contest/215/problem/B","CF215-D2-B")</f>
        <v>CF215-D2-B</v>
      </c>
      <c r="C50" s="56"/>
      <c r="D50" s="56"/>
      <c r="E50" s="56"/>
      <c r="F50" s="56"/>
      <c r="G50" s="56"/>
      <c r="H50" s="56"/>
      <c r="I50" s="35">
        <f t="shared" si="0"/>
        <v>0</v>
      </c>
      <c r="J50" s="35"/>
      <c r="K50" s="35"/>
      <c r="L50" s="56"/>
      <c r="M50" s="105" t="str">
        <f>HYPERLINK("https://www.youtube.com/watch?v=9PMRkDH1SAY&amp;t=4s","Video Solution - Eng Ahmed Salah")</f>
        <v>Video Solution - Eng Ahmed Salah</v>
      </c>
    </row>
    <row r="51" spans="1:13" ht="13.2">
      <c r="A51" s="41" t="s">
        <v>407</v>
      </c>
      <c r="B51" s="31" t="str">
        <f>HYPERLINK("http://codeforces.com/contest/714/problem/B","CF714-D2-B")</f>
        <v>CF714-D2-B</v>
      </c>
      <c r="C51" s="56"/>
      <c r="D51" s="56"/>
      <c r="E51" s="56"/>
      <c r="F51" s="56"/>
      <c r="G51" s="56"/>
      <c r="H51" s="56"/>
      <c r="I51" s="35">
        <f t="shared" si="0"/>
        <v>0</v>
      </c>
      <c r="J51" s="35"/>
      <c r="K51" s="35"/>
      <c r="L51" s="56"/>
      <c r="M51" s="50" t="str">
        <f>HYPERLINK("https://www.youtube.com/watch?v=aDDoryh3x_g","Video Solution - Eng Muntaser Abukadeja")</f>
        <v>Video Solution - Eng Muntaser Abukadeja</v>
      </c>
    </row>
    <row r="52" spans="1:13" ht="13.2">
      <c r="A52" s="41" t="s">
        <v>408</v>
      </c>
      <c r="B52" s="31" t="str">
        <f>HYPERLINK("http://codeforces.com/contest/400/problem/B","CF400-D2-B")</f>
        <v>CF400-D2-B</v>
      </c>
      <c r="C52" s="56"/>
      <c r="D52" s="56"/>
      <c r="E52" s="56"/>
      <c r="F52" s="56"/>
      <c r="G52" s="56"/>
      <c r="H52" s="56"/>
      <c r="I52" s="35">
        <f t="shared" si="0"/>
        <v>0</v>
      </c>
      <c r="J52" s="35"/>
      <c r="K52" s="35"/>
      <c r="L52" s="56"/>
      <c r="M52" s="50" t="str">
        <f>HYPERLINK("https://www.youtube.com/watch?v=ZWL57YYKwUM&amp;t=1s","Video Solution - Eng Mohamed Salah")</f>
        <v>Video Solution - Eng Mohamed Salah</v>
      </c>
    </row>
    <row r="53" spans="1:13" ht="13.2">
      <c r="A53" s="41" t="s">
        <v>409</v>
      </c>
      <c r="B53" s="31" t="str">
        <f>HYPERLINK("http://codeforces.com/contest/152/problem/B","CF152-D2-B")</f>
        <v>CF152-D2-B</v>
      </c>
      <c r="C53" s="56"/>
      <c r="D53" s="56"/>
      <c r="E53" s="56"/>
      <c r="F53" s="56"/>
      <c r="G53" s="56"/>
      <c r="H53" s="56"/>
      <c r="I53" s="35">
        <f t="shared" si="0"/>
        <v>0</v>
      </c>
      <c r="J53" s="35"/>
      <c r="K53" s="35"/>
      <c r="L53" s="56"/>
      <c r="M53" s="50" t="str">
        <f>HYPERLINK("https://www.youtube.com/watch?v=PNB_OSbdCpQ&amp;feature=youtu.be","Video Solution - Eng Muntaser Abukadeja")</f>
        <v>Video Solution - Eng Muntaser Abukadeja</v>
      </c>
    </row>
    <row r="54" spans="1:13" ht="13.2">
      <c r="A54" s="41" t="s">
        <v>410</v>
      </c>
      <c r="B54" s="31" t="str">
        <f>HYPERLINK("http://codeforces.com/contest/186/problem/B","CF186-D2-B")</f>
        <v>CF186-D2-B</v>
      </c>
      <c r="C54" s="56"/>
      <c r="D54" s="56"/>
      <c r="E54" s="56"/>
      <c r="F54" s="56"/>
      <c r="G54" s="56"/>
      <c r="H54" s="56"/>
      <c r="I54" s="35">
        <f t="shared" si="0"/>
        <v>0</v>
      </c>
      <c r="J54" s="35"/>
      <c r="K54" s="35"/>
      <c r="L54" s="56"/>
      <c r="M54" s="50" t="str">
        <f>HYPERLINK("https://www.youtube.com/watch?v=WdzdNdsaku4","Video Solution - Eng Mohamed Salah")</f>
        <v>Video Solution - Eng Mohamed Salah</v>
      </c>
    </row>
    <row r="55" spans="1:13" ht="13.2">
      <c r="A55" s="51" t="s">
        <v>411</v>
      </c>
      <c r="B55" s="99" t="str">
        <f>HYPERLINK("http://codeforces.com/contest/148/problem/B","CF148-D2-B")</f>
        <v>CF148-D2-B</v>
      </c>
      <c r="C55" s="56"/>
      <c r="D55" s="56"/>
      <c r="E55" s="56"/>
      <c r="F55" s="56"/>
      <c r="G55" s="56"/>
      <c r="H55" s="56"/>
      <c r="I55" s="35">
        <f t="shared" si="0"/>
        <v>0</v>
      </c>
      <c r="J55" s="35"/>
      <c r="K55" s="35"/>
      <c r="L55" s="56"/>
      <c r="M55" s="105" t="str">
        <f>HYPERLINK("https://www.youtube.com/watch?v=IVVN9u6PGJM&amp;feature=youtu.be#_=_","Video Solution - Eng Ahmed Salah")</f>
        <v>Video Solution - Eng Ahmed Salah</v>
      </c>
    </row>
    <row r="56" spans="1:13" ht="13.2">
      <c r="A56" s="48"/>
      <c r="B56" s="91"/>
      <c r="C56" s="56"/>
      <c r="D56" s="56"/>
      <c r="E56" s="56"/>
      <c r="F56" s="56"/>
      <c r="G56" s="56"/>
      <c r="H56" s="56"/>
      <c r="I56" s="35"/>
      <c r="J56" s="35"/>
      <c r="K56" s="35"/>
      <c r="L56" s="56"/>
      <c r="M56" s="106" t="s">
        <v>412</v>
      </c>
    </row>
    <row r="57" spans="1:13" ht="13.2">
      <c r="A57" s="48"/>
      <c r="B57" s="91"/>
      <c r="C57" s="56"/>
      <c r="D57" s="56"/>
      <c r="E57" s="56"/>
      <c r="F57" s="56"/>
      <c r="G57" s="56"/>
      <c r="H57" s="56"/>
      <c r="I57" s="35">
        <f>SUM(E57:H57)</f>
        <v>0</v>
      </c>
      <c r="J57" s="35"/>
      <c r="K57" s="35"/>
      <c r="L57" s="56"/>
      <c r="M57" s="106" t="s">
        <v>413</v>
      </c>
    </row>
    <row r="58" spans="1:13" ht="13.2">
      <c r="A58" s="48"/>
      <c r="B58" s="91"/>
      <c r="C58" s="56"/>
      <c r="D58" s="56"/>
      <c r="E58" s="56"/>
      <c r="F58" s="56"/>
      <c r="G58" s="56"/>
      <c r="H58" s="56"/>
      <c r="I58" s="35"/>
      <c r="J58" s="35"/>
      <c r="K58" s="35"/>
      <c r="L58" s="56"/>
      <c r="M58" s="106"/>
    </row>
    <row r="59" spans="1:13" ht="13.2">
      <c r="A59" s="48"/>
      <c r="B59" s="91"/>
      <c r="C59" s="56"/>
      <c r="D59" s="56"/>
      <c r="E59" s="56"/>
      <c r="F59" s="56"/>
      <c r="G59" s="56"/>
      <c r="H59" s="56"/>
      <c r="I59" s="35">
        <f t="shared" ref="I59:I133" si="1">SUM(E59:H59)</f>
        <v>0</v>
      </c>
      <c r="J59" s="35"/>
      <c r="K59" s="35"/>
      <c r="L59" s="56"/>
      <c r="M59" s="92" t="str">
        <f>HYPERLINK("https://www.youtube.com/watch?v=gFdP6X4CyKU","Watch - Intro to DP - 1")</f>
        <v>Watch - Intro to DP - 1</v>
      </c>
    </row>
    <row r="60" spans="1:13" ht="13.2">
      <c r="A60" s="48"/>
      <c r="B60" s="91"/>
      <c r="C60" s="56"/>
      <c r="D60" s="56"/>
      <c r="E60" s="56"/>
      <c r="F60" s="56"/>
      <c r="G60" s="56"/>
      <c r="H60" s="56"/>
      <c r="I60" s="35">
        <f t="shared" si="1"/>
        <v>0</v>
      </c>
      <c r="J60" s="35"/>
      <c r="K60" s="35"/>
      <c r="L60" s="56"/>
      <c r="M60" s="92" t="str">
        <f>HYPERLINK("https://www.youtube.com/watch?v=1j3srLj-C5Q","Watch - Intro to DP - 2")</f>
        <v>Watch - Intro to DP - 2</v>
      </c>
    </row>
    <row r="61" spans="1:13" ht="13.2">
      <c r="A61" s="62" t="s">
        <v>414</v>
      </c>
      <c r="B61" s="107" t="str">
        <f>HYPERLINK("http://codeforces.com/contest/699/problem/C","CF699-D2-C")</f>
        <v>CF699-D2-C</v>
      </c>
      <c r="C61" s="10"/>
      <c r="D61" s="10"/>
      <c r="E61" s="10"/>
      <c r="F61" s="10"/>
      <c r="G61" s="10"/>
      <c r="H61" s="56"/>
      <c r="I61" s="35">
        <f t="shared" si="1"/>
        <v>0</v>
      </c>
      <c r="J61" s="35"/>
      <c r="K61" s="35"/>
      <c r="L61" s="10"/>
      <c r="M61" s="10"/>
    </row>
    <row r="62" spans="1:13" ht="13.2">
      <c r="A62" s="62" t="s">
        <v>415</v>
      </c>
      <c r="B62" s="107" t="str">
        <f>HYPERLINK("http://codeforces.com/contest/545/problem/C","CF545-D2-C")</f>
        <v>CF545-D2-C</v>
      </c>
      <c r="C62" s="10"/>
      <c r="D62" s="10"/>
      <c r="E62" s="10"/>
      <c r="F62" s="10"/>
      <c r="G62" s="10"/>
      <c r="H62" s="56"/>
      <c r="I62" s="35">
        <f t="shared" si="1"/>
        <v>0</v>
      </c>
      <c r="J62" s="35"/>
      <c r="K62" s="35"/>
      <c r="L62" s="10"/>
      <c r="M62" s="10"/>
    </row>
    <row r="63" spans="1:13" ht="13.2">
      <c r="A63" s="62" t="s">
        <v>416</v>
      </c>
      <c r="B63" s="94" t="str">
        <f>HYPERLINK("http://codeforces.com/contest/225/problem/C","CF225-D2-C")</f>
        <v>CF225-D2-C</v>
      </c>
      <c r="C63" s="56"/>
      <c r="D63" s="56"/>
      <c r="E63" s="56"/>
      <c r="F63" s="56"/>
      <c r="G63" s="56"/>
      <c r="H63" s="56"/>
      <c r="I63" s="35">
        <f t="shared" si="1"/>
        <v>0</v>
      </c>
      <c r="J63" s="35"/>
      <c r="K63" s="35"/>
      <c r="L63" s="56"/>
      <c r="M63" s="50" t="str">
        <f>HYPERLINK("https://www.youtube.com/watch?v=O7Tja1S5IYQ","Video Solution - Dr Mostafa Saad")</f>
        <v>Video Solution - Dr Mostafa Saad</v>
      </c>
    </row>
    <row r="64" spans="1:13" ht="13.2">
      <c r="A64" s="66" t="s">
        <v>417</v>
      </c>
      <c r="B64" s="108" t="str">
        <f>HYPERLINK("https://uva.onlinejudge.org/index.php?option=onlinejudge&amp;page=show_problem&amp;problem=2035","UVA 11094")</f>
        <v>UVA 11094</v>
      </c>
      <c r="C64" s="56"/>
      <c r="D64" s="56"/>
      <c r="E64" s="56"/>
      <c r="F64" s="56"/>
      <c r="G64" s="56"/>
      <c r="H64" s="56"/>
      <c r="I64" s="35">
        <f t="shared" si="1"/>
        <v>0</v>
      </c>
      <c r="J64" s="35"/>
      <c r="K64" s="35"/>
      <c r="L64" s="56"/>
      <c r="M64" s="50" t="str">
        <f>HYPERLINK("https://www.youtube.com/watch?v=vLuFqaQ40RI","Video Solution - Eng Ayman Salah")</f>
        <v>Video Solution - Eng Ayman Salah</v>
      </c>
    </row>
    <row r="65" spans="1:13" ht="13.2">
      <c r="A65" s="66" t="s">
        <v>418</v>
      </c>
      <c r="B65" s="96" t="str">
        <f>HYPERLINK("https://uva.onlinejudge.org/index.php?option=onlinejudge&amp;page=show_problem&amp;problem=1806","UVA 10865")</f>
        <v>UVA 10865</v>
      </c>
      <c r="C65" s="10"/>
      <c r="D65" s="10"/>
      <c r="E65" s="10"/>
      <c r="F65" s="10"/>
      <c r="G65" s="10"/>
      <c r="H65" s="56"/>
      <c r="I65" s="35">
        <f t="shared" si="1"/>
        <v>0</v>
      </c>
      <c r="J65" s="35"/>
      <c r="K65" s="35"/>
      <c r="L65" s="10"/>
      <c r="M65" s="78" t="str">
        <f>HYPERLINK("https://www.youtube.com/watch?v=VZ7kCc80C6o&amp;feature=youtu.be","Video Solution - Eng Magdy Hasan")</f>
        <v>Video Solution - Eng Magdy Hasan</v>
      </c>
    </row>
    <row r="66" spans="1:13" ht="13.2">
      <c r="A66" s="66" t="s">
        <v>419</v>
      </c>
      <c r="B66" s="97" t="str">
        <f>HYPERLINK("http://acm.timus.ru/problem.aspx?space=1&amp;num=1054","TIMUS 1054")</f>
        <v>TIMUS 1054</v>
      </c>
      <c r="C66" s="10"/>
      <c r="D66" s="10"/>
      <c r="E66" s="10"/>
      <c r="F66" s="10"/>
      <c r="G66" s="10"/>
      <c r="H66" s="56"/>
      <c r="I66" s="35">
        <f t="shared" si="1"/>
        <v>0</v>
      </c>
      <c r="J66" s="35"/>
      <c r="K66" s="35"/>
      <c r="L66" s="10"/>
      <c r="M66" s="78" t="str">
        <f>HYPERLINK("https://github.com/MeGaCrazy/CompetitiveProgramming/blob/9ebf16b4239c8f58c694f2ae22c8f07d1fa70864/Timus/TIMUS_1054.cpp","Sol")</f>
        <v>Sol</v>
      </c>
    </row>
    <row r="67" spans="1:13" ht="13.2">
      <c r="A67" s="48"/>
      <c r="B67" s="91"/>
      <c r="C67" s="56"/>
      <c r="D67" s="56"/>
      <c r="E67" s="56"/>
      <c r="F67" s="56"/>
      <c r="G67" s="56"/>
      <c r="H67" s="56"/>
      <c r="I67" s="35">
        <f t="shared" si="1"/>
        <v>0</v>
      </c>
      <c r="J67" s="35"/>
      <c r="K67" s="35"/>
      <c r="L67" s="56"/>
      <c r="M67" s="48"/>
    </row>
    <row r="68" spans="1:13" ht="13.2">
      <c r="A68" s="41" t="s">
        <v>420</v>
      </c>
      <c r="B68" s="31" t="str">
        <f>HYPERLINK("http://codeforces.com/contest/262/problem/B","CF262-D2-B")</f>
        <v>CF262-D2-B</v>
      </c>
      <c r="C68" s="56"/>
      <c r="D68" s="56"/>
      <c r="E68" s="56"/>
      <c r="F68" s="56"/>
      <c r="G68" s="56"/>
      <c r="H68" s="56"/>
      <c r="I68" s="35">
        <f t="shared" si="1"/>
        <v>0</v>
      </c>
      <c r="J68" s="35"/>
      <c r="K68" s="35"/>
      <c r="L68" s="56"/>
      <c r="M68" s="50" t="str">
        <f>HYPERLINK("https://www.youtube.com/watch?v=6Ic_MPWfhEg","Video Solution - Eng Mohamed Salah")</f>
        <v>Video Solution - Eng Mohamed Salah</v>
      </c>
    </row>
    <row r="69" spans="1:13" ht="13.2">
      <c r="A69" s="41" t="s">
        <v>421</v>
      </c>
      <c r="B69" s="31" t="str">
        <f>HYPERLINK("http://codeforces.com/contest/385/problem/B","CF385-D2-B")</f>
        <v>CF385-D2-B</v>
      </c>
      <c r="C69" s="56"/>
      <c r="D69" s="56"/>
      <c r="E69" s="56"/>
      <c r="F69" s="56"/>
      <c r="G69" s="56"/>
      <c r="H69" s="56"/>
      <c r="I69" s="35">
        <f t="shared" si="1"/>
        <v>0</v>
      </c>
      <c r="J69" s="35"/>
      <c r="K69" s="35"/>
      <c r="L69" s="56"/>
      <c r="M69" s="50" t="str">
        <f>HYPERLINK("https://www.youtube.com/watch?v=hTUYMzcMuvA","Video Solution - Eng Mohamed Salah")</f>
        <v>Video Solution - Eng Mohamed Salah</v>
      </c>
    </row>
    <row r="70" spans="1:13" ht="13.2">
      <c r="A70" s="41" t="s">
        <v>422</v>
      </c>
      <c r="B70" s="31" t="str">
        <f>HYPERLINK("http://codeforces.com/contest/376/problem/B","CF376-D2-B")</f>
        <v>CF376-D2-B</v>
      </c>
      <c r="C70" s="56"/>
      <c r="D70" s="56"/>
      <c r="E70" s="56"/>
      <c r="F70" s="56"/>
      <c r="G70" s="56"/>
      <c r="H70" s="56"/>
      <c r="I70" s="35">
        <f t="shared" si="1"/>
        <v>0</v>
      </c>
      <c r="J70" s="35"/>
      <c r="K70" s="35"/>
      <c r="L70" s="56"/>
      <c r="M70" s="50" t="str">
        <f>HYPERLINK("https://www.youtube.com/watch?v=d962qNWSvas&amp;feature=youtu.be","Video Solution - Eng Abanob Ashraf")</f>
        <v>Video Solution - Eng Abanob Ashraf</v>
      </c>
    </row>
    <row r="71" spans="1:13" ht="13.2">
      <c r="A71" s="41" t="s">
        <v>423</v>
      </c>
      <c r="B71" s="31" t="str">
        <f>HYPERLINK("http://codeforces.com/contest/352/problem/B","CF352-D2-B")</f>
        <v>CF352-D2-B</v>
      </c>
      <c r="C71" s="56"/>
      <c r="D71" s="56"/>
      <c r="E71" s="56"/>
      <c r="F71" s="56"/>
      <c r="G71" s="56"/>
      <c r="H71" s="56"/>
      <c r="I71" s="35">
        <f t="shared" si="1"/>
        <v>0</v>
      </c>
      <c r="J71" s="35"/>
      <c r="K71" s="35"/>
      <c r="L71" s="56"/>
      <c r="M71" s="50" t="str">
        <f>HYPERLINK("https://www.youtube.com/watch?v=7xgzxrYuwUc","Video Solution - Eng Muntaser Abukadeja")</f>
        <v>Video Solution - Eng Muntaser Abukadeja</v>
      </c>
    </row>
    <row r="72" spans="1:13" ht="13.2">
      <c r="A72" s="41" t="s">
        <v>424</v>
      </c>
      <c r="B72" s="109" t="str">
        <f>HYPERLINK("http://codeforces.com/contest/144/problem/B","CF144-D2-B")</f>
        <v>CF144-D2-B</v>
      </c>
      <c r="C72" s="56"/>
      <c r="D72" s="56"/>
      <c r="E72" s="56"/>
      <c r="F72" s="56"/>
      <c r="G72" s="56"/>
      <c r="H72" s="56"/>
      <c r="I72" s="35">
        <f t="shared" si="1"/>
        <v>0</v>
      </c>
      <c r="J72" s="35"/>
      <c r="K72" s="35"/>
      <c r="L72" s="56"/>
      <c r="M72" s="50" t="str">
        <f>HYPERLINK("https://www.youtube.com/watch?v=9fpKWAPudyo&amp;feature=youtu.be","Video Solution - Eng Muntaser Abukadeja")</f>
        <v>Video Solution - Eng Muntaser Abukadeja</v>
      </c>
    </row>
    <row r="73" spans="1:13" ht="13.2">
      <c r="A73" s="41" t="s">
        <v>425</v>
      </c>
      <c r="B73" s="31" t="str">
        <f>HYPERLINK("http://codeforces.com/contest/617/problem/B","CF617-D2-B")</f>
        <v>CF617-D2-B</v>
      </c>
      <c r="C73" s="56"/>
      <c r="D73" s="56"/>
      <c r="E73" s="56"/>
      <c r="F73" s="56"/>
      <c r="G73" s="56"/>
      <c r="H73" s="56"/>
      <c r="I73" s="35">
        <f t="shared" si="1"/>
        <v>0</v>
      </c>
      <c r="J73" s="35"/>
      <c r="K73" s="35"/>
      <c r="L73" s="56"/>
      <c r="M73" s="50" t="str">
        <f>HYPERLINK("https://www.youtube.com/watch?v=APkfGgJJVCc","Video Solution - Eng Yahia Ashraf")</f>
        <v>Video Solution - Eng Yahia Ashraf</v>
      </c>
    </row>
    <row r="74" spans="1:13" ht="13.2">
      <c r="A74" s="41" t="s">
        <v>426</v>
      </c>
      <c r="B74" s="31" t="str">
        <f>HYPERLINK("http://codeforces.com/contest/236/problem/B","CF236-D2-B")</f>
        <v>CF236-D2-B</v>
      </c>
      <c r="C74" s="56"/>
      <c r="D74" s="56"/>
      <c r="E74" s="56"/>
      <c r="F74" s="56"/>
      <c r="G74" s="56"/>
      <c r="H74" s="56"/>
      <c r="I74" s="35">
        <f t="shared" si="1"/>
        <v>0</v>
      </c>
      <c r="J74" s="35"/>
      <c r="K74" s="35"/>
      <c r="L74" s="56"/>
      <c r="M74" s="50" t="str">
        <f>HYPERLINK("https://www.youtube.com/watch?v=Tv2JpMqQWYg","Video Solution - Eng Yahia Ashraf")</f>
        <v>Video Solution - Eng Yahia Ashraf</v>
      </c>
    </row>
    <row r="75" spans="1:13" ht="13.2">
      <c r="A75" s="48" t="s">
        <v>427</v>
      </c>
      <c r="B75" s="110" t="str">
        <f>HYPERLINK("http://codeforces.com/contest/514/problem/B","CF514-D2-B")</f>
        <v>CF514-D2-B</v>
      </c>
      <c r="C75" s="10"/>
      <c r="D75" s="10"/>
      <c r="E75" s="10"/>
      <c r="F75" s="10"/>
      <c r="G75" s="10"/>
      <c r="H75" s="56"/>
      <c r="I75" s="35">
        <f t="shared" si="1"/>
        <v>0</v>
      </c>
      <c r="J75" s="35"/>
      <c r="K75" s="35"/>
      <c r="L75" s="10"/>
      <c r="M75" s="103" t="s">
        <v>428</v>
      </c>
    </row>
    <row r="76" spans="1:13" ht="13.2">
      <c r="A76" s="48" t="s">
        <v>429</v>
      </c>
      <c r="B76" s="110" t="str">
        <f>HYPERLINK("http://codeforces.com/contest/253/problem/B","CF253-D2-B")</f>
        <v>CF253-D2-B</v>
      </c>
      <c r="C76" s="10"/>
      <c r="D76" s="10"/>
      <c r="E76" s="10"/>
      <c r="F76" s="10"/>
      <c r="G76" s="10"/>
      <c r="H76" s="56"/>
      <c r="I76" s="35">
        <f t="shared" si="1"/>
        <v>0</v>
      </c>
      <c r="J76" s="35"/>
      <c r="K76" s="35"/>
      <c r="L76" s="10"/>
      <c r="M76" s="50" t="str">
        <f>HYPERLINK("https://www.youtube.com/watch?v=ZR0IxC_xoFk","Video Solution - Eng Mohamed Salah")</f>
        <v>Video Solution - Eng Mohamed Salah</v>
      </c>
    </row>
    <row r="77" spans="1:13" ht="13.2">
      <c r="A77" s="48" t="s">
        <v>430</v>
      </c>
      <c r="B77" s="110" t="str">
        <f>HYPERLINK("http://codeforces.com/contest/520/problem/B","CF520-D2-B")</f>
        <v>CF520-D2-B</v>
      </c>
      <c r="C77" s="10"/>
      <c r="D77" s="10"/>
      <c r="E77" s="10"/>
      <c r="F77" s="10"/>
      <c r="G77" s="10"/>
      <c r="H77" s="56"/>
      <c r="I77" s="35">
        <f t="shared" si="1"/>
        <v>0</v>
      </c>
      <c r="J77" s="35"/>
      <c r="K77" s="35"/>
      <c r="L77" s="10"/>
      <c r="M77" s="50" t="str">
        <f>HYPERLINK("https://www.youtube.com/watch?v=tMsOxSRU4Sk","Video Solution - Solver to be (Java)")</f>
        <v>Video Solution - Solver to be (Java)</v>
      </c>
    </row>
    <row r="78" spans="1:13" ht="13.2">
      <c r="A78" s="48"/>
      <c r="B78" s="91"/>
      <c r="C78" s="10"/>
      <c r="D78" s="10"/>
      <c r="E78" s="10"/>
      <c r="F78" s="10"/>
      <c r="G78" s="10"/>
      <c r="H78" s="56"/>
      <c r="I78" s="35">
        <f t="shared" si="1"/>
        <v>0</v>
      </c>
      <c r="J78" s="35"/>
      <c r="K78" s="35"/>
      <c r="L78" s="56"/>
      <c r="M78" s="92"/>
    </row>
    <row r="79" spans="1:13" ht="13.2">
      <c r="A79" s="48"/>
      <c r="B79" s="91"/>
      <c r="C79" s="56"/>
      <c r="D79" s="56"/>
      <c r="E79" s="56"/>
      <c r="F79" s="56"/>
      <c r="G79" s="56"/>
      <c r="H79" s="56"/>
      <c r="I79" s="35">
        <f t="shared" si="1"/>
        <v>0</v>
      </c>
      <c r="J79" s="35"/>
      <c r="K79" s="35"/>
      <c r="L79" s="56"/>
      <c r="M79" s="92" t="str">
        <f>HYPERLINK("https://www.youtube.com/watch?v=dcMtSmWHLP4","Watch - Computational Geometry - Complex Number and 2D Point")</f>
        <v>Watch - Computational Geometry - Complex Number and 2D Point</v>
      </c>
    </row>
    <row r="80" spans="1:13" ht="13.2">
      <c r="A80" s="48"/>
      <c r="B80" s="91"/>
      <c r="C80" s="56"/>
      <c r="D80" s="56"/>
      <c r="E80" s="56"/>
      <c r="F80" s="56"/>
      <c r="G80" s="56"/>
      <c r="H80" s="56"/>
      <c r="I80" s="35">
        <f t="shared" si="1"/>
        <v>0</v>
      </c>
      <c r="J80" s="35"/>
      <c r="K80" s="35"/>
      <c r="L80" s="56"/>
      <c r="M80" s="92" t="str">
        <f>HYPERLINK("https://www.youtube.com/watch?v=1Vi2h7dKdEQ","Watch - Computational Geometry - Lines and Distances")</f>
        <v>Watch - Computational Geometry - Lines and Distances</v>
      </c>
    </row>
    <row r="81" spans="1:13" ht="13.2">
      <c r="A81" s="62" t="s">
        <v>431</v>
      </c>
      <c r="B81" s="94" t="str">
        <f>HYPERLINK("https://uva.onlinejudge.org/index.php?option=com_onlinejudge&amp;Itemid=8&amp;page=show_problem&amp;problem=314","UVA 378")</f>
        <v>UVA 378</v>
      </c>
      <c r="C81" s="56"/>
      <c r="D81" s="56"/>
      <c r="E81" s="56"/>
      <c r="F81" s="56"/>
      <c r="G81" s="56"/>
      <c r="H81" s="56"/>
      <c r="I81" s="35">
        <f t="shared" si="1"/>
        <v>0</v>
      </c>
      <c r="J81" s="35"/>
      <c r="K81" s="35"/>
      <c r="L81" s="56"/>
      <c r="M81" s="48"/>
    </row>
    <row r="82" spans="1:13" ht="13.2">
      <c r="A82" s="66" t="s">
        <v>432</v>
      </c>
      <c r="B82" s="108" t="str">
        <f>HYPERLINK("https://uva.onlinejudge.org/index.php?option=com_onlinejudge&amp;Itemid=8&amp;page=show_problem&amp;problem=1018","UVA 10077")</f>
        <v>UVA 10077</v>
      </c>
      <c r="C82" s="56"/>
      <c r="D82" s="56"/>
      <c r="E82" s="56"/>
      <c r="F82" s="56"/>
      <c r="G82" s="56"/>
      <c r="H82" s="56"/>
      <c r="I82" s="35">
        <f t="shared" si="1"/>
        <v>0</v>
      </c>
      <c r="J82" s="35"/>
      <c r="K82" s="35"/>
      <c r="L82" s="56"/>
      <c r="M82" s="48"/>
    </row>
    <row r="83" spans="1:13" ht="13.2">
      <c r="A83" s="66" t="s">
        <v>433</v>
      </c>
      <c r="B83" s="96" t="str">
        <f>HYPERLINK("http://codeforces.com/contest/505/problem/B","CF505-D2-B")</f>
        <v>CF505-D2-B</v>
      </c>
      <c r="C83" s="56"/>
      <c r="D83" s="56"/>
      <c r="E83" s="56"/>
      <c r="F83" s="56"/>
      <c r="G83" s="56"/>
      <c r="H83" s="56"/>
      <c r="I83" s="35">
        <f t="shared" si="1"/>
        <v>0</v>
      </c>
      <c r="J83" s="10"/>
      <c r="K83" s="10"/>
      <c r="L83" s="10"/>
      <c r="M83" s="111" t="str">
        <f>HYPERLINK("https://www.youtube.com/watch?v=4516VTXcDJM&amp;feature=youtu.be","Video Solution - Eng Muntaser Abukadeja")</f>
        <v>Video Solution - Eng Muntaser Abukadeja</v>
      </c>
    </row>
    <row r="84" spans="1:13" ht="13.2">
      <c r="A84" s="48"/>
      <c r="B84" s="91"/>
      <c r="C84" s="56"/>
      <c r="D84" s="56"/>
      <c r="E84" s="56"/>
      <c r="F84" s="56"/>
      <c r="G84" s="56"/>
      <c r="H84" s="56"/>
      <c r="I84" s="35">
        <f t="shared" si="1"/>
        <v>0</v>
      </c>
      <c r="J84" s="35"/>
      <c r="K84" s="35"/>
      <c r="L84" s="56"/>
      <c r="M84" s="48"/>
    </row>
    <row r="85" spans="1:13" ht="13.2">
      <c r="A85" s="41" t="s">
        <v>434</v>
      </c>
      <c r="B85" s="31" t="str">
        <f>HYPERLINK("http://codeforces.com/contest/445/problem/B","CF445-D2-B")</f>
        <v>CF445-D2-B</v>
      </c>
      <c r="C85" s="56"/>
      <c r="D85" s="56"/>
      <c r="E85" s="56"/>
      <c r="F85" s="56"/>
      <c r="G85" s="56"/>
      <c r="H85" s="56"/>
      <c r="I85" s="35">
        <f t="shared" si="1"/>
        <v>0</v>
      </c>
      <c r="J85" s="35"/>
      <c r="K85" s="35"/>
      <c r="L85" s="56"/>
      <c r="M85" s="103" t="s">
        <v>435</v>
      </c>
    </row>
    <row r="86" spans="1:13" ht="13.2">
      <c r="A86" s="41" t="s">
        <v>436</v>
      </c>
      <c r="B86" s="31" t="str">
        <f>HYPERLINK("http://codeforces.com/contest/584/problem/B","CF584-D2-B")</f>
        <v>CF584-D2-B</v>
      </c>
      <c r="C86" s="56"/>
      <c r="D86" s="56"/>
      <c r="E86" s="56"/>
      <c r="F86" s="56"/>
      <c r="G86" s="56"/>
      <c r="H86" s="56"/>
      <c r="I86" s="35">
        <f t="shared" si="1"/>
        <v>0</v>
      </c>
      <c r="J86" s="35"/>
      <c r="K86" s="35"/>
      <c r="L86" s="56"/>
      <c r="M86" s="50" t="str">
        <f>HYPERLINK("https://www.youtube.com/watch?v=-Dh_FyJiJ9Q","Video Solution - Eng Yahia Ashraf")</f>
        <v>Video Solution - Eng Yahia Ashraf</v>
      </c>
    </row>
    <row r="87" spans="1:13" ht="13.2">
      <c r="A87" s="41" t="s">
        <v>437</v>
      </c>
      <c r="B87" s="31" t="str">
        <f>HYPERLINK("http://codeforces.com/contest/448/problem/B","CF448-D2-B")</f>
        <v>CF448-D2-B</v>
      </c>
      <c r="C87" s="56"/>
      <c r="D87" s="56"/>
      <c r="E87" s="56"/>
      <c r="F87" s="56"/>
      <c r="G87" s="56"/>
      <c r="H87" s="56"/>
      <c r="I87" s="35">
        <f t="shared" si="1"/>
        <v>0</v>
      </c>
      <c r="J87" s="35"/>
      <c r="K87" s="35"/>
      <c r="L87" s="56"/>
      <c r="M87" s="50" t="str">
        <f>HYPERLINK("https://www.youtube.com/watch?v=-J0VaYdgbRc","Video Solution - Eng Mohamed Salah")</f>
        <v>Video Solution - Eng Mohamed Salah</v>
      </c>
    </row>
    <row r="88" spans="1:13" ht="13.2">
      <c r="A88" s="41" t="s">
        <v>438</v>
      </c>
      <c r="B88" s="31" t="str">
        <f>HYPERLINK("http://codeforces.com/contest/716/problem/B","CF716-D2-B")</f>
        <v>CF716-D2-B</v>
      </c>
      <c r="C88" s="56"/>
      <c r="D88" s="56"/>
      <c r="E88" s="56"/>
      <c r="F88" s="56"/>
      <c r="G88" s="56"/>
      <c r="H88" s="56"/>
      <c r="I88" s="35">
        <f t="shared" si="1"/>
        <v>0</v>
      </c>
      <c r="J88" s="35"/>
      <c r="K88" s="35"/>
      <c r="L88" s="56"/>
      <c r="M88" s="50" t="str">
        <f>HYPERLINK("https://www.youtube.com/watch?v=lu6BhwVMNhw","Video Solution - Eng Mohamed Salah")</f>
        <v>Video Solution - Eng Mohamed Salah</v>
      </c>
    </row>
    <row r="89" spans="1:13" ht="13.2">
      <c r="A89" s="41" t="s">
        <v>439</v>
      </c>
      <c r="B89" s="31" t="str">
        <f>HYPERLINK("http://codeforces.com/contest/544/problem/B","CF544-D2-B")</f>
        <v>CF544-D2-B</v>
      </c>
      <c r="C89" s="56"/>
      <c r="D89" s="56"/>
      <c r="E89" s="56"/>
      <c r="F89" s="56"/>
      <c r="G89" s="56"/>
      <c r="H89" s="56"/>
      <c r="I89" s="35">
        <f t="shared" si="1"/>
        <v>0</v>
      </c>
      <c r="J89" s="35"/>
      <c r="K89" s="35"/>
      <c r="L89" s="56"/>
      <c r="M89" s="50" t="str">
        <f>HYPERLINK("https://www.youtube.com/watch?v=7MC9PFQTlxs","Video Solution - Eng Mohamed Salah")</f>
        <v>Video Solution - Eng Mohamed Salah</v>
      </c>
    </row>
    <row r="90" spans="1:13" ht="13.2">
      <c r="A90" s="48" t="s">
        <v>440</v>
      </c>
      <c r="B90" s="110" t="str">
        <f>HYPERLINK("http://codeforces.com/contest/141/problem/B","CF141-D2-B")</f>
        <v>CF141-D2-B</v>
      </c>
      <c r="C90" s="10"/>
      <c r="D90" s="10"/>
      <c r="E90" s="10"/>
      <c r="F90" s="10"/>
      <c r="G90" s="10"/>
      <c r="H90" s="56"/>
      <c r="I90" s="35">
        <f t="shared" si="1"/>
        <v>0</v>
      </c>
      <c r="J90" s="35"/>
      <c r="K90" s="35"/>
      <c r="L90" s="10"/>
      <c r="M90" s="50" t="str">
        <f>HYPERLINK("https://www.youtube.com/watch?v=edI2c3Myaek&amp;feature=youtu.be","Video Solution - Eng Yahia Ashraf")</f>
        <v>Video Solution - Eng Yahia Ashraf</v>
      </c>
    </row>
    <row r="91" spans="1:13" ht="13.2">
      <c r="A91" s="48" t="s">
        <v>441</v>
      </c>
      <c r="B91" s="110" t="str">
        <f>HYPERLINK("http://codeforces.com/contest/369/problem/B","CF369-D2-B")</f>
        <v>CF369-D2-B</v>
      </c>
      <c r="C91" s="10"/>
      <c r="D91" s="10"/>
      <c r="E91" s="10"/>
      <c r="F91" s="10"/>
      <c r="G91" s="10"/>
      <c r="H91" s="56"/>
      <c r="I91" s="35">
        <f t="shared" si="1"/>
        <v>0</v>
      </c>
      <c r="J91" s="35"/>
      <c r="K91" s="35"/>
      <c r="L91" s="10"/>
      <c r="M91" s="50" t="str">
        <f>HYPERLINK("https://www.youtube.com/watch?v=1CHX-WYiQvA","Video Solution - Eng Yahia Ashraf")</f>
        <v>Video Solution - Eng Yahia Ashraf</v>
      </c>
    </row>
    <row r="92" spans="1:13" ht="13.2">
      <c r="A92" s="48" t="s">
        <v>442</v>
      </c>
      <c r="B92" s="112" t="str">
        <f>HYPERLINK("http://codeforces.com/contest/791/problem/B","CF791-D2-B")</f>
        <v>CF791-D2-B</v>
      </c>
      <c r="C92" s="35"/>
      <c r="D92" s="35"/>
      <c r="E92" s="35"/>
      <c r="F92" s="35"/>
      <c r="G92" s="35"/>
      <c r="H92" s="35"/>
      <c r="I92" s="35">
        <f t="shared" si="1"/>
        <v>0</v>
      </c>
      <c r="J92" s="35"/>
      <c r="K92" s="35"/>
      <c r="L92" s="35"/>
      <c r="M92" s="50" t="str">
        <f>HYPERLINK("https://www.youtube.com/watch?v=3tVJoeUE0Ag&amp;feature=youtu.be","Video Solution - Eng Mohamed Salah")</f>
        <v>Video Solution - Eng Mohamed Salah</v>
      </c>
    </row>
    <row r="93" spans="1:13" ht="13.2">
      <c r="A93" s="51" t="s">
        <v>443</v>
      </c>
      <c r="B93" s="99" t="str">
        <f>HYPERLINK("http://codeforces.com/contest/550/problem/B","CF550-D2-B")</f>
        <v>CF550-D2-B</v>
      </c>
      <c r="C93" s="35"/>
      <c r="D93" s="35"/>
      <c r="E93" s="35"/>
      <c r="F93" s="35"/>
      <c r="G93" s="35"/>
      <c r="H93" s="35"/>
      <c r="I93" s="35">
        <f t="shared" si="1"/>
        <v>0</v>
      </c>
      <c r="J93" s="35"/>
      <c r="K93" s="35"/>
      <c r="L93" s="35"/>
      <c r="M93" s="77" t="str">
        <f>HYPERLINK("https://www.youtube.com/watch?v=o5fKByvQguE","Video Solution - SolverToBe (Java)")</f>
        <v>Video Solution - SolverToBe (Java)</v>
      </c>
    </row>
    <row r="94" spans="1:13" ht="13.2">
      <c r="A94" s="48"/>
      <c r="B94" s="91"/>
      <c r="C94" s="10"/>
      <c r="D94" s="10"/>
      <c r="E94" s="10"/>
      <c r="F94" s="10"/>
      <c r="G94" s="10"/>
      <c r="H94" s="56"/>
      <c r="I94" s="35">
        <f t="shared" si="1"/>
        <v>0</v>
      </c>
      <c r="J94" s="35"/>
      <c r="K94" s="35"/>
      <c r="L94" s="56"/>
      <c r="M94" s="92"/>
    </row>
    <row r="95" spans="1:13" ht="13.2">
      <c r="A95" s="48"/>
      <c r="B95" s="91"/>
      <c r="C95" s="10"/>
      <c r="D95" s="10"/>
      <c r="E95" s="10"/>
      <c r="F95" s="10"/>
      <c r="G95" s="10"/>
      <c r="H95" s="56"/>
      <c r="I95" s="35">
        <f t="shared" si="1"/>
        <v>0</v>
      </c>
      <c r="J95" s="35"/>
      <c r="K95" s="35"/>
      <c r="L95" s="56"/>
      <c r="M95" s="42" t="str">
        <f>HYPERLINK("https://www.youtube.com/watch?v=WTr12dK2Se0","Watch - Focused and Diffused Thinking")</f>
        <v>Watch - Focused and Diffused Thinking</v>
      </c>
    </row>
    <row r="96" spans="1:13" ht="13.2">
      <c r="A96" s="48"/>
      <c r="B96" s="91"/>
      <c r="C96" s="10"/>
      <c r="D96" s="10"/>
      <c r="E96" s="10"/>
      <c r="F96" s="10"/>
      <c r="G96" s="10"/>
      <c r="H96" s="56"/>
      <c r="I96" s="35">
        <f t="shared" si="1"/>
        <v>0</v>
      </c>
      <c r="J96" s="35"/>
      <c r="K96" s="35"/>
      <c r="L96" s="56"/>
      <c r="M96" s="93" t="str">
        <f>HYPERLINK("https://www.youtube.com/watch?v=tcQky6O1em8","Watch - Graph Theory - MST - Prime")</f>
        <v>Watch - Graph Theory - MST - Prime</v>
      </c>
    </row>
    <row r="97" spans="1:13" ht="13.2">
      <c r="A97" s="48"/>
      <c r="B97" s="91"/>
      <c r="C97" s="10"/>
      <c r="D97" s="10"/>
      <c r="E97" s="10"/>
      <c r="F97" s="10"/>
      <c r="G97" s="10"/>
      <c r="H97" s="56"/>
      <c r="I97" s="35">
        <f t="shared" si="1"/>
        <v>0</v>
      </c>
      <c r="J97" s="35"/>
      <c r="K97" s="35"/>
      <c r="L97" s="56"/>
      <c r="M97" s="92" t="str">
        <f>HYPERLINK("https://www.youtube.com/watch?v=HQ5ANfzSDn0","Watch - Graph Theory - MST - Kruskal")</f>
        <v>Watch - Graph Theory - MST - Kruskal</v>
      </c>
    </row>
    <row r="98" spans="1:13" ht="13.2">
      <c r="A98" s="62" t="s">
        <v>444</v>
      </c>
      <c r="B98" s="94" t="str">
        <f>HYPERLINK("https://uva.onlinejudge.org/index.php?option=com_onlinejudge&amp;Itemid=8&amp;page=show_problem&amp;problem=1088","UVA 10147")</f>
        <v>UVA 10147</v>
      </c>
      <c r="C98" s="56"/>
      <c r="D98" s="56"/>
      <c r="E98" s="56"/>
      <c r="F98" s="56"/>
      <c r="G98" s="56"/>
      <c r="H98" s="56"/>
      <c r="I98" s="35">
        <f t="shared" si="1"/>
        <v>0</v>
      </c>
      <c r="J98" s="35"/>
      <c r="K98" s="35"/>
      <c r="L98" s="56"/>
      <c r="M98" s="78" t="str">
        <f>HYPERLINK("https://www.youtube.com/watch?v=yNkLz4OVXtI","Video Solution - Eng Mahmoud Adel")</f>
        <v>Video Solution - Eng Mahmoud Adel</v>
      </c>
    </row>
    <row r="99" spans="1:13" ht="13.2">
      <c r="A99" s="62" t="s">
        <v>445</v>
      </c>
      <c r="B99" s="94" t="str">
        <f>HYPERLINK("https://uva.onlinejudge.org/index.php?option=com_onlinejudge&amp;Itemid=8&amp;page=show_problem&amp;problem=1541","UVA 10600")</f>
        <v>UVA 10600</v>
      </c>
      <c r="C99" s="56"/>
      <c r="D99" s="56"/>
      <c r="E99" s="56"/>
      <c r="F99" s="56"/>
      <c r="G99" s="56"/>
      <c r="H99" s="56"/>
      <c r="I99" s="35">
        <f t="shared" si="1"/>
        <v>0</v>
      </c>
      <c r="J99" s="35"/>
      <c r="K99" s="35"/>
      <c r="L99" s="56"/>
      <c r="M99" s="78" t="str">
        <f>HYPERLINK("https://www.youtube.com/watch?v=94EApxauQQE&amp;feature=youtu.be","Video Solution - Eng Moaz Rashad")</f>
        <v>Video Solution - Eng Moaz Rashad</v>
      </c>
    </row>
    <row r="100" spans="1:13" ht="13.2">
      <c r="A100" s="62" t="s">
        <v>446</v>
      </c>
      <c r="B100" s="94" t="str">
        <f>HYPERLINK("https://uva.onlinejudge.org/index.php?option=onlinejudge&amp;page=show_problem&amp;problem=2498","UVA 11503")</f>
        <v>UVA 11503</v>
      </c>
      <c r="C100" s="56"/>
      <c r="D100" s="56"/>
      <c r="E100" s="56"/>
      <c r="F100" s="56"/>
      <c r="G100" s="56"/>
      <c r="H100" s="56"/>
      <c r="I100" s="35">
        <f t="shared" si="1"/>
        <v>0</v>
      </c>
      <c r="J100" s="35"/>
      <c r="K100" s="35"/>
      <c r="L100" s="56"/>
      <c r="M100" s="78" t="str">
        <f>HYPERLINK("https://www.youtube.com/watch?v=kO_XbOt1drc","Video Solution - Eng Moaz Rashad")</f>
        <v>Video Solution - Eng Moaz Rashad</v>
      </c>
    </row>
    <row r="101" spans="1:13" ht="13.2">
      <c r="A101" s="62" t="s">
        <v>447</v>
      </c>
      <c r="B101" s="94" t="str">
        <f>HYPERLINK("https://uva.onlinejudge.org/index.php?option=com_onlinejudge&amp;Itemid=8&amp;page=show_problem&amp;problem=1310","UVA 10369")</f>
        <v>UVA 10369</v>
      </c>
      <c r="C101" s="56"/>
      <c r="D101" s="56"/>
      <c r="E101" s="56"/>
      <c r="F101" s="56"/>
      <c r="G101" s="56"/>
      <c r="H101" s="56"/>
      <c r="I101" s="68">
        <f t="shared" si="1"/>
        <v>0</v>
      </c>
      <c r="J101" s="35"/>
      <c r="K101" s="35"/>
      <c r="L101" s="56"/>
      <c r="M101" s="48"/>
    </row>
    <row r="102" spans="1:13" ht="13.2">
      <c r="A102" s="66" t="s">
        <v>448</v>
      </c>
      <c r="B102" s="96" t="str">
        <f>HYPERLINK("https://uva.onlinejudge.org/index.php?option=com_onlinejudge&amp;Itemid=8&amp;page=show_problem&amp;problem=58","UVA 122")</f>
        <v>UVA 122</v>
      </c>
      <c r="C102" s="35"/>
      <c r="D102" s="35"/>
      <c r="E102" s="35"/>
      <c r="F102" s="35"/>
      <c r="G102" s="35"/>
      <c r="H102" s="35"/>
      <c r="I102" s="35">
        <f t="shared" si="1"/>
        <v>0</v>
      </c>
      <c r="J102" s="35"/>
      <c r="K102" s="35"/>
      <c r="L102" s="35"/>
      <c r="M102" s="77" t="str">
        <f>HYPERLINK("https://www.youtube.com/watch?v=b6D-7cqN2jM","Video Solution - SolverToBe (Java)")</f>
        <v>Video Solution - SolverToBe (Java)</v>
      </c>
    </row>
    <row r="103" spans="1:13" ht="13.2">
      <c r="A103" s="66" t="s">
        <v>449</v>
      </c>
      <c r="B103" s="97" t="str">
        <f>HYPERLINK("http://acm.timus.ru/problem.aspx?space=1&amp;num=1100","TIMUS 1100")</f>
        <v>TIMUS 1100</v>
      </c>
      <c r="C103" s="35"/>
      <c r="D103" s="35"/>
      <c r="E103" s="35"/>
      <c r="F103" s="35"/>
      <c r="G103" s="35"/>
      <c r="H103" s="35"/>
      <c r="I103" s="35">
        <f t="shared" si="1"/>
        <v>0</v>
      </c>
      <c r="J103" s="35"/>
      <c r="K103" s="35"/>
      <c r="L103" s="35"/>
      <c r="M103" s="77" t="str">
        <f>HYPERLINK("https://github.com/marioyc/Online-Judge-Solutions/blob/master/Timus%20Online%20Judge/1100%20-%20Final%20Standings.cpp","Stable sort exercise")</f>
        <v>Stable sort exercise</v>
      </c>
    </row>
    <row r="104" spans="1:13" ht="13.2">
      <c r="A104" s="66" t="s">
        <v>450</v>
      </c>
      <c r="B104" s="97" t="str">
        <f>HYPERLINK("http://acm.timus.ru/problem.aspx?space=1&amp;num=1349","TIMUS 1349")</f>
        <v>TIMUS 1349</v>
      </c>
      <c r="C104" s="35"/>
      <c r="D104" s="35"/>
      <c r="E104" s="35"/>
      <c r="F104" s="35"/>
      <c r="G104" s="35"/>
      <c r="H104" s="35"/>
      <c r="I104" s="35">
        <f t="shared" si="1"/>
        <v>0</v>
      </c>
      <c r="J104" s="35"/>
      <c r="K104" s="35"/>
      <c r="L104" s="35"/>
      <c r="M104" s="77" t="str">
        <f>HYPERLINK("http://xoptutorials.com/index.php/2017/01/01/timus1349/","Learn Fermat’s Last Theorem")</f>
        <v>Learn Fermat’s Last Theorem</v>
      </c>
    </row>
    <row r="105" spans="1:13" ht="13.2">
      <c r="A105" s="48"/>
      <c r="B105" s="91"/>
      <c r="C105" s="56"/>
      <c r="D105" s="56"/>
      <c r="E105" s="56"/>
      <c r="F105" s="56"/>
      <c r="G105" s="56"/>
      <c r="H105" s="56"/>
      <c r="I105" s="35">
        <f t="shared" si="1"/>
        <v>0</v>
      </c>
      <c r="J105" s="35"/>
      <c r="K105" s="35"/>
      <c r="L105" s="56"/>
      <c r="M105" s="48"/>
    </row>
    <row r="106" spans="1:13" ht="13.2">
      <c r="A106" s="41" t="s">
        <v>451</v>
      </c>
      <c r="B106" s="31" t="str">
        <f>HYPERLINK("http://codeforces.com/contest/415/problem/B","CF415-D2-B")</f>
        <v>CF415-D2-B</v>
      </c>
      <c r="C106" s="56"/>
      <c r="D106" s="56"/>
      <c r="E106" s="56"/>
      <c r="F106" s="56"/>
      <c r="G106" s="56"/>
      <c r="H106" s="56"/>
      <c r="I106" s="35">
        <f t="shared" si="1"/>
        <v>0</v>
      </c>
      <c r="J106" s="35"/>
      <c r="K106" s="35"/>
      <c r="L106" s="56"/>
      <c r="M106" s="78" t="str">
        <f>HYPERLINK("https://www.youtube.com/watch?v=ZNxSTHmpLGc&amp;feature=youtu.be","Video Solution - Eng Salma Yehia")</f>
        <v>Video Solution - Eng Salma Yehia</v>
      </c>
    </row>
    <row r="107" spans="1:13" ht="13.2">
      <c r="A107" s="41" t="s">
        <v>452</v>
      </c>
      <c r="B107" s="31" t="str">
        <f>HYPERLINK("http://codeforces.com/contest/602/problem/B","CF602-D2-B")</f>
        <v>CF602-D2-B</v>
      </c>
      <c r="C107" s="56"/>
      <c r="D107" s="56"/>
      <c r="E107" s="56"/>
      <c r="F107" s="56"/>
      <c r="G107" s="56"/>
      <c r="H107" s="56"/>
      <c r="I107" s="35">
        <f t="shared" si="1"/>
        <v>0</v>
      </c>
      <c r="J107" s="35"/>
      <c r="K107" s="35"/>
      <c r="L107" s="56"/>
      <c r="M107" s="78" t="str">
        <f>HYPERLINK("https://www.youtube.com/watch?v=g93nX3rLVuk#_=_","Video Solution - Eng Salma Yehia")</f>
        <v>Video Solution - Eng Salma Yehia</v>
      </c>
    </row>
    <row r="108" spans="1:13" ht="13.2">
      <c r="A108" s="41" t="s">
        <v>453</v>
      </c>
      <c r="B108" s="31" t="str">
        <f>HYPERLINK("http://codeforces.com/contest/614/problem/B","CF614-D2-B")</f>
        <v>CF614-D2-B</v>
      </c>
      <c r="C108" s="56"/>
      <c r="D108" s="56"/>
      <c r="E108" s="56"/>
      <c r="F108" s="56"/>
      <c r="G108" s="56"/>
      <c r="H108" s="56"/>
      <c r="I108" s="35">
        <f t="shared" si="1"/>
        <v>0</v>
      </c>
      <c r="J108" s="35"/>
      <c r="K108" s="35"/>
      <c r="L108" s="56"/>
      <c r="M108" s="113" t="s">
        <v>454</v>
      </c>
    </row>
    <row r="109" spans="1:13" ht="39.6">
      <c r="A109" s="41" t="s">
        <v>455</v>
      </c>
      <c r="B109" s="114" t="s">
        <v>456</v>
      </c>
      <c r="C109" s="56"/>
      <c r="D109" s="56"/>
      <c r="E109" s="56"/>
      <c r="F109" s="56"/>
      <c r="G109" s="56"/>
      <c r="H109" s="56"/>
      <c r="I109" s="35">
        <f t="shared" si="1"/>
        <v>0</v>
      </c>
      <c r="J109" s="35"/>
      <c r="K109" s="35"/>
      <c r="L109" s="56"/>
      <c r="M109" s="113" t="s">
        <v>456</v>
      </c>
    </row>
    <row r="110" spans="1:13" ht="13.2">
      <c r="A110" s="41" t="s">
        <v>457</v>
      </c>
      <c r="B110" s="31" t="str">
        <f>HYPERLINK("http://codeforces.com/contest/510/problem/B","CF510-D2-B")</f>
        <v>CF510-D2-B</v>
      </c>
      <c r="C110" s="56"/>
      <c r="D110" s="56"/>
      <c r="E110" s="56"/>
      <c r="F110" s="56"/>
      <c r="G110" s="56"/>
      <c r="H110" s="56"/>
      <c r="I110" s="35">
        <f t="shared" si="1"/>
        <v>0</v>
      </c>
      <c r="J110" s="35"/>
      <c r="K110" s="35"/>
      <c r="L110" s="56"/>
      <c r="M110" s="115" t="str">
        <f>HYPERLINK("https://www.youtube.com/watch?v=LHIZzMjnG0k&amp;feature=youtu.be","Video Solution - Eng Mohamed Adel")</f>
        <v>Video Solution - Eng Mohamed Adel</v>
      </c>
    </row>
    <row r="111" spans="1:13" ht="13.2">
      <c r="A111" s="41" t="s">
        <v>458</v>
      </c>
      <c r="B111" s="31" t="str">
        <f>HYPERLINK("http://codeforces.com/contest/337/problem/B","CF337-D2-B")</f>
        <v>CF337-D2-B</v>
      </c>
      <c r="C111" s="56"/>
      <c r="D111" s="56"/>
      <c r="E111" s="56"/>
      <c r="F111" s="56"/>
      <c r="G111" s="56"/>
      <c r="H111" s="56"/>
      <c r="I111" s="35">
        <f t="shared" si="1"/>
        <v>0</v>
      </c>
      <c r="J111" s="35"/>
      <c r="K111" s="35"/>
      <c r="L111" s="56"/>
      <c r="M111" s="115" t="str">
        <f>HYPERLINK("https://www.youtube.com/watch?v=NaB4pnNbXEY","Video Solution - Eng Mohamed Adel")</f>
        <v>Video Solution - Eng Mohamed Adel</v>
      </c>
    </row>
    <row r="112" spans="1:13" ht="15" customHeight="1">
      <c r="A112" s="41" t="s">
        <v>459</v>
      </c>
      <c r="B112" s="31" t="str">
        <f>HYPERLINK("http://codeforces.com/contest/493/problem/B","CF493-D2-B")</f>
        <v>CF493-D2-B</v>
      </c>
      <c r="C112" s="56"/>
      <c r="D112" s="56"/>
      <c r="E112" s="56"/>
      <c r="F112" s="56"/>
      <c r="G112" s="56"/>
      <c r="H112" s="56"/>
      <c r="I112" s="35">
        <f t="shared" si="1"/>
        <v>0</v>
      </c>
      <c r="J112" s="35"/>
      <c r="K112" s="35"/>
      <c r="L112" s="56"/>
      <c r="M112" s="113" t="s">
        <v>456</v>
      </c>
    </row>
    <row r="113" spans="1:13" ht="13.2">
      <c r="A113" s="41" t="s">
        <v>460</v>
      </c>
      <c r="B113" s="31" t="str">
        <f>HYPERLINK("http://codeforces.com/contest/608/problem/B","CF608-D2-B")</f>
        <v>CF608-D2-B</v>
      </c>
      <c r="C113" s="56"/>
      <c r="D113" s="56"/>
      <c r="E113" s="56"/>
      <c r="F113" s="56"/>
      <c r="G113" s="56"/>
      <c r="H113" s="56"/>
      <c r="I113" s="35">
        <f t="shared" si="1"/>
        <v>0</v>
      </c>
      <c r="J113" s="35"/>
      <c r="K113" s="35"/>
      <c r="L113" s="56"/>
      <c r="M113" s="113" t="s">
        <v>456</v>
      </c>
    </row>
    <row r="114" spans="1:13" ht="13.2">
      <c r="A114" s="48" t="s">
        <v>461</v>
      </c>
      <c r="B114" s="110" t="str">
        <f>HYPERLINK("http://codeforces.com/contest/621/problem/B","CF621-D2-B")</f>
        <v>CF621-D2-B</v>
      </c>
      <c r="C114" s="10"/>
      <c r="D114" s="10"/>
      <c r="E114" s="10"/>
      <c r="F114" s="10"/>
      <c r="G114" s="10"/>
      <c r="H114" s="56"/>
      <c r="I114" s="35">
        <f t="shared" si="1"/>
        <v>0</v>
      </c>
      <c r="J114" s="35"/>
      <c r="K114" s="35"/>
      <c r="L114" s="10"/>
      <c r="M114" s="116" t="str">
        <f>HYPERLINK("https://www.youtube.com/watch?v=zKne2u4DuIs&amp;feature=youtu.be","Video Solution - Eng Mahmoud Mabrok")</f>
        <v>Video Solution - Eng Mahmoud Mabrok</v>
      </c>
    </row>
    <row r="115" spans="1:13" ht="13.2">
      <c r="A115" s="41" t="s">
        <v>462</v>
      </c>
      <c r="B115" s="31" t="str">
        <f>HYPERLINK("http://codeforces.com/contest/580/problem/B","CF580-D2-B")</f>
        <v>CF580-D2-B</v>
      </c>
      <c r="C115" s="56"/>
      <c r="D115" s="56"/>
      <c r="E115" s="56"/>
      <c r="F115" s="56"/>
      <c r="G115" s="56"/>
      <c r="H115" s="56"/>
      <c r="I115" s="35">
        <f t="shared" si="1"/>
        <v>0</v>
      </c>
      <c r="J115" s="35"/>
      <c r="K115" s="35"/>
      <c r="L115" s="56"/>
      <c r="M115" s="77" t="str">
        <f>HYPERLINK("https://www.youtube.com/watch?v=kUXDNSkFECM","Video Solution - SolverToBe (Java)")</f>
        <v>Video Solution - SolverToBe (Java)</v>
      </c>
    </row>
    <row r="116" spans="1:13" ht="13.2">
      <c r="A116" s="48" t="s">
        <v>463</v>
      </c>
      <c r="B116" s="110" t="str">
        <f>HYPERLINK("http://codeforces.com/contest/535/problem/B","CF535-D2-B")</f>
        <v>CF535-D2-B</v>
      </c>
      <c r="C116" s="10"/>
      <c r="D116" s="10"/>
      <c r="E116" s="10"/>
      <c r="F116" s="10"/>
      <c r="G116" s="10"/>
      <c r="H116" s="10"/>
      <c r="I116" s="56">
        <f t="shared" si="1"/>
        <v>0</v>
      </c>
      <c r="J116" s="10"/>
      <c r="K116" s="10"/>
      <c r="L116" s="10"/>
      <c r="M116" s="50" t="str">
        <f>HYPERLINK("https://www.youtube.com/watch?v=NPVp5BntYZ4","Video Solution - Eng Abanob Ashraf")</f>
        <v>Video Solution - Eng Abanob Ashraf</v>
      </c>
    </row>
    <row r="117" spans="1:13" ht="13.2">
      <c r="A117" s="48"/>
      <c r="B117" s="64"/>
      <c r="C117" s="10"/>
      <c r="D117" s="10"/>
      <c r="E117" s="10"/>
      <c r="F117" s="10"/>
      <c r="G117" s="10"/>
      <c r="H117" s="10"/>
      <c r="I117" s="56">
        <f t="shared" si="1"/>
        <v>0</v>
      </c>
      <c r="J117" s="10"/>
      <c r="K117" s="10"/>
      <c r="L117" s="10"/>
      <c r="M117" s="48"/>
    </row>
    <row r="118" spans="1:13" ht="13.2">
      <c r="A118" s="48" t="s">
        <v>464</v>
      </c>
      <c r="B118" s="64" t="str">
        <f>HYPERLINK("http://codeforces.com/contest/1009/problem/B","CF1009-D12-B")</f>
        <v>CF1009-D12-B</v>
      </c>
      <c r="C118" s="10"/>
      <c r="D118" s="10"/>
      <c r="E118" s="10"/>
      <c r="F118" s="10"/>
      <c r="G118" s="10"/>
      <c r="H118" s="10"/>
      <c r="I118" s="56">
        <f t="shared" si="1"/>
        <v>0</v>
      </c>
      <c r="J118" s="10"/>
      <c r="K118" s="10"/>
      <c r="L118" s="10"/>
      <c r="M118" s="103" t="s">
        <v>435</v>
      </c>
    </row>
    <row r="119" spans="1:13" ht="13.2">
      <c r="A119" s="48"/>
      <c r="B119" s="77" t="str">
        <f>HYPERLINK("https://codeforces.com/contest/1030/problem/B","CF1030-D12-B")</f>
        <v>CF1030-D12-B</v>
      </c>
      <c r="C119" s="10"/>
      <c r="D119" s="10"/>
      <c r="E119" s="10"/>
      <c r="F119" s="10"/>
      <c r="G119" s="10"/>
      <c r="H119" s="10"/>
      <c r="I119" s="56">
        <f t="shared" si="1"/>
        <v>0</v>
      </c>
      <c r="J119" s="10"/>
      <c r="K119" s="10"/>
      <c r="L119" s="10"/>
      <c r="M119" s="48"/>
    </row>
    <row r="120" spans="1:13" ht="13.2">
      <c r="A120" s="48"/>
      <c r="B120" s="117" t="str">
        <f>HYPERLINK("https://codeforces.com/contest/1051/problem/B", "CF1051-D2-B")</f>
        <v>CF1051-D2-B</v>
      </c>
      <c r="C120" s="10"/>
      <c r="D120" s="10"/>
      <c r="E120" s="10"/>
      <c r="F120" s="10"/>
      <c r="G120" s="10"/>
      <c r="H120" s="10"/>
      <c r="I120" s="56">
        <f t="shared" si="1"/>
        <v>0</v>
      </c>
      <c r="J120" s="10"/>
      <c r="K120" s="10"/>
      <c r="L120" s="10"/>
      <c r="M120" s="48"/>
    </row>
    <row r="121" spans="1:13" ht="13.2">
      <c r="A121" s="48"/>
      <c r="B121" s="81" t="str">
        <f>HYPERLINK("https://codeforces.com/contest/1237/problem/B","CF1237-D12-B")</f>
        <v>CF1237-D12-B</v>
      </c>
      <c r="C121" s="10"/>
      <c r="D121" s="10"/>
      <c r="E121" s="10"/>
      <c r="F121" s="10"/>
      <c r="G121" s="10"/>
      <c r="H121" s="10"/>
      <c r="I121" s="56">
        <f t="shared" si="1"/>
        <v>0</v>
      </c>
      <c r="J121" s="10"/>
      <c r="K121" s="10"/>
      <c r="L121" s="10"/>
      <c r="M121" s="48"/>
    </row>
    <row r="122" spans="1:13" ht="13.2">
      <c r="A122" s="10"/>
      <c r="B122" s="10"/>
      <c r="C122" s="10"/>
      <c r="D122" s="10"/>
      <c r="E122" s="10"/>
      <c r="F122" s="10"/>
      <c r="G122" s="10"/>
      <c r="H122" s="56"/>
      <c r="I122" s="35">
        <f t="shared" si="1"/>
        <v>0</v>
      </c>
      <c r="J122" s="35"/>
      <c r="K122" s="35"/>
      <c r="L122" s="10"/>
      <c r="M122" s="92"/>
    </row>
    <row r="123" spans="1:13" ht="13.2">
      <c r="A123" s="10"/>
      <c r="B123" s="10"/>
      <c r="C123" s="10"/>
      <c r="D123" s="10"/>
      <c r="E123" s="10"/>
      <c r="F123" s="10"/>
      <c r="G123" s="10"/>
      <c r="H123" s="56"/>
      <c r="I123" s="35">
        <f t="shared" si="1"/>
        <v>0</v>
      </c>
      <c r="J123" s="35"/>
      <c r="K123" s="35"/>
      <c r="L123" s="10"/>
      <c r="M123" s="92" t="str">
        <f>HYPERLINK("https://www.youtube.com/watch?v=iXxP_liQklk","Watch - Intro to Greedy")</f>
        <v>Watch - Intro to Greedy</v>
      </c>
    </row>
    <row r="124" spans="1:13" ht="13.2">
      <c r="A124" s="62" t="s">
        <v>465</v>
      </c>
      <c r="B124" s="118" t="str">
        <f>HYPERLINK("http://codeforces.com/contest/282/problem/B","CF282-D2-B")</f>
        <v>CF282-D2-B</v>
      </c>
      <c r="C124" s="10"/>
      <c r="D124" s="10"/>
      <c r="E124" s="10"/>
      <c r="F124" s="10"/>
      <c r="G124" s="10"/>
      <c r="H124" s="56"/>
      <c r="I124" s="35">
        <f t="shared" si="1"/>
        <v>0</v>
      </c>
      <c r="J124" s="35"/>
      <c r="K124" s="35"/>
      <c r="L124" s="10"/>
      <c r="M124" s="10"/>
    </row>
    <row r="125" spans="1:13" ht="13.2">
      <c r="A125" s="62" t="s">
        <v>466</v>
      </c>
      <c r="B125" s="118" t="str">
        <f>HYPERLINK("http://codeforces.com/contest/435/problem/B","CF435-D2-B")</f>
        <v>CF435-D2-B</v>
      </c>
      <c r="C125" s="10"/>
      <c r="D125" s="10"/>
      <c r="E125" s="10"/>
      <c r="F125" s="10"/>
      <c r="G125" s="10"/>
      <c r="H125" s="56"/>
      <c r="I125" s="35">
        <f t="shared" si="1"/>
        <v>0</v>
      </c>
      <c r="J125" s="35"/>
      <c r="K125" s="35"/>
      <c r="L125" s="10"/>
      <c r="M125" s="50" t="str">
        <f>HYPERLINK("https://www.youtube.com/watch?v=hDsuoSTdytw&amp;feature=youtu.be","Video Solution - Eng Hossam Yehia")</f>
        <v>Video Solution - Eng Hossam Yehia</v>
      </c>
    </row>
    <row r="126" spans="1:13" ht="13.2">
      <c r="A126" s="62" t="s">
        <v>467</v>
      </c>
      <c r="B126" s="118" t="str">
        <f>HYPERLINK("http://codeforces.com/contest/276/problem/B","CF276-D2-B")</f>
        <v>CF276-D2-B</v>
      </c>
      <c r="C126" s="10"/>
      <c r="D126" s="10"/>
      <c r="E126" s="10"/>
      <c r="F126" s="10"/>
      <c r="G126" s="10"/>
      <c r="H126" s="56"/>
      <c r="I126" s="35">
        <f t="shared" si="1"/>
        <v>0</v>
      </c>
      <c r="J126" s="35"/>
      <c r="K126" s="35"/>
      <c r="L126" s="10"/>
      <c r="M126" s="50" t="str">
        <f>HYPERLINK("https://www.youtube.com/watch?v=WrpG_n0SrbY&amp;feature=youtu.be","Video Solution - Eng Hossam Yehia")</f>
        <v>Video Solution - Eng Hossam Yehia</v>
      </c>
    </row>
    <row r="127" spans="1:13" ht="13.2">
      <c r="A127" s="62" t="s">
        <v>468</v>
      </c>
      <c r="B127" s="118" t="str">
        <f>HYPERLINK("http://codeforces.com/contest/525/problem/B","CF525-D2-B")</f>
        <v>CF525-D2-B</v>
      </c>
      <c r="C127" s="10"/>
      <c r="D127" s="10"/>
      <c r="E127" s="10"/>
      <c r="F127" s="10"/>
      <c r="G127" s="10"/>
      <c r="H127" s="56"/>
      <c r="I127" s="35">
        <f t="shared" si="1"/>
        <v>0</v>
      </c>
      <c r="J127" s="35"/>
      <c r="K127" s="35"/>
      <c r="L127" s="10"/>
      <c r="M127" s="50" t="str">
        <f>HYPERLINK("https://www.youtube.com/watch?v=NPVp5BntYZ4","Video Solution - Eng Hossam Yehia")</f>
        <v>Video Solution - Eng Hossam Yehia</v>
      </c>
    </row>
    <row r="128" spans="1:13" ht="13.2">
      <c r="A128" s="62" t="s">
        <v>469</v>
      </c>
      <c r="B128" s="119" t="str">
        <f>HYPERLINK("http://codeforces.com/contest/416/problem/C","CF416-D2-C")</f>
        <v>CF416-D2-C</v>
      </c>
      <c r="C128" s="10"/>
      <c r="D128" s="10"/>
      <c r="E128" s="10"/>
      <c r="F128" s="10"/>
      <c r="G128" s="10"/>
      <c r="H128" s="56"/>
      <c r="I128" s="35">
        <f t="shared" si="1"/>
        <v>0</v>
      </c>
      <c r="J128" s="35"/>
      <c r="K128" s="35"/>
      <c r="L128" s="10"/>
      <c r="M128" s="10"/>
    </row>
    <row r="129" spans="1:13" ht="13.2">
      <c r="A129" s="62" t="s">
        <v>470</v>
      </c>
      <c r="B129" s="119" t="str">
        <f>HYPERLINK("http://codeforces.com/contest/492/problem/C","CF492-D2-C")</f>
        <v>CF492-D2-C</v>
      </c>
      <c r="C129" s="10"/>
      <c r="D129" s="10"/>
      <c r="E129" s="10"/>
      <c r="F129" s="10"/>
      <c r="G129" s="10"/>
      <c r="H129" s="56"/>
      <c r="I129" s="35">
        <f t="shared" si="1"/>
        <v>0</v>
      </c>
      <c r="J129" s="35"/>
      <c r="K129" s="35"/>
      <c r="L129" s="10"/>
      <c r="M129" s="10"/>
    </row>
    <row r="130" spans="1:13" ht="13.2">
      <c r="A130" s="66" t="s">
        <v>471</v>
      </c>
      <c r="B130" s="96" t="str">
        <f>HYPERLINK("https://uva.onlinejudge.org/index.php?option=com_onlinejudge&amp;Itemid=8&amp;page=show_problem&amp;problem=41","UVA 105")</f>
        <v>UVA 105</v>
      </c>
      <c r="C130" s="10"/>
      <c r="D130" s="10"/>
      <c r="E130" s="10"/>
      <c r="F130" s="10"/>
      <c r="G130" s="10"/>
      <c r="H130" s="56"/>
      <c r="I130" s="35">
        <f t="shared" si="1"/>
        <v>0</v>
      </c>
      <c r="J130" s="35"/>
      <c r="K130" s="35"/>
      <c r="L130" s="10"/>
      <c r="M130" s="10"/>
    </row>
    <row r="131" spans="1:13" ht="13.2">
      <c r="A131" s="66" t="s">
        <v>472</v>
      </c>
      <c r="B131" s="108" t="str">
        <f>HYPERLINK("https://uva.onlinejudge.org/index.php?option=onlinejudge&amp;page=show_problem&amp;problem=1217","UVA 10276")</f>
        <v>UVA 10276</v>
      </c>
      <c r="C131" s="56"/>
      <c r="D131" s="56"/>
      <c r="E131" s="56"/>
      <c r="F131" s="56"/>
      <c r="G131" s="56"/>
      <c r="H131" s="56"/>
      <c r="I131" s="35">
        <f t="shared" si="1"/>
        <v>0</v>
      </c>
      <c r="J131" s="35"/>
      <c r="K131" s="35"/>
      <c r="L131" s="56"/>
      <c r="M131" s="78" t="str">
        <f>HYPERLINK("https://www.youtube.com/watch?v=ygWfse3bBLI&amp;feature=youtu.be","Video Solution - Eng Mahmoud Adel")</f>
        <v>Video Solution - Eng Mahmoud Adel</v>
      </c>
    </row>
    <row r="132" spans="1:13" ht="13.2">
      <c r="A132" s="66" t="s">
        <v>473</v>
      </c>
      <c r="B132" s="108" t="str">
        <f>HYPERLINK("https://uva.onlinejudge.org/index.php?option=onlinejudge&amp;page=show_problem&amp;problem=725","UVA 784")</f>
        <v>UVA 784</v>
      </c>
      <c r="C132" s="56"/>
      <c r="D132" s="56"/>
      <c r="E132" s="56"/>
      <c r="F132" s="56"/>
      <c r="G132" s="56"/>
      <c r="H132" s="56"/>
      <c r="I132" s="35">
        <f t="shared" si="1"/>
        <v>0</v>
      </c>
      <c r="J132" s="35"/>
      <c r="K132" s="35"/>
      <c r="L132" s="56"/>
      <c r="M132" s="78" t="str">
        <f>HYPERLINK("https://www.youtube.com/watch?v=khOAL6TflhE&amp;feature=youtu.be","Video Solution - Eng Mahmoud Adel")</f>
        <v>Video Solution - Eng Mahmoud Adel</v>
      </c>
    </row>
    <row r="133" spans="1:13" ht="13.2">
      <c r="A133" s="66" t="s">
        <v>474</v>
      </c>
      <c r="B133" s="120" t="s">
        <v>475</v>
      </c>
      <c r="C133" s="56"/>
      <c r="D133" s="56"/>
      <c r="E133" s="56"/>
      <c r="F133" s="56"/>
      <c r="G133" s="56"/>
      <c r="H133" s="56"/>
      <c r="I133" s="68">
        <f t="shared" si="1"/>
        <v>0</v>
      </c>
      <c r="J133" s="35"/>
      <c r="K133" s="35"/>
      <c r="L133" s="56"/>
      <c r="M133" s="10"/>
    </row>
    <row r="134" spans="1:13" ht="13.2">
      <c r="A134" s="121"/>
      <c r="B134" s="122"/>
      <c r="C134" s="123"/>
      <c r="D134" s="123"/>
      <c r="E134" s="123"/>
      <c r="F134" s="123"/>
      <c r="G134" s="123"/>
      <c r="H134" s="123"/>
      <c r="I134" s="123">
        <f t="shared" ref="I134:I136" si="2">SUM(E134:G134)</f>
        <v>0</v>
      </c>
      <c r="J134" s="123"/>
      <c r="K134" s="123"/>
      <c r="L134" s="123"/>
      <c r="M134" s="121"/>
    </row>
    <row r="135" spans="1:13" ht="13.2">
      <c r="A135" s="48"/>
      <c r="B135" s="10"/>
      <c r="C135" s="56"/>
      <c r="D135" s="308" t="s">
        <v>248</v>
      </c>
      <c r="E135" s="286"/>
      <c r="F135" s="286"/>
      <c r="G135" s="286"/>
      <c r="H135" s="56"/>
      <c r="I135" s="56">
        <f t="shared" si="2"/>
        <v>0</v>
      </c>
      <c r="J135" s="309" t="s">
        <v>249</v>
      </c>
      <c r="K135" s="286"/>
      <c r="L135" s="286"/>
      <c r="M135" s="286"/>
    </row>
    <row r="136" spans="1:13" ht="13.2">
      <c r="A136" s="121"/>
      <c r="B136" s="122"/>
      <c r="C136" s="123"/>
      <c r="D136" s="123"/>
      <c r="E136" s="123"/>
      <c r="F136" s="123"/>
      <c r="G136" s="123"/>
      <c r="H136" s="123"/>
      <c r="I136" s="123">
        <f t="shared" si="2"/>
        <v>0</v>
      </c>
      <c r="J136" s="123"/>
      <c r="K136" s="123"/>
      <c r="L136" s="123"/>
      <c r="M136" s="121"/>
    </row>
    <row r="137" spans="1:13" ht="13.2">
      <c r="A137" s="48" t="s">
        <v>476</v>
      </c>
      <c r="B137" s="53" t="str">
        <f>HYPERLINK("http://codeforces.com/contest/439/problem/B","CF439-D2-B")</f>
        <v>CF439-D2-B</v>
      </c>
      <c r="C137" s="10"/>
      <c r="D137" s="10"/>
      <c r="E137" s="10"/>
      <c r="F137" s="10"/>
      <c r="G137" s="10"/>
      <c r="H137" s="10"/>
      <c r="I137" s="56">
        <f t="shared" ref="I137:I218" si="3">SUM(E137:H137)</f>
        <v>0</v>
      </c>
      <c r="J137" s="10"/>
      <c r="K137" s="10"/>
      <c r="L137" s="10"/>
      <c r="M137" s="71" t="str">
        <f>HYPERLINK("https://www.youtube.com/watch?v=KoGeW-vs7VY","Video Solution - Solver to be (Java)")</f>
        <v>Video Solution - Solver to be (Java)</v>
      </c>
    </row>
    <row r="138" spans="1:13" ht="13.2">
      <c r="A138" s="48" t="s">
        <v>477</v>
      </c>
      <c r="B138" s="53" t="str">
        <f>HYPERLINK("http://codeforces.com/contest/796/problem/B","CF796-D2-B")</f>
        <v>CF796-D2-B</v>
      </c>
      <c r="C138" s="10"/>
      <c r="D138" s="10"/>
      <c r="E138" s="10"/>
      <c r="F138" s="10"/>
      <c r="G138" s="10"/>
      <c r="H138" s="10"/>
      <c r="I138" s="56">
        <f t="shared" si="3"/>
        <v>0</v>
      </c>
      <c r="J138" s="10"/>
      <c r="K138" s="10"/>
      <c r="L138" s="10"/>
      <c r="M138" s="71" t="str">
        <f>HYPERLINK("https://www.youtube.com/watch?v=sLBLgccZ3CM","Video Solution - Solver to be (Java)")</f>
        <v>Video Solution - Solver to be (Java)</v>
      </c>
    </row>
    <row r="139" spans="1:13" ht="13.2">
      <c r="A139" s="48" t="s">
        <v>478</v>
      </c>
      <c r="B139" s="53" t="str">
        <f>HYPERLINK("http://codeforces.com/contest/26/problem/B","CF26-D12-B")</f>
        <v>CF26-D12-B</v>
      </c>
      <c r="C139" s="10"/>
      <c r="D139" s="10"/>
      <c r="E139" s="10"/>
      <c r="F139" s="10"/>
      <c r="G139" s="10"/>
      <c r="H139" s="10"/>
      <c r="I139" s="56">
        <f t="shared" si="3"/>
        <v>0</v>
      </c>
      <c r="J139" s="10"/>
      <c r="K139" s="10"/>
      <c r="L139" s="10"/>
      <c r="M139" s="71" t="str">
        <f>HYPERLINK("https://www.youtube.com/watch?v=bz1ZEbzCFfU","Video Solution - Solver to be (Java)")</f>
        <v>Video Solution - Solver to be (Java)</v>
      </c>
    </row>
    <row r="140" spans="1:13" ht="13.2">
      <c r="A140" s="41" t="s">
        <v>479</v>
      </c>
      <c r="B140" s="109" t="str">
        <f>HYPERLINK("http://codeforces.com/contest/465/problem/B","CF465-D2-B")</f>
        <v>CF465-D2-B</v>
      </c>
      <c r="C140" s="56"/>
      <c r="D140" s="56"/>
      <c r="E140" s="56"/>
      <c r="F140" s="56"/>
      <c r="G140" s="56"/>
      <c r="H140" s="56"/>
      <c r="I140" s="35">
        <f t="shared" si="3"/>
        <v>0</v>
      </c>
      <c r="J140" s="35"/>
      <c r="K140" s="35"/>
      <c r="L140" s="56"/>
      <c r="M140" s="48"/>
    </row>
    <row r="141" spans="1:13" ht="13.2">
      <c r="A141" s="41" t="s">
        <v>480</v>
      </c>
      <c r="B141" s="109" t="str">
        <f>HYPERLINK("http://codeforces.com/contest/672/problem/B","CF672-D2-B")</f>
        <v>CF672-D2-B</v>
      </c>
      <c r="C141" s="56"/>
      <c r="D141" s="56"/>
      <c r="E141" s="56"/>
      <c r="F141" s="56"/>
      <c r="G141" s="56"/>
      <c r="H141" s="56"/>
      <c r="I141" s="35">
        <f t="shared" si="3"/>
        <v>0</v>
      </c>
      <c r="J141" s="35"/>
      <c r="K141" s="35"/>
      <c r="L141" s="56"/>
      <c r="M141" s="48"/>
    </row>
    <row r="142" spans="1:13" ht="13.2">
      <c r="A142" s="41" t="s">
        <v>481</v>
      </c>
      <c r="B142" s="109" t="str">
        <f>HYPERLINK("http://codeforces.com/contest/137/problem/B","CF137-D2-B")</f>
        <v>CF137-D2-B</v>
      </c>
      <c r="C142" s="56"/>
      <c r="D142" s="56"/>
      <c r="E142" s="56"/>
      <c r="F142" s="56"/>
      <c r="G142" s="56"/>
      <c r="H142" s="56"/>
      <c r="I142" s="35">
        <f t="shared" si="3"/>
        <v>0</v>
      </c>
      <c r="J142" s="35"/>
      <c r="K142" s="35"/>
      <c r="L142" s="56"/>
      <c r="M142" s="48"/>
    </row>
    <row r="143" spans="1:13" ht="13.2">
      <c r="A143" s="41" t="s">
        <v>482</v>
      </c>
      <c r="B143" s="109" t="str">
        <f>HYPERLINK("http://codeforces.com/contest/259/problem/B","CF259-D2-B")</f>
        <v>CF259-D2-B</v>
      </c>
      <c r="C143" s="56"/>
      <c r="D143" s="56"/>
      <c r="E143" s="56"/>
      <c r="F143" s="56"/>
      <c r="G143" s="56"/>
      <c r="H143" s="56"/>
      <c r="I143" s="35">
        <f t="shared" si="3"/>
        <v>0</v>
      </c>
      <c r="J143" s="35"/>
      <c r="K143" s="35"/>
      <c r="L143" s="56"/>
      <c r="M143" s="48"/>
    </row>
    <row r="144" spans="1:13" ht="13.2">
      <c r="A144" s="41" t="s">
        <v>483</v>
      </c>
      <c r="B144" s="109" t="str">
        <f>HYPERLINK("http://codeforces.com/contest/218/problem/B","CF218-D2-B")</f>
        <v>CF218-D2-B</v>
      </c>
      <c r="C144" s="56"/>
      <c r="D144" s="56"/>
      <c r="E144" s="56"/>
      <c r="F144" s="56"/>
      <c r="G144" s="56"/>
      <c r="H144" s="56"/>
      <c r="I144" s="35">
        <f t="shared" si="3"/>
        <v>0</v>
      </c>
      <c r="J144" s="35"/>
      <c r="K144" s="35"/>
      <c r="L144" s="56"/>
      <c r="M144" s="48"/>
    </row>
    <row r="145" spans="1:13" ht="13.2">
      <c r="A145" s="41" t="s">
        <v>484</v>
      </c>
      <c r="B145" s="109" t="str">
        <f>HYPERLINK("http://codeforces.com/contest/732/problem/B","CF732-D2-B")</f>
        <v>CF732-D2-B</v>
      </c>
      <c r="C145" s="56"/>
      <c r="D145" s="56"/>
      <c r="E145" s="56"/>
      <c r="F145" s="56"/>
      <c r="G145" s="56"/>
      <c r="H145" s="56"/>
      <c r="I145" s="35">
        <f t="shared" si="3"/>
        <v>0</v>
      </c>
      <c r="J145" s="35"/>
      <c r="K145" s="35"/>
      <c r="L145" s="56"/>
      <c r="M145" s="48"/>
    </row>
    <row r="146" spans="1:13" ht="13.2">
      <c r="A146" s="41" t="s">
        <v>485</v>
      </c>
      <c r="B146" s="109" t="str">
        <f>HYPERLINK("http://codeforces.com/contest/427/problem/B","CF427-D2-B")</f>
        <v>CF427-D2-B</v>
      </c>
      <c r="C146" s="56"/>
      <c r="D146" s="56"/>
      <c r="E146" s="56"/>
      <c r="F146" s="56"/>
      <c r="G146" s="56"/>
      <c r="H146" s="56"/>
      <c r="I146" s="35">
        <f t="shared" si="3"/>
        <v>0</v>
      </c>
      <c r="J146" s="35"/>
      <c r="K146" s="35"/>
      <c r="L146" s="56"/>
      <c r="M146" s="48"/>
    </row>
    <row r="147" spans="1:13" ht="13.2">
      <c r="A147" s="41" t="s">
        <v>486</v>
      </c>
      <c r="B147" s="109" t="str">
        <f>HYPERLINK("http://codeforces.com/contest/519/problem/B","CF519-D2-B")</f>
        <v>CF519-D2-B</v>
      </c>
      <c r="C147" s="56"/>
      <c r="D147" s="56"/>
      <c r="E147" s="56"/>
      <c r="F147" s="56"/>
      <c r="G147" s="56"/>
      <c r="H147" s="56"/>
      <c r="I147" s="35">
        <f t="shared" si="3"/>
        <v>0</v>
      </c>
      <c r="J147" s="35"/>
      <c r="K147" s="35"/>
      <c r="L147" s="56"/>
      <c r="M147" s="48"/>
    </row>
    <row r="148" spans="1:13" ht="13.2">
      <c r="A148" s="41" t="s">
        <v>327</v>
      </c>
      <c r="B148" s="109" t="str">
        <f>HYPERLINK("http://codeforces.com/contest/43/problem/B","CF43-D2-B")</f>
        <v>CF43-D2-B</v>
      </c>
      <c r="C148" s="56"/>
      <c r="D148" s="56"/>
      <c r="E148" s="56"/>
      <c r="F148" s="56"/>
      <c r="G148" s="56"/>
      <c r="H148" s="56"/>
      <c r="I148" s="35">
        <f t="shared" si="3"/>
        <v>0</v>
      </c>
      <c r="J148" s="35"/>
      <c r="K148" s="35"/>
      <c r="L148" s="56"/>
      <c r="M148" s="48"/>
    </row>
    <row r="149" spans="1:13" ht="13.2">
      <c r="A149" s="41" t="s">
        <v>487</v>
      </c>
      <c r="B149" s="109" t="str">
        <f>HYPERLINK("http://codeforces.com/contest/670/problem/B","CF670-D2-B")</f>
        <v>CF670-D2-B</v>
      </c>
      <c r="C149" s="56"/>
      <c r="D149" s="56"/>
      <c r="E149" s="56"/>
      <c r="F149" s="56"/>
      <c r="G149" s="56"/>
      <c r="H149" s="56"/>
      <c r="I149" s="35">
        <f t="shared" si="3"/>
        <v>0</v>
      </c>
      <c r="J149" s="35"/>
      <c r="K149" s="35"/>
      <c r="L149" s="56"/>
      <c r="M149" s="48"/>
    </row>
    <row r="150" spans="1:13" ht="13.2">
      <c r="A150" s="41"/>
      <c r="C150" s="56"/>
      <c r="D150" s="56"/>
      <c r="E150" s="56"/>
      <c r="F150" s="56"/>
      <c r="G150" s="56"/>
      <c r="H150" s="56"/>
      <c r="I150" s="35">
        <f t="shared" si="3"/>
        <v>0</v>
      </c>
      <c r="J150" s="35"/>
      <c r="K150" s="35"/>
      <c r="L150" s="56"/>
      <c r="M150" s="48"/>
    </row>
    <row r="151" spans="1:13" ht="13.2">
      <c r="A151" s="48" t="s">
        <v>488</v>
      </c>
      <c r="B151" s="53" t="str">
        <f>HYPERLINK("http://codeforces.com/contest/90/problem/B","CF90-D2-B")</f>
        <v>CF90-D2-B</v>
      </c>
      <c r="C151" s="10"/>
      <c r="D151" s="10"/>
      <c r="E151" s="10"/>
      <c r="F151" s="10"/>
      <c r="G151" s="10"/>
      <c r="H151" s="56"/>
      <c r="I151" s="35">
        <f t="shared" si="3"/>
        <v>0</v>
      </c>
      <c r="J151" s="35"/>
      <c r="K151" s="35"/>
      <c r="L151" s="10"/>
      <c r="M151" s="10"/>
    </row>
    <row r="152" spans="1:13" ht="13.2">
      <c r="A152" s="48" t="s">
        <v>489</v>
      </c>
      <c r="B152" s="53" t="str">
        <f>HYPERLINK("http://codeforces.com/contest/284/problem/B","CF284-D2-B")</f>
        <v>CF284-D2-B</v>
      </c>
      <c r="C152" s="10"/>
      <c r="D152" s="10"/>
      <c r="E152" s="10"/>
      <c r="F152" s="10"/>
      <c r="G152" s="10"/>
      <c r="H152" s="56"/>
      <c r="I152" s="35">
        <f t="shared" si="3"/>
        <v>0</v>
      </c>
      <c r="J152" s="35"/>
      <c r="K152" s="35"/>
      <c r="L152" s="10"/>
      <c r="M152" s="10"/>
    </row>
    <row r="153" spans="1:13" ht="13.2">
      <c r="A153" s="48" t="s">
        <v>490</v>
      </c>
      <c r="B153" s="53" t="str">
        <f>HYPERLINK("http://codeforces.com/contest/285/problem/B","CF285-D2-B")</f>
        <v>CF285-D2-B</v>
      </c>
      <c r="C153" s="10"/>
      <c r="D153" s="10"/>
      <c r="E153" s="10"/>
      <c r="F153" s="10"/>
      <c r="G153" s="10"/>
      <c r="H153" s="56"/>
      <c r="I153" s="35">
        <f t="shared" si="3"/>
        <v>0</v>
      </c>
      <c r="J153" s="35"/>
      <c r="K153" s="35"/>
      <c r="L153" s="10"/>
      <c r="M153" s="10"/>
    </row>
    <row r="154" spans="1:13" ht="13.2">
      <c r="A154" s="48" t="s">
        <v>491</v>
      </c>
      <c r="B154" s="53" t="str">
        <f>HYPERLINK("http://codeforces.com/contest/706/problem/B","CF706-D2-B")</f>
        <v>CF706-D2-B</v>
      </c>
      <c r="C154" s="10"/>
      <c r="D154" s="10"/>
      <c r="E154" s="10"/>
      <c r="F154" s="10"/>
      <c r="G154" s="10"/>
      <c r="H154" s="56"/>
      <c r="I154" s="35">
        <f t="shared" si="3"/>
        <v>0</v>
      </c>
      <c r="J154" s="35"/>
      <c r="K154" s="35"/>
      <c r="L154" s="10"/>
      <c r="M154" s="10"/>
    </row>
    <row r="155" spans="1:13" ht="13.2">
      <c r="A155" s="48" t="s">
        <v>492</v>
      </c>
      <c r="B155" s="53" t="str">
        <f>HYPERLINK("http://codeforces.com/contest/424/problem/B","CF424-D2-B")</f>
        <v>CF424-D2-B</v>
      </c>
      <c r="C155" s="10"/>
      <c r="D155" s="10"/>
      <c r="E155" s="10"/>
      <c r="F155" s="10"/>
      <c r="G155" s="10"/>
      <c r="H155" s="56"/>
      <c r="I155" s="35">
        <f t="shared" si="3"/>
        <v>0</v>
      </c>
      <c r="J155" s="35"/>
      <c r="K155" s="35"/>
      <c r="L155" s="10"/>
      <c r="M155" s="10"/>
    </row>
    <row r="156" spans="1:13" ht="13.2">
      <c r="A156" s="48" t="s">
        <v>493</v>
      </c>
      <c r="B156" s="53" t="str">
        <f>HYPERLINK("http://codeforces.com/contest/651/problem/B","CF651-D2-B")</f>
        <v>CF651-D2-B</v>
      </c>
      <c r="C156" s="10"/>
      <c r="D156" s="10"/>
      <c r="E156" s="10"/>
      <c r="F156" s="10"/>
      <c r="G156" s="10"/>
      <c r="H156" s="56"/>
      <c r="I156" s="35">
        <f t="shared" si="3"/>
        <v>0</v>
      </c>
      <c r="J156" s="35"/>
      <c r="K156" s="35"/>
      <c r="L156" s="10"/>
      <c r="M156" s="10"/>
    </row>
    <row r="157" spans="1:13" ht="13.2">
      <c r="A157" s="48" t="s">
        <v>494</v>
      </c>
      <c r="B157" s="53" t="str">
        <f>HYPERLINK("http://codeforces.com/contest/313/problem/B","CF313-D2-B")</f>
        <v>CF313-D2-B</v>
      </c>
      <c r="C157" s="10"/>
      <c r="D157" s="10"/>
      <c r="E157" s="10"/>
      <c r="F157" s="10"/>
      <c r="G157" s="10"/>
      <c r="H157" s="56"/>
      <c r="I157" s="35">
        <f t="shared" si="3"/>
        <v>0</v>
      </c>
      <c r="J157" s="35"/>
      <c r="K157" s="35"/>
      <c r="L157" s="10"/>
      <c r="M157" s="10"/>
    </row>
    <row r="158" spans="1:13" ht="13.2">
      <c r="A158" s="48" t="s">
        <v>495</v>
      </c>
      <c r="B158" s="53" t="str">
        <f>HYPERLINK("http://codeforces.com/contest/255/problem/B","CF255-D2-B")</f>
        <v>CF255-D2-B</v>
      </c>
      <c r="C158" s="10"/>
      <c r="D158" s="10"/>
      <c r="E158" s="10"/>
      <c r="F158" s="10"/>
      <c r="G158" s="10"/>
      <c r="H158" s="56"/>
      <c r="I158" s="35">
        <f t="shared" si="3"/>
        <v>0</v>
      </c>
      <c r="J158" s="35"/>
      <c r="K158" s="35"/>
      <c r="L158" s="10"/>
      <c r="M158" s="10"/>
    </row>
    <row r="159" spans="1:13" ht="13.2">
      <c r="A159" s="48" t="s">
        <v>496</v>
      </c>
      <c r="B159" s="53" t="str">
        <f>HYPERLINK("http://codeforces.com/contest/327/problem/B","CF327-D2-B")</f>
        <v>CF327-D2-B</v>
      </c>
      <c r="C159" s="10"/>
      <c r="D159" s="10"/>
      <c r="E159" s="10"/>
      <c r="F159" s="10"/>
      <c r="G159" s="10"/>
      <c r="H159" s="56"/>
      <c r="I159" s="35">
        <f t="shared" si="3"/>
        <v>0</v>
      </c>
      <c r="J159" s="35"/>
      <c r="K159" s="35"/>
      <c r="L159" s="10"/>
      <c r="M159" s="10"/>
    </row>
    <row r="160" spans="1:13" ht="13.2">
      <c r="A160" s="48" t="s">
        <v>497</v>
      </c>
      <c r="B160" s="53" t="str">
        <f>HYPERLINK("http://codeforces.com/contest/743/problem/B","CF743-D2-B")</f>
        <v>CF743-D2-B</v>
      </c>
      <c r="C160" s="10"/>
      <c r="D160" s="10"/>
      <c r="E160" s="10"/>
      <c r="F160" s="10"/>
      <c r="G160" s="10"/>
      <c r="H160" s="56"/>
      <c r="I160" s="35">
        <f t="shared" si="3"/>
        <v>0</v>
      </c>
      <c r="J160" s="35"/>
      <c r="K160" s="35"/>
      <c r="L160" s="10"/>
      <c r="M160" s="124"/>
    </row>
    <row r="161" spans="1:13" ht="13.2">
      <c r="A161" s="48" t="s">
        <v>498</v>
      </c>
      <c r="B161" s="53" t="str">
        <f>HYPERLINK("http://codeforces.com/contest/581/problem/B","CF581-D2-B")</f>
        <v>CF581-D2-B</v>
      </c>
      <c r="C161" s="10"/>
      <c r="D161" s="10"/>
      <c r="E161" s="10"/>
      <c r="F161" s="10"/>
      <c r="G161" s="10"/>
      <c r="H161" s="56"/>
      <c r="I161" s="35">
        <f t="shared" si="3"/>
        <v>0</v>
      </c>
      <c r="J161" s="35"/>
      <c r="K161" s="35"/>
      <c r="L161" s="10"/>
      <c r="M161" s="10"/>
    </row>
    <row r="162" spans="1:13" ht="13.2">
      <c r="A162" s="48"/>
      <c r="B162" s="53"/>
      <c r="C162" s="10"/>
      <c r="D162" s="10"/>
      <c r="E162" s="10"/>
      <c r="F162" s="10"/>
      <c r="G162" s="10"/>
      <c r="H162" s="56"/>
      <c r="I162" s="35">
        <f t="shared" si="3"/>
        <v>0</v>
      </c>
      <c r="J162" s="35"/>
      <c r="K162" s="35"/>
      <c r="L162" s="10"/>
      <c r="M162" s="10"/>
    </row>
    <row r="163" spans="1:13" ht="13.2">
      <c r="A163" s="41" t="s">
        <v>499</v>
      </c>
      <c r="B163" s="109" t="str">
        <f>HYPERLINK("http://codeforces.com/contest/63/problem/B","CF63-D2-B")</f>
        <v>CF63-D2-B</v>
      </c>
      <c r="C163" s="56"/>
      <c r="D163" s="56"/>
      <c r="E163" s="56"/>
      <c r="F163" s="56"/>
      <c r="G163" s="56"/>
      <c r="H163" s="56"/>
      <c r="I163" s="35">
        <f t="shared" si="3"/>
        <v>0</v>
      </c>
      <c r="J163" s="35"/>
      <c r="K163" s="35"/>
      <c r="L163" s="56"/>
      <c r="M163" s="48"/>
    </row>
    <row r="164" spans="1:13" ht="13.2">
      <c r="A164" s="41" t="s">
        <v>500</v>
      </c>
      <c r="B164" s="109" t="str">
        <f>HYPERLINK("http://codeforces.com/contest/629/problem/B","CF629-D2-B")</f>
        <v>CF629-D2-B</v>
      </c>
      <c r="C164" s="56"/>
      <c r="D164" s="56"/>
      <c r="E164" s="56"/>
      <c r="F164" s="56"/>
      <c r="G164" s="56"/>
      <c r="H164" s="56"/>
      <c r="I164" s="35">
        <f t="shared" si="3"/>
        <v>0</v>
      </c>
      <c r="J164" s="35"/>
      <c r="K164" s="35"/>
      <c r="L164" s="56"/>
      <c r="M164" s="48"/>
    </row>
    <row r="165" spans="1:13" ht="13.2">
      <c r="A165" s="41" t="s">
        <v>501</v>
      </c>
      <c r="B165" s="109" t="str">
        <f>HYPERLINK("http://codeforces.com/contest/596/problem/B","CF596-D2-B")</f>
        <v>CF596-D2-B</v>
      </c>
      <c r="C165" s="56"/>
      <c r="D165" s="56"/>
      <c r="E165" s="56"/>
      <c r="F165" s="56"/>
      <c r="G165" s="56"/>
      <c r="H165" s="56"/>
      <c r="I165" s="35">
        <f t="shared" si="3"/>
        <v>0</v>
      </c>
      <c r="J165" s="35"/>
      <c r="K165" s="35"/>
      <c r="L165" s="56"/>
      <c r="M165" s="48"/>
    </row>
    <row r="166" spans="1:13" ht="13.2">
      <c r="A166" s="41" t="s">
        <v>502</v>
      </c>
      <c r="B166" s="109" t="str">
        <f>HYPERLINK("http://codeforces.com/contest/723/problem/B","CF723-D2-B")</f>
        <v>CF723-D2-B</v>
      </c>
      <c r="C166" s="56"/>
      <c r="D166" s="56"/>
      <c r="E166" s="56"/>
      <c r="F166" s="56"/>
      <c r="G166" s="56"/>
      <c r="H166" s="56"/>
      <c r="I166" s="35">
        <f t="shared" si="3"/>
        <v>0</v>
      </c>
      <c r="J166" s="35"/>
      <c r="K166" s="35"/>
      <c r="L166" s="56"/>
      <c r="M166" s="48"/>
    </row>
    <row r="167" spans="1:13" ht="13.2">
      <c r="A167" s="41" t="s">
        <v>503</v>
      </c>
      <c r="B167" s="109" t="str">
        <f>HYPERLINK("http://codeforces.com/contest/431/problem/B","CF431-D2-B")</f>
        <v>CF431-D2-B</v>
      </c>
      <c r="C167" s="56"/>
      <c r="D167" s="56"/>
      <c r="E167" s="56"/>
      <c r="F167" s="56"/>
      <c r="G167" s="56"/>
      <c r="H167" s="56"/>
      <c r="I167" s="35">
        <f t="shared" si="3"/>
        <v>0</v>
      </c>
      <c r="J167" s="35"/>
      <c r="K167" s="35"/>
      <c r="L167" s="56"/>
      <c r="M167" s="48"/>
    </row>
    <row r="168" spans="1:13" ht="13.2">
      <c r="A168" s="41" t="s">
        <v>504</v>
      </c>
      <c r="B168" s="109" t="str">
        <f>HYPERLINK("http://codeforces.com/contest/501/problem/B","CF501-D2-B")</f>
        <v>CF501-D2-B</v>
      </c>
      <c r="C168" s="56"/>
      <c r="D168" s="56"/>
      <c r="E168" s="56"/>
      <c r="F168" s="56"/>
      <c r="G168" s="56"/>
      <c r="H168" s="56"/>
      <c r="I168" s="35">
        <f t="shared" si="3"/>
        <v>0</v>
      </c>
      <c r="J168" s="35"/>
      <c r="K168" s="35"/>
      <c r="L168" s="56"/>
      <c r="M168" s="48"/>
    </row>
    <row r="169" spans="1:13" ht="13.2">
      <c r="A169" s="41" t="s">
        <v>505</v>
      </c>
      <c r="B169" s="109" t="str">
        <f>HYPERLINK("http://codeforces.com/contest/667/problem/B","CF667-D2-B")</f>
        <v>CF667-D2-B</v>
      </c>
      <c r="C169" s="56"/>
      <c r="D169" s="56"/>
      <c r="E169" s="56"/>
      <c r="F169" s="56"/>
      <c r="G169" s="56"/>
      <c r="H169" s="56"/>
      <c r="I169" s="35">
        <f t="shared" si="3"/>
        <v>0</v>
      </c>
      <c r="J169" s="35"/>
      <c r="K169" s="35"/>
      <c r="L169" s="56"/>
      <c r="M169" s="48"/>
    </row>
    <row r="170" spans="1:13" ht="13.2">
      <c r="A170" s="41" t="s">
        <v>506</v>
      </c>
      <c r="B170" s="109" t="str">
        <f>HYPERLINK("http://codeforces.com/contest/136/problem/B","CF136-D2-B")</f>
        <v>CF136-D2-B</v>
      </c>
      <c r="C170" s="56"/>
      <c r="D170" s="56"/>
      <c r="E170" s="56"/>
      <c r="F170" s="56"/>
      <c r="G170" s="56"/>
      <c r="H170" s="56"/>
      <c r="I170" s="35">
        <f t="shared" si="3"/>
        <v>0</v>
      </c>
      <c r="J170" s="35"/>
      <c r="K170" s="35"/>
      <c r="L170" s="56"/>
      <c r="M170" s="48"/>
    </row>
    <row r="171" spans="1:13" ht="13.2">
      <c r="A171" s="48" t="s">
        <v>507</v>
      </c>
      <c r="B171" s="53" t="str">
        <f>HYPERLINK("http://codeforces.com/contest/189/problem/B","CF189-D2-B")</f>
        <v>CF189-D2-B</v>
      </c>
      <c r="C171" s="10"/>
      <c r="D171" s="10"/>
      <c r="E171" s="10"/>
      <c r="F171" s="10"/>
      <c r="G171" s="10"/>
      <c r="H171" s="56"/>
      <c r="I171" s="35">
        <f t="shared" si="3"/>
        <v>0</v>
      </c>
      <c r="J171" s="35"/>
      <c r="K171" s="35"/>
      <c r="L171" s="10"/>
      <c r="M171" s="10"/>
    </row>
    <row r="172" spans="1:13" ht="13.2">
      <c r="A172" s="48" t="s">
        <v>508</v>
      </c>
      <c r="B172" s="53" t="str">
        <f>HYPERLINK("http://codeforces.com/contest/459/problem/B","CF459-D2-B")</f>
        <v>CF459-D2-B</v>
      </c>
      <c r="C172" s="10"/>
      <c r="D172" s="10"/>
      <c r="E172" s="10"/>
      <c r="F172" s="10"/>
      <c r="G172" s="10"/>
      <c r="H172" s="56"/>
      <c r="I172" s="35">
        <f t="shared" si="3"/>
        <v>0</v>
      </c>
      <c r="J172" s="35"/>
      <c r="K172" s="35"/>
      <c r="L172" s="10"/>
      <c r="M172" s="10"/>
    </row>
    <row r="173" spans="1:13" ht="13.2">
      <c r="A173" s="41"/>
      <c r="C173" s="56"/>
      <c r="D173" s="56"/>
      <c r="E173" s="56"/>
      <c r="F173" s="56"/>
      <c r="G173" s="56"/>
      <c r="H173" s="56"/>
      <c r="I173" s="35">
        <f t="shared" si="3"/>
        <v>0</v>
      </c>
      <c r="J173" s="35"/>
      <c r="K173" s="35"/>
      <c r="L173" s="56"/>
      <c r="M173" s="48"/>
    </row>
    <row r="174" spans="1:13" ht="13.2">
      <c r="A174" s="41" t="s">
        <v>509</v>
      </c>
      <c r="B174" s="109" t="str">
        <f>HYPERLINK("http://codeforces.com/contest/592/problem/B","CF592-D2-B")</f>
        <v>CF592-D2-B</v>
      </c>
      <c r="C174" s="56"/>
      <c r="D174" s="56"/>
      <c r="E174" s="56"/>
      <c r="F174" s="56"/>
      <c r="G174" s="56"/>
      <c r="H174" s="56"/>
      <c r="I174" s="35">
        <f t="shared" si="3"/>
        <v>0</v>
      </c>
      <c r="J174" s="35"/>
      <c r="K174" s="35"/>
      <c r="L174" s="56"/>
      <c r="M174" s="48"/>
    </row>
    <row r="175" spans="1:13" ht="13.2">
      <c r="A175" s="41" t="s">
        <v>510</v>
      </c>
      <c r="B175" s="109" t="str">
        <f>HYPERLINK("http://codeforces.com/contest/365/problem/B","CF365-D2-B")</f>
        <v>CF365-D2-B</v>
      </c>
      <c r="C175" s="56"/>
      <c r="D175" s="56"/>
      <c r="E175" s="56"/>
      <c r="F175" s="56"/>
      <c r="G175" s="56"/>
      <c r="H175" s="56"/>
      <c r="I175" s="35">
        <f t="shared" si="3"/>
        <v>0</v>
      </c>
      <c r="J175" s="35"/>
      <c r="K175" s="35"/>
      <c r="L175" s="56"/>
      <c r="M175" s="48"/>
    </row>
    <row r="176" spans="1:13" ht="13.2">
      <c r="A176" s="41" t="s">
        <v>511</v>
      </c>
      <c r="B176" s="109" t="str">
        <f>HYPERLINK("http://codeforces.com/contest/705/problem/B","CF705-D2-B")</f>
        <v>CF705-D2-B</v>
      </c>
      <c r="C176" s="56"/>
      <c r="D176" s="56"/>
      <c r="E176" s="56"/>
      <c r="F176" s="56"/>
      <c r="G176" s="56"/>
      <c r="H176" s="56"/>
      <c r="I176" s="35">
        <f t="shared" si="3"/>
        <v>0</v>
      </c>
      <c r="J176" s="35"/>
      <c r="K176" s="35"/>
      <c r="L176" s="56"/>
      <c r="M176" s="48"/>
    </row>
    <row r="177" spans="1:13" ht="13.2">
      <c r="A177" s="41" t="s">
        <v>512</v>
      </c>
      <c r="B177" s="109" t="str">
        <f>HYPERLINK("http://codeforces.com/contest/686/problem/B","CF686-D2-B")</f>
        <v>CF686-D2-B</v>
      </c>
      <c r="C177" s="56"/>
      <c r="D177" s="56"/>
      <c r="E177" s="56"/>
      <c r="F177" s="56"/>
      <c r="G177" s="56"/>
      <c r="H177" s="56"/>
      <c r="I177" s="35">
        <f t="shared" si="3"/>
        <v>0</v>
      </c>
      <c r="J177" s="35"/>
      <c r="K177" s="35"/>
      <c r="L177" s="56"/>
      <c r="M177" s="48"/>
    </row>
    <row r="178" spans="1:13" ht="13.2">
      <c r="A178" s="41" t="s">
        <v>513</v>
      </c>
      <c r="B178" s="109" t="str">
        <f>HYPERLINK("http://codeforces.com/contest/133/problem/B","CF133-D2-B")</f>
        <v>CF133-D2-B</v>
      </c>
      <c r="C178" s="56"/>
      <c r="D178" s="56"/>
      <c r="E178" s="56"/>
      <c r="F178" s="56"/>
      <c r="G178" s="56"/>
      <c r="H178" s="56"/>
      <c r="I178" s="35">
        <f t="shared" si="3"/>
        <v>0</v>
      </c>
      <c r="J178" s="35"/>
      <c r="K178" s="35"/>
      <c r="L178" s="56"/>
      <c r="M178" s="48"/>
    </row>
    <row r="179" spans="1:13" ht="13.2">
      <c r="A179" s="41" t="s">
        <v>514</v>
      </c>
      <c r="B179" s="109" t="str">
        <f>HYPERLINK("http://codeforces.com/contest/127/problem/B","CF127-D2-B")</f>
        <v>CF127-D2-B</v>
      </c>
      <c r="C179" s="56"/>
      <c r="D179" s="56"/>
      <c r="E179" s="56"/>
      <c r="F179" s="56"/>
      <c r="G179" s="56"/>
      <c r="H179" s="56"/>
      <c r="I179" s="35">
        <f t="shared" si="3"/>
        <v>0</v>
      </c>
      <c r="J179" s="35"/>
      <c r="K179" s="35"/>
      <c r="L179" s="56"/>
      <c r="M179" s="48"/>
    </row>
    <row r="180" spans="1:13" ht="13.2">
      <c r="A180" s="41" t="s">
        <v>515</v>
      </c>
      <c r="B180" s="109" t="str">
        <f>HYPERLINK("http://codeforces.com/contest/554/problem/B","CF554-D2-B")</f>
        <v>CF554-D2-B</v>
      </c>
      <c r="C180" s="56"/>
      <c r="D180" s="56"/>
      <c r="E180" s="56"/>
      <c r="F180" s="56"/>
      <c r="G180" s="56"/>
      <c r="H180" s="56"/>
      <c r="I180" s="35">
        <f t="shared" si="3"/>
        <v>0</v>
      </c>
      <c r="J180" s="35"/>
      <c r="K180" s="35"/>
      <c r="L180" s="56"/>
      <c r="M180" s="48"/>
    </row>
    <row r="181" spans="1:13" ht="13.2">
      <c r="A181" s="41" t="s">
        <v>516</v>
      </c>
      <c r="B181" s="109" t="str">
        <f>HYPERLINK("http://codeforces.com/contest/408/problem/B","CF408-D2-B")</f>
        <v>CF408-D2-B</v>
      </c>
      <c r="C181" s="56"/>
      <c r="D181" s="56"/>
      <c r="E181" s="56"/>
      <c r="F181" s="56"/>
      <c r="G181" s="56"/>
      <c r="H181" s="56"/>
      <c r="I181" s="35">
        <f t="shared" si="3"/>
        <v>0</v>
      </c>
      <c r="J181" s="35"/>
      <c r="K181" s="35"/>
      <c r="L181" s="56"/>
      <c r="M181" s="48"/>
    </row>
    <row r="182" spans="1:13" ht="13.2">
      <c r="A182" s="41" t="s">
        <v>517</v>
      </c>
      <c r="B182" s="109" t="str">
        <f>HYPERLINK("http://codeforces.com/contest/362/problem/B","CF362-D2-B")</f>
        <v>CF362-D2-B</v>
      </c>
      <c r="C182" s="56"/>
      <c r="D182" s="56"/>
      <c r="E182" s="56"/>
      <c r="F182" s="56"/>
      <c r="G182" s="56"/>
      <c r="H182" s="56"/>
      <c r="I182" s="35">
        <f t="shared" si="3"/>
        <v>0</v>
      </c>
      <c r="J182" s="35"/>
      <c r="K182" s="35"/>
      <c r="L182" s="56"/>
      <c r="M182" s="48"/>
    </row>
    <row r="183" spans="1:13" ht="13.2">
      <c r="A183" s="41" t="s">
        <v>518</v>
      </c>
      <c r="B183" s="109" t="str">
        <f>HYPERLINK("http://codeforces.com/contest/545/problem/B","CF545-D2-B")</f>
        <v>CF545-D2-B</v>
      </c>
      <c r="C183" s="56"/>
      <c r="D183" s="56"/>
      <c r="E183" s="56"/>
      <c r="F183" s="56"/>
      <c r="G183" s="56"/>
      <c r="H183" s="56"/>
      <c r="I183" s="35">
        <f t="shared" si="3"/>
        <v>0</v>
      </c>
      <c r="J183" s="35"/>
      <c r="K183" s="35"/>
      <c r="L183" s="56"/>
      <c r="M183" s="48"/>
    </row>
    <row r="184" spans="1:13" ht="13.2">
      <c r="A184" s="48" t="s">
        <v>519</v>
      </c>
      <c r="B184" s="53" t="str">
        <f>HYPERLINK("http://codeforces.com/contest/677/problem/B","CF677-D2-B")</f>
        <v>CF677-D2-B</v>
      </c>
      <c r="C184" s="10"/>
      <c r="D184" s="10"/>
      <c r="E184" s="10"/>
      <c r="F184" s="10"/>
      <c r="G184" s="10"/>
      <c r="H184" s="56"/>
      <c r="I184" s="35">
        <f t="shared" si="3"/>
        <v>0</v>
      </c>
      <c r="J184" s="35"/>
      <c r="K184" s="35"/>
      <c r="L184" s="10"/>
      <c r="M184" s="10"/>
    </row>
    <row r="185" spans="1:13" ht="13.2">
      <c r="A185" s="48" t="s">
        <v>520</v>
      </c>
      <c r="B185" s="53" t="str">
        <f>HYPERLINK("http://codeforces.com/contest/304/problem/B","CF304-D2-B")</f>
        <v>CF304-D2-B</v>
      </c>
      <c r="C185" s="10"/>
      <c r="D185" s="10"/>
      <c r="E185" s="10"/>
      <c r="F185" s="10"/>
      <c r="G185" s="10"/>
      <c r="H185" s="56"/>
      <c r="I185" s="35">
        <f t="shared" si="3"/>
        <v>0</v>
      </c>
      <c r="J185" s="35"/>
      <c r="K185" s="35"/>
      <c r="L185" s="10"/>
      <c r="M185" s="10"/>
    </row>
    <row r="186" spans="1:13" ht="13.2">
      <c r="A186" s="48" t="s">
        <v>521</v>
      </c>
      <c r="B186" s="53" t="str">
        <f>HYPERLINK("http://codeforces.com/contest/507/problem/B","CF507-D2-B")</f>
        <v>CF507-D2-B</v>
      </c>
      <c r="C186" s="10"/>
      <c r="D186" s="10"/>
      <c r="E186" s="10"/>
      <c r="F186" s="10"/>
      <c r="G186" s="10"/>
      <c r="H186" s="56"/>
      <c r="I186" s="35">
        <f t="shared" si="3"/>
        <v>0</v>
      </c>
      <c r="J186" s="35"/>
      <c r="K186" s="35"/>
      <c r="L186" s="10"/>
      <c r="M186" s="10"/>
    </row>
    <row r="187" spans="1:13" ht="13.2">
      <c r="A187" s="48" t="s">
        <v>522</v>
      </c>
      <c r="B187" s="53" t="str">
        <f>HYPERLINK("http://codeforces.com/contest/289/problem/B","CF289-D2-B")</f>
        <v>CF289-D2-B</v>
      </c>
      <c r="C187" s="10"/>
      <c r="D187" s="10"/>
      <c r="E187" s="10"/>
      <c r="F187" s="10"/>
      <c r="G187" s="10"/>
      <c r="H187" s="56"/>
      <c r="I187" s="35">
        <f t="shared" si="3"/>
        <v>0</v>
      </c>
      <c r="J187" s="35"/>
      <c r="K187" s="35"/>
      <c r="L187" s="10"/>
      <c r="M187" s="10"/>
    </row>
    <row r="188" spans="1:13" ht="13.2">
      <c r="A188" s="41"/>
      <c r="C188" s="56"/>
      <c r="D188" s="56"/>
      <c r="E188" s="56"/>
      <c r="F188" s="56"/>
      <c r="G188" s="56"/>
      <c r="H188" s="56"/>
      <c r="I188" s="35">
        <f t="shared" si="3"/>
        <v>0</v>
      </c>
      <c r="J188" s="35"/>
      <c r="K188" s="35"/>
      <c r="L188" s="56"/>
      <c r="M188" s="48"/>
    </row>
    <row r="189" spans="1:13" ht="13.2">
      <c r="A189" s="41" t="s">
        <v>523</v>
      </c>
      <c r="B189" s="109" t="str">
        <f>HYPERLINK("http://codeforces.com/contest/387/problem/B","CF387-D2-B")</f>
        <v>CF387-D2-B</v>
      </c>
      <c r="C189" s="56"/>
      <c r="D189" s="56"/>
      <c r="E189" s="56"/>
      <c r="F189" s="56"/>
      <c r="G189" s="56"/>
      <c r="H189" s="56"/>
      <c r="I189" s="35">
        <f t="shared" si="3"/>
        <v>0</v>
      </c>
      <c r="J189" s="35"/>
      <c r="K189" s="35"/>
      <c r="L189" s="56"/>
      <c r="M189" s="48"/>
    </row>
    <row r="190" spans="1:13" ht="13.2">
      <c r="A190" s="41" t="s">
        <v>524</v>
      </c>
      <c r="B190" s="109" t="str">
        <f>HYPERLINK("http://codeforces.com/contest/740/problem/B","CF740-D2-B")</f>
        <v>CF740-D2-B</v>
      </c>
      <c r="C190" s="56"/>
      <c r="D190" s="56"/>
      <c r="E190" s="56"/>
      <c r="F190" s="56"/>
      <c r="G190" s="56"/>
      <c r="H190" s="56"/>
      <c r="I190" s="35">
        <f t="shared" si="3"/>
        <v>0</v>
      </c>
      <c r="J190" s="35"/>
      <c r="K190" s="35"/>
      <c r="L190" s="56"/>
      <c r="M190" s="48"/>
    </row>
    <row r="191" spans="1:13" ht="13.2">
      <c r="A191" s="41" t="s">
        <v>525</v>
      </c>
      <c r="B191" s="109" t="str">
        <f>HYPERLINK("http://codeforces.com/contest/735/problem/B","CF735-D2-B")</f>
        <v>CF735-D2-B</v>
      </c>
      <c r="C191" s="56"/>
      <c r="D191" s="56"/>
      <c r="E191" s="56"/>
      <c r="F191" s="56"/>
      <c r="G191" s="56"/>
      <c r="H191" s="56"/>
      <c r="I191" s="35">
        <f t="shared" si="3"/>
        <v>0</v>
      </c>
      <c r="J191" s="35"/>
      <c r="K191" s="35"/>
      <c r="L191" s="56"/>
      <c r="M191" s="48"/>
    </row>
    <row r="192" spans="1:13" ht="13.2">
      <c r="A192" s="41" t="s">
        <v>526</v>
      </c>
      <c r="B192" s="109" t="str">
        <f>HYPERLINK("http://codeforces.com/contest/104/problem/B","CF104-D2-B")</f>
        <v>CF104-D2-B</v>
      </c>
      <c r="C192" s="56"/>
      <c r="D192" s="56"/>
      <c r="E192" s="56"/>
      <c r="F192" s="56"/>
      <c r="G192" s="56"/>
      <c r="H192" s="56"/>
      <c r="I192" s="35">
        <f t="shared" si="3"/>
        <v>0</v>
      </c>
      <c r="J192" s="35"/>
      <c r="K192" s="35"/>
      <c r="L192" s="56"/>
      <c r="M192" s="48"/>
    </row>
    <row r="193" spans="1:13" ht="13.2">
      <c r="A193" s="41" t="s">
        <v>527</v>
      </c>
      <c r="B193" s="109" t="str">
        <f>HYPERLINK("http://codeforces.com/contest/701/problem/B","CF701-D2-B")</f>
        <v>CF701-D2-B</v>
      </c>
      <c r="C193" s="56"/>
      <c r="D193" s="56"/>
      <c r="E193" s="56"/>
      <c r="F193" s="56"/>
      <c r="G193" s="56"/>
      <c r="H193" s="56"/>
      <c r="I193" s="35">
        <f t="shared" si="3"/>
        <v>0</v>
      </c>
      <c r="J193" s="35"/>
      <c r="K193" s="35"/>
      <c r="L193" s="56"/>
      <c r="M193" s="48"/>
    </row>
    <row r="194" spans="1:13" ht="13.2">
      <c r="A194" s="41" t="s">
        <v>528</v>
      </c>
      <c r="B194" s="109" t="str">
        <f>HYPERLINK("http://codeforces.com/contest/552/problem/B","CF552-D2-B")</f>
        <v>CF552-D2-B</v>
      </c>
      <c r="C194" s="56"/>
      <c r="D194" s="56"/>
      <c r="E194" s="56"/>
      <c r="F194" s="56"/>
      <c r="G194" s="56"/>
      <c r="H194" s="56"/>
      <c r="I194" s="35">
        <f t="shared" si="3"/>
        <v>0</v>
      </c>
      <c r="J194" s="35"/>
      <c r="K194" s="35"/>
      <c r="L194" s="56"/>
      <c r="M194" s="48"/>
    </row>
    <row r="195" spans="1:13" ht="13.2">
      <c r="A195" s="41" t="s">
        <v>529</v>
      </c>
      <c r="B195" s="109" t="str">
        <f>HYPERLINK("http://codeforces.com/contest/474/problem/B","CF474-D2-B")</f>
        <v>CF474-D2-B</v>
      </c>
      <c r="C195" s="56"/>
      <c r="D195" s="56"/>
      <c r="E195" s="56"/>
      <c r="F195" s="56"/>
      <c r="G195" s="56"/>
      <c r="H195" s="56"/>
      <c r="I195" s="35">
        <f t="shared" si="3"/>
        <v>0</v>
      </c>
      <c r="J195" s="35"/>
      <c r="K195" s="35"/>
      <c r="L195" s="56"/>
      <c r="M195" s="48"/>
    </row>
    <row r="196" spans="1:13" ht="13.2">
      <c r="A196" s="41" t="s">
        <v>530</v>
      </c>
      <c r="B196" s="109" t="str">
        <f>HYPERLINK("http://codeforces.com/contest/59/problem/B","CF59-D2-B")</f>
        <v>CF59-D2-B</v>
      </c>
      <c r="C196" s="56"/>
      <c r="D196" s="56"/>
      <c r="E196" s="56"/>
      <c r="F196" s="56"/>
      <c r="G196" s="56"/>
      <c r="H196" s="56"/>
      <c r="I196" s="35">
        <f t="shared" si="3"/>
        <v>0</v>
      </c>
      <c r="J196" s="35"/>
      <c r="K196" s="35"/>
      <c r="L196" s="56"/>
      <c r="M196" s="48"/>
    </row>
    <row r="197" spans="1:13" ht="13.2">
      <c r="A197" s="41"/>
      <c r="C197" s="56"/>
      <c r="D197" s="56"/>
      <c r="E197" s="56"/>
      <c r="F197" s="56"/>
      <c r="G197" s="56"/>
      <c r="H197" s="56"/>
      <c r="I197" s="35">
        <f t="shared" si="3"/>
        <v>0</v>
      </c>
      <c r="J197" s="35"/>
      <c r="K197" s="35"/>
      <c r="L197" s="56"/>
      <c r="M197" s="48"/>
    </row>
    <row r="198" spans="1:13" ht="13.2">
      <c r="A198" s="41" t="s">
        <v>531</v>
      </c>
      <c r="B198" s="109" t="str">
        <f>HYPERLINK("http://codeforces.com/contest/192/problem/B","CF192-D2-B")</f>
        <v>CF192-D2-B</v>
      </c>
      <c r="C198" s="56"/>
      <c r="D198" s="56"/>
      <c r="E198" s="56"/>
      <c r="F198" s="56"/>
      <c r="G198" s="56"/>
      <c r="H198" s="56"/>
      <c r="I198" s="35">
        <f t="shared" si="3"/>
        <v>0</v>
      </c>
      <c r="J198" s="35"/>
      <c r="K198" s="35"/>
      <c r="L198" s="56"/>
      <c r="M198" s="48"/>
    </row>
    <row r="199" spans="1:13" ht="13.2">
      <c r="A199" s="41" t="s">
        <v>532</v>
      </c>
      <c r="B199" s="109" t="str">
        <f>HYPERLINK("http://codeforces.com/contest/366/problem/B","CF366-D2-B")</f>
        <v>CF366-D2-B</v>
      </c>
      <c r="C199" s="56"/>
      <c r="D199" s="56"/>
      <c r="E199" s="56"/>
      <c r="F199" s="56"/>
      <c r="G199" s="56"/>
      <c r="H199" s="56"/>
      <c r="I199" s="35">
        <f t="shared" si="3"/>
        <v>0</v>
      </c>
      <c r="J199" s="35"/>
      <c r="K199" s="35"/>
      <c r="L199" s="56"/>
      <c r="M199" s="48"/>
    </row>
    <row r="200" spans="1:13" ht="13.2">
      <c r="A200" s="41" t="s">
        <v>533</v>
      </c>
      <c r="B200" s="109" t="str">
        <f>HYPERLINK("http://codeforces.com/contest/298/problem/B","CF298-D2-B")</f>
        <v>CF298-D2-B</v>
      </c>
      <c r="C200" s="56"/>
      <c r="D200" s="56"/>
      <c r="E200" s="56"/>
      <c r="F200" s="56"/>
      <c r="G200" s="56"/>
      <c r="H200" s="56"/>
      <c r="I200" s="35">
        <f t="shared" si="3"/>
        <v>0</v>
      </c>
      <c r="J200" s="35"/>
      <c r="K200" s="35"/>
      <c r="L200" s="56"/>
      <c r="M200" s="48"/>
    </row>
    <row r="201" spans="1:13" ht="13.2">
      <c r="A201" s="41" t="s">
        <v>534</v>
      </c>
      <c r="B201" s="109" t="str">
        <f>HYPERLINK("http://codeforces.com/contest/389/problem/B","CF389-D2-B")</f>
        <v>CF389-D2-B</v>
      </c>
      <c r="C201" s="56"/>
      <c r="D201" s="56"/>
      <c r="E201" s="56"/>
      <c r="F201" s="56"/>
      <c r="G201" s="56"/>
      <c r="H201" s="56"/>
      <c r="I201" s="35">
        <f t="shared" si="3"/>
        <v>0</v>
      </c>
      <c r="J201" s="35"/>
      <c r="K201" s="35"/>
      <c r="L201" s="56"/>
      <c r="M201" s="48"/>
    </row>
    <row r="202" spans="1:13" ht="13.2">
      <c r="A202" s="41" t="s">
        <v>535</v>
      </c>
      <c r="B202" s="109" t="str">
        <f>HYPERLINK("http://codeforces.com/contest/591/problem/B","CF591-D2-B")</f>
        <v>CF591-D2-B</v>
      </c>
      <c r="C202" s="56"/>
      <c r="D202" s="56"/>
      <c r="E202" s="56"/>
      <c r="F202" s="56"/>
      <c r="G202" s="56"/>
      <c r="H202" s="56"/>
      <c r="I202" s="35">
        <f t="shared" si="3"/>
        <v>0</v>
      </c>
      <c r="J202" s="35"/>
      <c r="K202" s="35"/>
      <c r="L202" s="56"/>
      <c r="M202" s="48"/>
    </row>
    <row r="203" spans="1:13" ht="13.2">
      <c r="A203" s="41" t="s">
        <v>536</v>
      </c>
      <c r="B203" s="109" t="str">
        <f>HYPERLINK("http://codeforces.com/contest/246/problem/B","CF246-D2-B")</f>
        <v>CF246-D2-B</v>
      </c>
      <c r="C203" s="56"/>
      <c r="D203" s="56"/>
      <c r="E203" s="56"/>
      <c r="F203" s="56"/>
      <c r="G203" s="56"/>
      <c r="H203" s="56"/>
      <c r="I203" s="35">
        <f t="shared" si="3"/>
        <v>0</v>
      </c>
      <c r="J203" s="35"/>
      <c r="K203" s="35"/>
      <c r="L203" s="56"/>
      <c r="M203" s="48"/>
    </row>
    <row r="204" spans="1:13" ht="13.2">
      <c r="A204" s="41" t="s">
        <v>537</v>
      </c>
      <c r="B204" s="109" t="str">
        <f>HYPERLINK("http://codeforces.com/contest/682/problem/B","CF682-D2-B")</f>
        <v>CF682-D2-B</v>
      </c>
      <c r="C204" s="56"/>
      <c r="D204" s="56"/>
      <c r="E204" s="56"/>
      <c r="F204" s="56"/>
      <c r="G204" s="56"/>
      <c r="H204" s="56"/>
      <c r="I204" s="35">
        <f t="shared" si="3"/>
        <v>0</v>
      </c>
      <c r="J204" s="35"/>
      <c r="K204" s="35"/>
      <c r="L204" s="56"/>
      <c r="M204" s="48"/>
    </row>
    <row r="205" spans="1:13" ht="13.2">
      <c r="A205" s="41" t="s">
        <v>373</v>
      </c>
      <c r="B205" s="109" t="str">
        <f>HYPERLINK("http://codeforces.com/contest/58/problem/B","CF58-D2-B")</f>
        <v>CF58-D2-B</v>
      </c>
      <c r="C205" s="56"/>
      <c r="D205" s="56"/>
      <c r="E205" s="56"/>
      <c r="F205" s="56"/>
      <c r="G205" s="56"/>
      <c r="H205" s="56"/>
      <c r="I205" s="35">
        <f t="shared" si="3"/>
        <v>0</v>
      </c>
      <c r="J205" s="35"/>
      <c r="K205" s="35"/>
      <c r="L205" s="56"/>
      <c r="M205" s="48"/>
    </row>
    <row r="206" spans="1:13" ht="13.2">
      <c r="A206" s="41" t="s">
        <v>538</v>
      </c>
      <c r="B206" s="109" t="str">
        <f>HYPERLINK("http://codeforces.com/contest/567/problem/B","CF567-D2-B")</f>
        <v>CF567-D2-B</v>
      </c>
      <c r="C206" s="56"/>
      <c r="D206" s="56"/>
      <c r="E206" s="56"/>
      <c r="F206" s="56"/>
      <c r="G206" s="56"/>
      <c r="H206" s="56"/>
      <c r="I206" s="35">
        <f t="shared" si="3"/>
        <v>0</v>
      </c>
      <c r="J206" s="35"/>
      <c r="K206" s="35"/>
      <c r="L206" s="56"/>
      <c r="M206" s="48"/>
    </row>
    <row r="207" spans="1:13" ht="13.2">
      <c r="A207" s="41" t="s">
        <v>539</v>
      </c>
      <c r="B207" s="109" t="str">
        <f>HYPERLINK("http://codeforces.com/contest/416/problem/B","CF416-D2-B")</f>
        <v>CF416-D2-B</v>
      </c>
      <c r="C207" s="56"/>
      <c r="D207" s="56"/>
      <c r="E207" s="56"/>
      <c r="F207" s="56"/>
      <c r="G207" s="56"/>
      <c r="H207" s="56"/>
      <c r="I207" s="35">
        <f t="shared" si="3"/>
        <v>0</v>
      </c>
      <c r="J207" s="35"/>
      <c r="K207" s="35"/>
      <c r="L207" s="56"/>
      <c r="M207" s="48"/>
    </row>
    <row r="208" spans="1:13" ht="13.2">
      <c r="A208" s="41"/>
      <c r="C208" s="56"/>
      <c r="D208" s="56"/>
      <c r="E208" s="56"/>
      <c r="F208" s="56"/>
      <c r="G208" s="56"/>
      <c r="H208" s="56"/>
      <c r="I208" s="35">
        <f t="shared" si="3"/>
        <v>0</v>
      </c>
      <c r="J208" s="35"/>
      <c r="K208" s="35"/>
      <c r="L208" s="56"/>
      <c r="M208" s="48"/>
    </row>
    <row r="209" spans="1:13" ht="13.2">
      <c r="A209" s="41" t="s">
        <v>540</v>
      </c>
      <c r="B209" s="109" t="str">
        <f>HYPERLINK("http://codeforces.com/contest/489/problem/B","CF489-D2-B")</f>
        <v>CF489-D2-B</v>
      </c>
      <c r="C209" s="56"/>
      <c r="D209" s="56"/>
      <c r="E209" s="56"/>
      <c r="F209" s="56"/>
      <c r="G209" s="56"/>
      <c r="H209" s="56"/>
      <c r="I209" s="35">
        <f t="shared" si="3"/>
        <v>0</v>
      </c>
      <c r="J209" s="35"/>
      <c r="K209" s="35"/>
      <c r="L209" s="56"/>
      <c r="M209" s="48"/>
    </row>
    <row r="210" spans="1:13" ht="13.2">
      <c r="A210" s="41" t="s">
        <v>541</v>
      </c>
      <c r="B210" s="109" t="str">
        <f>HYPERLINK("http://codeforces.com/contest/478/problem/B","CF478-D2-B")</f>
        <v>CF478-D2-B</v>
      </c>
      <c r="C210" s="56"/>
      <c r="D210" s="56"/>
      <c r="E210" s="56"/>
      <c r="F210" s="56"/>
      <c r="G210" s="56"/>
      <c r="H210" s="56"/>
      <c r="I210" s="35">
        <f t="shared" si="3"/>
        <v>0</v>
      </c>
      <c r="J210" s="35"/>
      <c r="K210" s="35"/>
      <c r="L210" s="56"/>
      <c r="M210" s="48"/>
    </row>
    <row r="211" spans="1:13" ht="13.2">
      <c r="A211" s="41" t="s">
        <v>542</v>
      </c>
      <c r="B211" s="109" t="str">
        <f>HYPERLINK("http://codeforces.com/contest/94/problem/B","CF94-D2-B")</f>
        <v>CF94-D2-B</v>
      </c>
      <c r="C211" s="56"/>
      <c r="D211" s="56"/>
      <c r="E211" s="56"/>
      <c r="F211" s="56"/>
      <c r="G211" s="56"/>
      <c r="H211" s="56"/>
      <c r="I211" s="35">
        <f t="shared" si="3"/>
        <v>0</v>
      </c>
      <c r="J211" s="35"/>
      <c r="K211" s="35"/>
      <c r="L211" s="56"/>
      <c r="M211" s="48"/>
    </row>
    <row r="212" spans="1:13" ht="13.2">
      <c r="A212" s="41" t="s">
        <v>543</v>
      </c>
      <c r="B212" s="109" t="str">
        <f>HYPERLINK("http://codeforces.com/contest/625/problem/B","CF625-D2-B")</f>
        <v>CF625-D2-B</v>
      </c>
      <c r="C212" s="56"/>
      <c r="D212" s="56"/>
      <c r="E212" s="56"/>
      <c r="F212" s="56"/>
      <c r="G212" s="56"/>
      <c r="H212" s="56"/>
      <c r="I212" s="35">
        <f t="shared" si="3"/>
        <v>0</v>
      </c>
      <c r="J212" s="35"/>
      <c r="K212" s="35"/>
      <c r="L212" s="56"/>
      <c r="M212" s="48"/>
    </row>
    <row r="213" spans="1:13" ht="13.2">
      <c r="A213" s="41" t="s">
        <v>544</v>
      </c>
      <c r="B213" s="109" t="str">
        <f>HYPERLINK("http://codeforces.com/contest/330/problem/B","CF330-D2-B")</f>
        <v>CF330-D2-B</v>
      </c>
      <c r="C213" s="56"/>
      <c r="D213" s="56"/>
      <c r="E213" s="56"/>
      <c r="F213" s="56"/>
      <c r="G213" s="56"/>
      <c r="H213" s="56"/>
      <c r="I213" s="35">
        <f t="shared" si="3"/>
        <v>0</v>
      </c>
      <c r="J213" s="35"/>
      <c r="K213" s="35"/>
      <c r="L213" s="56"/>
      <c r="M213" s="48"/>
    </row>
    <row r="214" spans="1:13" ht="13.2">
      <c r="A214" s="41" t="s">
        <v>545</v>
      </c>
      <c r="B214" s="109" t="str">
        <f>HYPERLINK("http://codeforces.com/contest/92/problem/B","CF92-D2-B")</f>
        <v>CF92-D2-B</v>
      </c>
      <c r="C214" s="56"/>
      <c r="D214" s="56"/>
      <c r="E214" s="56"/>
      <c r="F214" s="56"/>
      <c r="G214" s="56"/>
      <c r="H214" s="56"/>
      <c r="I214" s="35">
        <f t="shared" si="3"/>
        <v>0</v>
      </c>
      <c r="J214" s="35"/>
      <c r="K214" s="35"/>
      <c r="L214" s="56"/>
      <c r="M214" s="48"/>
    </row>
    <row r="215" spans="1:13" ht="13.2">
      <c r="A215" s="41" t="s">
        <v>546</v>
      </c>
      <c r="B215" s="109" t="str">
        <f>HYPERLINK("http://codeforces.com/contest/4/problem/B","CF4-D2-B")</f>
        <v>CF4-D2-B</v>
      </c>
      <c r="C215" s="56"/>
      <c r="D215" s="56"/>
      <c r="E215" s="56"/>
      <c r="F215" s="56"/>
      <c r="G215" s="56"/>
      <c r="H215" s="56"/>
      <c r="I215" s="35">
        <f t="shared" si="3"/>
        <v>0</v>
      </c>
      <c r="J215" s="35"/>
      <c r="K215" s="35"/>
      <c r="L215" s="56"/>
      <c r="M215" s="48"/>
    </row>
    <row r="216" spans="1:13" ht="13.2">
      <c r="A216" s="41" t="s">
        <v>547</v>
      </c>
      <c r="B216" s="109" t="str">
        <f>HYPERLINK("http://codeforces.com/contest/9/problem/B","CF9-D2-B")</f>
        <v>CF9-D2-B</v>
      </c>
      <c r="C216" s="56"/>
      <c r="D216" s="56"/>
      <c r="E216" s="56"/>
      <c r="F216" s="56"/>
      <c r="G216" s="56"/>
      <c r="H216" s="56"/>
      <c r="I216" s="35">
        <f t="shared" si="3"/>
        <v>0</v>
      </c>
      <c r="J216" s="35"/>
      <c r="K216" s="35"/>
      <c r="L216" s="56"/>
      <c r="M216" s="48"/>
    </row>
    <row r="217" spans="1:13" ht="13.2">
      <c r="A217" s="41" t="s">
        <v>548</v>
      </c>
      <c r="B217" s="109" t="str">
        <f>HYPERLINK("http://codeforces.com/contest/508/problem/B","CF508-D2-B")</f>
        <v>CF508-D2-B</v>
      </c>
      <c r="C217" s="56"/>
      <c r="D217" s="56"/>
      <c r="E217" s="56"/>
      <c r="F217" s="56"/>
      <c r="G217" s="56"/>
      <c r="H217" s="56"/>
      <c r="I217" s="35">
        <f t="shared" si="3"/>
        <v>0</v>
      </c>
      <c r="J217" s="35"/>
      <c r="K217" s="35"/>
      <c r="L217" s="56"/>
      <c r="M217" s="48"/>
    </row>
    <row r="218" spans="1:13" ht="13.2">
      <c r="A218" s="41" t="s">
        <v>549</v>
      </c>
      <c r="B218" s="109" t="str">
        <f>HYPERLINK("http://codeforces.com/contest/151/problem/B","CF151-D2-B")</f>
        <v>CF151-D2-B</v>
      </c>
      <c r="C218" s="56"/>
      <c r="D218" s="56"/>
      <c r="E218" s="56"/>
      <c r="F218" s="56"/>
      <c r="G218" s="56"/>
      <c r="H218" s="56"/>
      <c r="I218" s="35">
        <f t="shared" si="3"/>
        <v>0</v>
      </c>
      <c r="J218" s="35"/>
      <c r="K218" s="35"/>
      <c r="L218" s="56"/>
      <c r="M218" s="48"/>
    </row>
  </sheetData>
  <mergeCells count="2">
    <mergeCell ref="D135:G135"/>
    <mergeCell ref="J135:M135"/>
  </mergeCells>
  <conditionalFormatting sqref="C3:C218 D133 C240:C291">
    <cfRule type="cellIs" dxfId="63" priority="4" operator="equal">
      <formula>"AC"</formula>
    </cfRule>
  </conditionalFormatting>
  <conditionalFormatting sqref="C3:C218 D133">
    <cfRule type="containsText" dxfId="62" priority="5" operator="containsText" text="WA">
      <formula>NOT(ISERROR(SEARCH(("WA"),(C3))))</formula>
    </cfRule>
    <cfRule type="containsText" dxfId="61" priority="7" operator="containsText" text="TLE">
      <formula>NOT(ISERROR(SEARCH(("TLE"),(C3))))</formula>
    </cfRule>
    <cfRule type="containsText" dxfId="60" priority="9" operator="containsText" text="RTE">
      <formula>NOT(ISERROR(SEARCH(("RTE"),(C3))))</formula>
    </cfRule>
    <cfRule type="containsText" dxfId="59" priority="11" operator="containsText" text="CS">
      <formula>NOT(ISERROR(SEARCH(("CS"),(C3))))</formula>
    </cfRule>
  </conditionalFormatting>
  <conditionalFormatting sqref="C240:C291">
    <cfRule type="containsText" dxfId="58" priority="6" operator="containsText" text="WA">
      <formula>NOT(ISERROR(SEARCH(("WA"),(C240))))</formula>
    </cfRule>
    <cfRule type="containsText" dxfId="57" priority="8" operator="containsText" text="TLE">
      <formula>NOT(ISERROR(SEARCH(("TLE"),(C240))))</formula>
    </cfRule>
    <cfRule type="containsText" dxfId="56" priority="10" operator="containsText" text="RTE">
      <formula>NOT(ISERROR(SEARCH(("RTE"),(C240))))</formula>
    </cfRule>
    <cfRule type="containsText" dxfId="55" priority="12" operator="containsText" text="CS">
      <formula>NOT(ISERROR(SEARCH(("CS"),(C240))))</formula>
    </cfRule>
  </conditionalFormatting>
  <conditionalFormatting sqref="K3:K133 K137:K218">
    <cfRule type="cellIs" dxfId="54" priority="1" operator="equal">
      <formula>"No"</formula>
    </cfRule>
    <cfRule type="cellIs" dxfId="53" priority="2" operator="equal">
      <formula>"no"</formula>
    </cfRule>
    <cfRule type="cellIs" dxfId="52" priority="3" operator="equal">
      <formula>"NO"</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87" t="s">
        <v>146</v>
      </c>
      <c r="B1" s="87"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88"/>
      <c r="B2" s="48" t="s">
        <v>159</v>
      </c>
      <c r="C2" s="36">
        <f>COUNTIF(C5:C10496, "AC")</f>
        <v>0</v>
      </c>
      <c r="D2" s="36" t="e">
        <f ca="1">ROUND(SUMPRODUCT(D5:D10496,INT(EQ(C5:C10496, "AC")))/MAX(1, C2),1)</f>
        <v>#NAME?</v>
      </c>
      <c r="E2" s="36" t="e">
        <f ca="1">ROUND(SUMPRODUCT(E5:E10518,INT(EQ(C5:C10518, "AC")))/MAX(1, C2),0)</f>
        <v>#NAME?</v>
      </c>
      <c r="F2" s="36" t="e">
        <f ca="1">ROUND(SUMPRODUCT(F5:F10521,INT(EQ(C5:C10521, "AC")))/MAX(1, C2),0)</f>
        <v>#NAME?</v>
      </c>
      <c r="G2" s="36" t="e">
        <f ca="1">ROUND(SUMPRODUCT(G5:G10521,INT(EQ(C5:C10521, "AC")))/MAX(1, C2),0)</f>
        <v>#NAME?</v>
      </c>
      <c r="H2" s="36" t="e">
        <f ca="1">ROUND(SUMPRODUCT(H5:H10521,INT(EQ(C5:C10521, "AC")))/MAX(1, C2),0)</f>
        <v>#NAME?</v>
      </c>
      <c r="I2" s="36" t="e">
        <f ca="1">ROUND(SUMPRODUCT(I5:I10493,INT(EQ(C5:C10493, "AC")))/MAX(1, C2),0)</f>
        <v>#NAME?</v>
      </c>
      <c r="J2" s="36" t="e">
        <f ca="1">ROUND(SUMPRODUCT(J5:J10491,INT(EQ(C5:C10491, "AC")))/MAX(1, C2),1)</f>
        <v>#NAME?</v>
      </c>
      <c r="K2" s="36" t="e">
        <f ca="1">SUMPRODUCT(EQ(K5:K10496, "YES"),INT(EQ(C5:C10521, "AC")))</f>
        <v>#NAME?</v>
      </c>
      <c r="L2" s="37">
        <f ca="1">IFERROR(__xludf.DUMMYFUNCTION("COUNTA(FILTER(C5:C9988, NOT(REGEXMATCH(C5:C9988, ""AC""))))"),0)</f>
        <v>0</v>
      </c>
      <c r="M2" s="38">
        <f ca="1">IFERROR(__xludf.DUMMYFUNCTION("COUNTA(FILTER(C5:C9982, NOT(REGEXMATCH(C5:C9982, ""AC""))))"),0)</f>
        <v>0</v>
      </c>
    </row>
    <row r="3" spans="1:13" ht="15.75" customHeight="1">
      <c r="A3" s="41"/>
      <c r="B3" s="41"/>
      <c r="C3" s="56"/>
      <c r="D3" s="56"/>
      <c r="E3" s="56"/>
      <c r="F3" s="56"/>
      <c r="G3" s="56"/>
      <c r="H3" s="56"/>
      <c r="I3" s="35"/>
      <c r="J3" s="35"/>
      <c r="K3" s="35"/>
      <c r="L3" s="56"/>
      <c r="M3" s="48" t="s">
        <v>550</v>
      </c>
    </row>
    <row r="4" spans="1:13" ht="15.75" customHeight="1">
      <c r="A4" s="41"/>
      <c r="B4" s="41"/>
      <c r="C4" s="56"/>
      <c r="D4" s="56"/>
      <c r="E4" s="56"/>
      <c r="F4" s="56"/>
      <c r="G4" s="56"/>
      <c r="H4" s="56"/>
      <c r="I4" s="35"/>
      <c r="J4" s="35"/>
      <c r="K4" s="35"/>
      <c r="L4" s="56"/>
      <c r="M4" s="10" t="s">
        <v>551</v>
      </c>
    </row>
    <row r="5" spans="1:13" ht="15.75" customHeight="1">
      <c r="A5" s="41" t="s">
        <v>552</v>
      </c>
      <c r="B5" s="115" t="str">
        <f>HYPERLINK("http://codeforces.com/contest/515/problem/C","CF515-D2-C")</f>
        <v>CF515-D2-C</v>
      </c>
      <c r="C5" s="56"/>
      <c r="D5" s="56"/>
      <c r="E5" s="56"/>
      <c r="F5" s="56"/>
      <c r="G5" s="56"/>
      <c r="H5" s="56"/>
      <c r="I5" s="35">
        <f t="shared" ref="I5:I148" si="0">SUM(E5:H5)</f>
        <v>0</v>
      </c>
      <c r="J5" s="35"/>
      <c r="K5" s="35"/>
      <c r="L5" s="56"/>
      <c r="M5" s="50" t="str">
        <f>HYPERLINK("https://www.youtube.com/watch?v=QEh0ugyYPUw","Video Solution - Dr Mostafa Saad")</f>
        <v>Video Solution - Dr Mostafa Saad</v>
      </c>
    </row>
    <row r="6" spans="1:13" ht="15.75" customHeight="1">
      <c r="A6" s="48" t="s">
        <v>553</v>
      </c>
      <c r="B6" s="71" t="str">
        <f>HYPERLINK("http://codeforces.com/contest/304/problem/C","CF304-D2-C")</f>
        <v>CF304-D2-C</v>
      </c>
      <c r="C6" s="56"/>
      <c r="D6" s="56"/>
      <c r="E6" s="56"/>
      <c r="F6" s="56"/>
      <c r="G6" s="56"/>
      <c r="H6" s="56"/>
      <c r="I6" s="35">
        <f t="shared" si="0"/>
        <v>0</v>
      </c>
      <c r="J6" s="10"/>
      <c r="K6" s="10"/>
      <c r="L6" s="10"/>
      <c r="M6" s="10"/>
    </row>
    <row r="7" spans="1:13" ht="15.75" customHeight="1">
      <c r="A7" s="48" t="s">
        <v>554</v>
      </c>
      <c r="B7" s="71" t="str">
        <f>HYPERLINK("http://codeforces.com/contest/546/problem/C","CF546-D2-C")</f>
        <v>CF546-D2-C</v>
      </c>
      <c r="C7" s="56"/>
      <c r="D7" s="56"/>
      <c r="E7" s="56"/>
      <c r="F7" s="56"/>
      <c r="G7" s="56"/>
      <c r="H7" s="56"/>
      <c r="I7" s="35">
        <f t="shared" si="0"/>
        <v>0</v>
      </c>
      <c r="J7" s="10"/>
      <c r="K7" s="10"/>
      <c r="L7" s="10"/>
      <c r="M7" s="10"/>
    </row>
    <row r="8" spans="1:13" ht="15.75" customHeight="1">
      <c r="A8" s="48" t="s">
        <v>555</v>
      </c>
      <c r="B8" s="71" t="str">
        <f>HYPERLINK("http://codeforces.com/contest/651/problem/C","CF651-D2-C")</f>
        <v>CF651-D2-C</v>
      </c>
      <c r="C8" s="56"/>
      <c r="D8" s="56"/>
      <c r="E8" s="56"/>
      <c r="F8" s="56"/>
      <c r="G8" s="56"/>
      <c r="H8" s="56"/>
      <c r="I8" s="35">
        <f t="shared" si="0"/>
        <v>0</v>
      </c>
      <c r="J8" s="10"/>
      <c r="K8" s="10"/>
      <c r="L8" s="10"/>
      <c r="M8" s="10"/>
    </row>
    <row r="9" spans="1:13" ht="15.75" customHeight="1">
      <c r="A9" s="48"/>
      <c r="B9" s="71"/>
      <c r="C9" s="56"/>
      <c r="D9" s="56"/>
      <c r="E9" s="56"/>
      <c r="F9" s="56"/>
      <c r="G9" s="56"/>
      <c r="H9" s="56"/>
      <c r="I9" s="35">
        <f t="shared" si="0"/>
        <v>0</v>
      </c>
      <c r="J9" s="35"/>
      <c r="K9" s="35"/>
      <c r="L9" s="10"/>
      <c r="M9" s="59"/>
    </row>
    <row r="10" spans="1:13" ht="15.75" customHeight="1">
      <c r="A10" s="41"/>
      <c r="B10" s="41"/>
      <c r="C10" s="56"/>
      <c r="D10" s="56"/>
      <c r="E10" s="56"/>
      <c r="F10" s="56"/>
      <c r="G10" s="56"/>
      <c r="H10" s="56"/>
      <c r="I10" s="35">
        <f t="shared" si="0"/>
        <v>0</v>
      </c>
      <c r="J10" s="35"/>
      <c r="K10" s="35"/>
      <c r="L10" s="56"/>
      <c r="M10" s="89" t="str">
        <f>HYPERLINK("https://www.youtube.com/watch?v=Tm_Vlkv4mOo","Watch - Thinking - Concretely - Symbolically - Pictorially ")</f>
        <v xml:space="preserve">Watch - Thinking - Concretely - Symbolically - Pictorially </v>
      </c>
    </row>
    <row r="11" spans="1:13" ht="15.75" customHeight="1">
      <c r="A11" s="41"/>
      <c r="B11" s="41"/>
      <c r="C11" s="56"/>
      <c r="D11" s="56"/>
      <c r="E11" s="56"/>
      <c r="F11" s="56"/>
      <c r="G11" s="56"/>
      <c r="H11" s="56"/>
      <c r="I11" s="35">
        <f t="shared" si="0"/>
        <v>0</v>
      </c>
      <c r="J11" s="35"/>
      <c r="K11" s="35"/>
      <c r="L11" s="56"/>
      <c r="M11" s="92" t="str">
        <f>HYPERLINK("https://www.youtube.com/watch?v=6Fx8T_NBA7Q","Watch - Thinking - Problem Constraints ")</f>
        <v xml:space="preserve">Watch - Thinking - Problem Constraints </v>
      </c>
    </row>
    <row r="12" spans="1:13" ht="15.75" customHeight="1">
      <c r="A12" s="41"/>
      <c r="B12" s="41"/>
      <c r="C12" s="56"/>
      <c r="D12" s="56"/>
      <c r="E12" s="56"/>
      <c r="F12" s="56"/>
      <c r="G12" s="56"/>
      <c r="H12" s="56"/>
      <c r="I12" s="35">
        <f t="shared" si="0"/>
        <v>0</v>
      </c>
      <c r="J12" s="35"/>
      <c r="K12" s="35"/>
      <c r="L12" s="56"/>
      <c r="M12" s="92" t="str">
        <f>HYPERLINK("https://www.youtube.com/watch?v=VZBfW08ECgA","Watch - Number Theory - Primes")</f>
        <v>Watch - Number Theory - Primes</v>
      </c>
    </row>
    <row r="13" spans="1:13" ht="15.75" customHeight="1">
      <c r="A13" s="62" t="s">
        <v>556</v>
      </c>
      <c r="B13" s="107" t="str">
        <f>HYPERLINK("http://codeforces.com/contest/371/problem/B","CF371-D2-B")</f>
        <v>CF371-D2-B</v>
      </c>
      <c r="C13" s="56"/>
      <c r="D13" s="56"/>
      <c r="E13" s="56"/>
      <c r="F13" s="56"/>
      <c r="G13" s="56"/>
      <c r="H13" s="56"/>
      <c r="I13" s="35">
        <f t="shared" si="0"/>
        <v>0</v>
      </c>
      <c r="J13" s="35"/>
      <c r="K13" s="35"/>
      <c r="L13" s="10"/>
      <c r="M13" s="50" t="str">
        <f>HYPERLINK("https://www.youtube.com/watch?v=s9jsw8Uj4uI&amp;feature=youtu.be","Video Solution - Eng Abanob Ashraf")</f>
        <v>Video Solution - Eng Abanob Ashraf</v>
      </c>
    </row>
    <row r="14" spans="1:13" ht="15.75" customHeight="1">
      <c r="A14" s="62" t="s">
        <v>557</v>
      </c>
      <c r="B14" s="107" t="str">
        <f>HYPERLINK("http://codeforces.com/contest/588/problem/B","CF588-D2-B")</f>
        <v>CF588-D2-B</v>
      </c>
      <c r="C14" s="56"/>
      <c r="D14" s="56"/>
      <c r="E14" s="56"/>
      <c r="F14" s="56"/>
      <c r="G14" s="56"/>
      <c r="H14" s="56"/>
      <c r="I14" s="35">
        <f t="shared" si="0"/>
        <v>0</v>
      </c>
      <c r="J14" s="35"/>
      <c r="K14" s="35"/>
      <c r="L14" s="10"/>
      <c r="M14" s="10"/>
    </row>
    <row r="15" spans="1:13" ht="15.75" customHeight="1">
      <c r="A15" s="62" t="s">
        <v>558</v>
      </c>
      <c r="B15" s="107" t="str">
        <f>HYPERLINK("https://uva.onlinejudge.org/index.php?option=onlinejudge&amp;page=show_problem&amp;problem=1335","UVA 10394")</f>
        <v>UVA 10394</v>
      </c>
      <c r="C15" s="56"/>
      <c r="D15" s="56"/>
      <c r="E15" s="56"/>
      <c r="F15" s="56"/>
      <c r="G15" s="56"/>
      <c r="H15" s="56"/>
      <c r="I15" s="35">
        <f t="shared" si="0"/>
        <v>0</v>
      </c>
      <c r="J15" s="35"/>
      <c r="K15" s="35"/>
      <c r="L15" s="56"/>
      <c r="M15" s="125"/>
    </row>
    <row r="16" spans="1:13" ht="15.75" customHeight="1">
      <c r="A16" s="62" t="s">
        <v>559</v>
      </c>
      <c r="B16" s="107" t="str">
        <f>HYPERLINK("https://uva.onlinejudge.org/index.php?option=onlinejudge&amp;page=show_problem&amp;problem=1109","UVA 10168")</f>
        <v>UVA 10168</v>
      </c>
      <c r="C16" s="56"/>
      <c r="D16" s="56"/>
      <c r="E16" s="56"/>
      <c r="F16" s="56"/>
      <c r="G16" s="56"/>
      <c r="H16" s="56"/>
      <c r="I16" s="35">
        <f t="shared" si="0"/>
        <v>0</v>
      </c>
      <c r="J16" s="35"/>
      <c r="K16" s="35"/>
      <c r="L16" s="56"/>
      <c r="M16" s="95" t="str">
        <f>HYPERLINK("https://www.youtube.com/watch?v=BztjeBZmzco&amp;feature=youtu.be","Video Solution - Eng Moaz Rashad")</f>
        <v>Video Solution - Eng Moaz Rashad</v>
      </c>
    </row>
    <row r="17" spans="1:13" ht="15.75" customHeight="1">
      <c r="A17" s="66" t="s">
        <v>560</v>
      </c>
      <c r="B17" s="96" t="str">
        <f>HYPERLINK("https://uva.onlinejudge.org/index.php?option=onlinejudge&amp;page=show_problem&amp;problem=1266","UVA 10325")</f>
        <v>UVA 10325</v>
      </c>
      <c r="C17" s="56"/>
      <c r="D17" s="56"/>
      <c r="E17" s="56"/>
      <c r="F17" s="56"/>
      <c r="G17" s="56"/>
      <c r="H17" s="56"/>
      <c r="I17" s="35">
        <f t="shared" si="0"/>
        <v>0</v>
      </c>
      <c r="J17" s="35"/>
      <c r="K17" s="35"/>
      <c r="L17" s="56"/>
      <c r="M17" s="95" t="str">
        <f>HYPERLINK("https://www.youtube.com/watch?v=OA_J9bFxJpU","Video Solution - Eng Amr Bahaa")</f>
        <v>Video Solution - Eng Amr Bahaa</v>
      </c>
    </row>
    <row r="18" spans="1:13" ht="15.75" customHeight="1">
      <c r="A18" s="66" t="s">
        <v>561</v>
      </c>
      <c r="B18" s="96" t="str">
        <f>HYPERLINK("http://codeforces.com/contest/371/problem/C","CF371-D2-C")</f>
        <v>CF371-D2-C</v>
      </c>
      <c r="C18" s="56"/>
      <c r="D18" s="56"/>
      <c r="E18" s="56"/>
      <c r="F18" s="56"/>
      <c r="G18" s="56"/>
      <c r="H18" s="56"/>
      <c r="I18" s="35">
        <f t="shared" si="0"/>
        <v>0</v>
      </c>
      <c r="J18" s="35"/>
      <c r="K18" s="35"/>
      <c r="L18" s="56"/>
      <c r="M18" s="48"/>
    </row>
    <row r="19" spans="1:13" ht="15.75" customHeight="1">
      <c r="A19" s="66" t="s">
        <v>562</v>
      </c>
      <c r="B19" s="96" t="str">
        <f>HYPERLINK("https://uva.onlinejudge.org/index.php?option=onlinejudge&amp;page=show_problem&amp;problem=1658","UVA 10717")</f>
        <v>UVA 10717</v>
      </c>
      <c r="C19" s="56"/>
      <c r="D19" s="56"/>
      <c r="E19" s="56"/>
      <c r="F19" s="56"/>
      <c r="G19" s="56"/>
      <c r="H19" s="56"/>
      <c r="I19" s="35">
        <f t="shared" si="0"/>
        <v>0</v>
      </c>
      <c r="J19" s="35"/>
      <c r="K19" s="35"/>
      <c r="L19" s="56"/>
      <c r="M19" s="126" t="str">
        <f>HYPERLINK("https://github.com/magdy-hasan/competitive-programming/blob/master/uva-/uva%2010717%20-%20Mint.cpp","Sol")</f>
        <v>Sol</v>
      </c>
    </row>
    <row r="20" spans="1:13" ht="15.75" customHeight="1">
      <c r="A20" s="66" t="s">
        <v>563</v>
      </c>
      <c r="B20" s="127" t="str">
        <f>HYPERLINK("http://www.spoj.com/problems/BITMAP/","SPOJ BITMAP")</f>
        <v>SPOJ BITMAP</v>
      </c>
      <c r="C20" s="56"/>
      <c r="D20" s="56"/>
      <c r="E20" s="56"/>
      <c r="F20" s="56"/>
      <c r="G20" s="56"/>
      <c r="H20" s="56"/>
      <c r="I20" s="35">
        <f t="shared" si="0"/>
        <v>0</v>
      </c>
      <c r="J20" s="10"/>
      <c r="K20" s="10"/>
      <c r="L20" s="10"/>
      <c r="M20" s="126" t="str">
        <f>HYPERLINK("https://github.com/omarkhair/Problems-Editorial/blob/master/SPOJ/Bitmap/Editorial.md","Editorial")</f>
        <v>Editorial</v>
      </c>
    </row>
    <row r="21" spans="1:13" ht="15.75" customHeight="1">
      <c r="A21" s="66"/>
      <c r="B21" s="96" t="str">
        <f>HYPERLINK("https://www.codechef.com/problems/GCDMOD", "CODECHEF GCDMOD")</f>
        <v>CODECHEF GCDMOD</v>
      </c>
      <c r="C21" s="56"/>
      <c r="D21" s="56"/>
      <c r="E21" s="56"/>
      <c r="F21" s="56"/>
      <c r="G21" s="56"/>
      <c r="H21" s="56"/>
      <c r="I21" s="35">
        <f t="shared" si="0"/>
        <v>0</v>
      </c>
      <c r="J21" s="10"/>
      <c r="K21" s="10"/>
      <c r="L21" s="10"/>
      <c r="M21" s="115" t="str">
        <f>HYPERLINK("https://github.com/tmwilliamlin168/CompetitiveProgramming/blob/master/CodeChef/GCDMOD.cpp","Sol uses __int128 to avoid overflow")</f>
        <v>Sol uses __int128 to avoid overflow</v>
      </c>
    </row>
    <row r="22" spans="1:13" ht="15.75" customHeight="1">
      <c r="A22" s="66"/>
      <c r="B22" s="128" t="s">
        <v>564</v>
      </c>
      <c r="C22" s="56"/>
      <c r="D22" s="56"/>
      <c r="E22" s="56"/>
      <c r="F22" s="56"/>
      <c r="G22" s="56"/>
      <c r="H22" s="56"/>
      <c r="I22" s="35">
        <f t="shared" si="0"/>
        <v>0</v>
      </c>
      <c r="J22" s="10"/>
      <c r="K22" s="10"/>
      <c r="L22" s="10"/>
      <c r="M22" s="126" t="str">
        <f>HYPERLINK("https://www.geeksforgeeks.org/total-number-spanning-trees-graph/","Theory result to read")</f>
        <v>Theory result to read</v>
      </c>
    </row>
    <row r="23" spans="1:13" ht="15.75" customHeight="1">
      <c r="A23" s="129" t="s">
        <v>565</v>
      </c>
      <c r="B23" s="25" t="str">
        <f>HYPERLINK("http://codeforces.com/contest/437/problem/B","CF437-D2-B")</f>
        <v>CF437-D2-B</v>
      </c>
      <c r="C23" s="56"/>
      <c r="D23" s="56"/>
      <c r="E23" s="56"/>
      <c r="F23" s="56"/>
      <c r="G23" s="56"/>
      <c r="H23" s="56"/>
      <c r="I23" s="35">
        <f t="shared" si="0"/>
        <v>0</v>
      </c>
      <c r="J23" s="10"/>
      <c r="K23" s="10"/>
      <c r="L23" s="10"/>
      <c r="M23" s="10"/>
    </row>
    <row r="24" spans="1:13" ht="15.75" customHeight="1">
      <c r="A24" s="129" t="s">
        <v>566</v>
      </c>
      <c r="B24" s="25" t="str">
        <f>HYPERLINK("http://codeforces.com/contest/518/problem/B","CF518-D2-B")</f>
        <v>CF518-D2-B</v>
      </c>
      <c r="C24" s="56"/>
      <c r="D24" s="56"/>
      <c r="E24" s="56"/>
      <c r="F24" s="56"/>
      <c r="G24" s="56"/>
      <c r="H24" s="56"/>
      <c r="I24" s="35">
        <f t="shared" si="0"/>
        <v>0</v>
      </c>
      <c r="J24" s="10"/>
      <c r="K24" s="10"/>
      <c r="L24" s="10"/>
      <c r="M24" s="10"/>
    </row>
    <row r="25" spans="1:13" ht="15.75" customHeight="1">
      <c r="A25" s="41"/>
      <c r="B25" s="41"/>
      <c r="C25" s="56"/>
      <c r="D25" s="56"/>
      <c r="E25" s="56"/>
      <c r="F25" s="56"/>
      <c r="G25" s="56"/>
      <c r="H25" s="56"/>
      <c r="I25" s="35">
        <f t="shared" si="0"/>
        <v>0</v>
      </c>
      <c r="J25" s="35"/>
      <c r="K25" s="35"/>
      <c r="L25" s="56"/>
      <c r="M25" s="48"/>
    </row>
    <row r="26" spans="1:13" ht="15.75" customHeight="1">
      <c r="A26" s="48" t="s">
        <v>567</v>
      </c>
      <c r="B26" s="71" t="str">
        <f>HYPERLINK("http://codeforces.com/contest/296/problem/C","CF296-D2-C")</f>
        <v>CF296-D2-C</v>
      </c>
      <c r="C26" s="10"/>
      <c r="D26" s="10"/>
      <c r="E26" s="10"/>
      <c r="F26" s="10"/>
      <c r="G26" s="10"/>
      <c r="H26" s="10"/>
      <c r="I26" s="56">
        <f t="shared" si="0"/>
        <v>0</v>
      </c>
      <c r="J26" s="10"/>
      <c r="K26" s="10"/>
      <c r="L26" s="10"/>
      <c r="M26" s="10"/>
    </row>
    <row r="27" spans="1:13" ht="15.75" customHeight="1">
      <c r="A27" s="48" t="s">
        <v>568</v>
      </c>
      <c r="B27" s="71" t="str">
        <f>HYPERLINK("http://codeforces.com/contest/131/problem/C","CF131-D2-C")</f>
        <v>CF131-D2-C</v>
      </c>
      <c r="C27" s="56"/>
      <c r="D27" s="56"/>
      <c r="E27" s="56"/>
      <c r="F27" s="56"/>
      <c r="G27" s="56"/>
      <c r="H27" s="56"/>
      <c r="I27" s="35">
        <f t="shared" si="0"/>
        <v>0</v>
      </c>
      <c r="J27" s="10"/>
      <c r="K27" s="10"/>
      <c r="L27" s="10"/>
      <c r="M27" s="110" t="str">
        <f>HYPERLINK("https://www.youtube.com/watch?v=96OYl0On3hc","Video Solution - Eng Youssef Ali")</f>
        <v>Video Solution - Eng Youssef Ali</v>
      </c>
    </row>
    <row r="28" spans="1:13" ht="15.75" customHeight="1">
      <c r="A28" s="48" t="s">
        <v>569</v>
      </c>
      <c r="B28" s="71" t="str">
        <f>HYPERLINK("http://codeforces.com/contest/88/problem/C","CF88-D2-C")</f>
        <v>CF88-D2-C</v>
      </c>
      <c r="C28" s="56"/>
      <c r="D28" s="56"/>
      <c r="E28" s="56"/>
      <c r="F28" s="56"/>
      <c r="G28" s="56"/>
      <c r="H28" s="56"/>
      <c r="I28" s="35">
        <f t="shared" si="0"/>
        <v>0</v>
      </c>
      <c r="J28" s="10"/>
      <c r="K28" s="10"/>
      <c r="L28" s="10"/>
      <c r="M28" s="59" t="str">
        <f>HYPERLINK("https://www.youtube.com/watch?v=YiM38hyILmc","Video Solution - Solver to be (Java)")</f>
        <v>Video Solution - Solver to be (Java)</v>
      </c>
    </row>
    <row r="29" spans="1:13" ht="15.75" customHeight="1">
      <c r="A29" s="129" t="s">
        <v>570</v>
      </c>
      <c r="B29" s="25" t="str">
        <f>HYPERLINK("http://codeforces.com/contest/378/problem/B","CF378-D2-B")</f>
        <v>CF378-D2-B</v>
      </c>
      <c r="C29" s="56"/>
      <c r="D29" s="56"/>
      <c r="E29" s="56"/>
      <c r="F29" s="56"/>
      <c r="G29" s="56"/>
      <c r="H29" s="56"/>
      <c r="I29" s="35">
        <f t="shared" si="0"/>
        <v>0</v>
      </c>
      <c r="J29" s="10"/>
      <c r="K29" s="10"/>
      <c r="L29" s="10"/>
      <c r="M29" s="59"/>
    </row>
    <row r="30" spans="1:13" ht="13.2">
      <c r="A30" s="129" t="s">
        <v>571</v>
      </c>
      <c r="B30" s="25" t="str">
        <f>HYPERLINK("http://codeforces.com/contest/479/problem/B","CF479-D2-B")</f>
        <v>CF479-D2-B</v>
      </c>
      <c r="C30" s="56"/>
      <c r="D30" s="56"/>
      <c r="E30" s="56"/>
      <c r="F30" s="56"/>
      <c r="G30" s="56"/>
      <c r="H30" s="56"/>
      <c r="I30" s="35">
        <f t="shared" si="0"/>
        <v>0</v>
      </c>
      <c r="J30" s="10"/>
      <c r="K30" s="10"/>
      <c r="L30" s="10"/>
      <c r="M30" s="59"/>
    </row>
    <row r="31" spans="1:13" ht="13.2">
      <c r="A31" s="41"/>
      <c r="B31" s="41"/>
      <c r="C31" s="56"/>
      <c r="D31" s="56"/>
      <c r="E31" s="56"/>
      <c r="F31" s="56"/>
      <c r="G31" s="56"/>
      <c r="H31" s="56"/>
      <c r="I31" s="35">
        <f t="shared" si="0"/>
        <v>0</v>
      </c>
      <c r="J31" s="35"/>
      <c r="K31" s="35"/>
      <c r="L31" s="56"/>
      <c r="M31" s="92" t="str">
        <f>HYPERLINK("https://www.youtube.com/watch?v=jxvaNAthWRI","Watch - Algebra - Number Bases and Polynomials")</f>
        <v>Watch - Algebra - Number Bases and Polynomials</v>
      </c>
    </row>
    <row r="32" spans="1:13" ht="13.2">
      <c r="A32" s="74" t="s">
        <v>572</v>
      </c>
      <c r="B32" s="130" t="str">
        <f>HYPERLINK("https://uva.onlinejudge.org/index.php?option=onlinejudge&amp;page=show_problem&amp;problem=1410","UVA 10469")</f>
        <v>UVA 10469</v>
      </c>
      <c r="C32" s="56"/>
      <c r="D32" s="56"/>
      <c r="E32" s="56"/>
      <c r="F32" s="56"/>
      <c r="G32" s="56"/>
      <c r="H32" s="56"/>
      <c r="I32" s="35">
        <f t="shared" si="0"/>
        <v>0</v>
      </c>
      <c r="J32" s="35"/>
      <c r="K32" s="35"/>
      <c r="L32" s="35"/>
      <c r="M32" s="126" t="str">
        <f>HYPERLINK("https://github.com/Diusrex/UVA-Solutions/blob/master/10469%20To%20Carry%20or%20not%20to%20Carry.cpp","Sol")</f>
        <v>Sol</v>
      </c>
    </row>
    <row r="33" spans="1:13" ht="13.2">
      <c r="A33" s="62" t="s">
        <v>573</v>
      </c>
      <c r="B33" s="107" t="str">
        <f>HYPERLINK("https://uva.onlinejudge.org/index.php?option=onlinejudge&amp;page=show_problem&amp;problem=1753","UVA 10812")</f>
        <v>UVA 10812</v>
      </c>
      <c r="C33" s="56"/>
      <c r="D33" s="56"/>
      <c r="E33" s="56"/>
      <c r="F33" s="56"/>
      <c r="G33" s="56"/>
      <c r="H33" s="56"/>
      <c r="I33" s="35">
        <f t="shared" si="0"/>
        <v>0</v>
      </c>
      <c r="J33" s="35"/>
      <c r="K33" s="35"/>
      <c r="L33" s="56"/>
      <c r="M33" s="41"/>
    </row>
    <row r="34" spans="1:13" ht="13.2">
      <c r="A34" s="62" t="s">
        <v>574</v>
      </c>
      <c r="B34" s="107" t="str">
        <f>HYPERLINK("https://uva.onlinejudge.org/index.php?option=onlinejudge&amp;page=show_problem&amp;problem=1243","UVA 10302")</f>
        <v>UVA 10302</v>
      </c>
      <c r="C34" s="56"/>
      <c r="D34" s="56"/>
      <c r="E34" s="56"/>
      <c r="F34" s="56"/>
      <c r="G34" s="56"/>
      <c r="H34" s="56"/>
      <c r="I34" s="35">
        <f t="shared" si="0"/>
        <v>0</v>
      </c>
      <c r="J34" s="35"/>
      <c r="K34" s="35"/>
      <c r="L34" s="56"/>
      <c r="M34" s="41"/>
    </row>
    <row r="35" spans="1:13" ht="13.2">
      <c r="A35" s="62" t="s">
        <v>575</v>
      </c>
      <c r="B35" s="131" t="str">
        <f>HYPERLINK("https://uva.onlinejudge.org/index.php?option=com_onlinejudge&amp;Itemid=8&amp;page=show_problem&amp;problem=439","UVA 498")</f>
        <v>UVA 498</v>
      </c>
      <c r="C35" s="56"/>
      <c r="D35" s="56"/>
      <c r="E35" s="56"/>
      <c r="F35" s="56"/>
      <c r="G35" s="56"/>
      <c r="H35" s="56"/>
      <c r="I35" s="35">
        <f t="shared" si="0"/>
        <v>0</v>
      </c>
      <c r="J35" s="35"/>
      <c r="K35" s="35"/>
      <c r="L35" s="56"/>
      <c r="M35" s="48"/>
    </row>
    <row r="36" spans="1:13" ht="13.2">
      <c r="A36" s="127"/>
      <c r="B36" s="132" t="str">
        <f>HYPERLINK("https://uva.onlinejudge.org/index.php?option=onlinejudge&amp;page=show_problem&amp;problem=1994","UVA 11053")</f>
        <v>UVA 11053</v>
      </c>
      <c r="C36" s="56"/>
      <c r="D36" s="56"/>
      <c r="E36" s="56"/>
      <c r="F36" s="56"/>
      <c r="G36" s="56"/>
      <c r="H36" s="56"/>
      <c r="I36" s="35">
        <f t="shared" si="0"/>
        <v>0</v>
      </c>
      <c r="J36" s="35"/>
      <c r="K36" s="35"/>
      <c r="L36" s="56"/>
      <c r="M36" s="126" t="str">
        <f>HYPERLINK("https://en.wikipedia.org/wiki/Cycle_detection#Floyd.27s_Tortoise_and_Hare","Find O(n) Solution")</f>
        <v>Find O(n) Solution</v>
      </c>
    </row>
    <row r="37" spans="1:13" ht="13.2">
      <c r="A37" s="127"/>
      <c r="B37" s="132" t="str">
        <f>HYPERLINK("https://icpcarchive.ecs.baylor.edu/index.php?option=com_onlinejudge&amp;Itemid=8&amp;page=show_problem&amp;problem=6100","LiveArchive 8078")</f>
        <v>LiveArchive 8078</v>
      </c>
      <c r="C37" s="56"/>
      <c r="D37" s="56"/>
      <c r="E37" s="56"/>
      <c r="F37" s="56"/>
      <c r="G37" s="56"/>
      <c r="H37" s="56"/>
      <c r="I37" s="35">
        <f t="shared" si="0"/>
        <v>0</v>
      </c>
      <c r="J37" s="35"/>
      <c r="K37" s="35"/>
      <c r="L37" s="56"/>
      <c r="M37" s="126" t="str">
        <f>HYPERLINK("https://github.com/goswami-rahul/competitive-coding/blob/master/CompetitiveProgramming/livearchive/8078.cpp","Sol")</f>
        <v>Sol</v>
      </c>
    </row>
    <row r="38" spans="1:13" ht="13.2">
      <c r="A38" s="48"/>
      <c r="B38" s="48"/>
      <c r="C38" s="56"/>
      <c r="D38" s="56"/>
      <c r="E38" s="56"/>
      <c r="F38" s="56"/>
      <c r="G38" s="56"/>
      <c r="H38" s="56"/>
      <c r="I38" s="35">
        <f t="shared" si="0"/>
        <v>0</v>
      </c>
      <c r="J38" s="35"/>
      <c r="K38" s="35"/>
      <c r="L38" s="56"/>
      <c r="M38" s="92" t="str">
        <f>HYPERLINK("https://www.youtube.com/watch?v=O2SPaQXYHFc","Watch - Algebra - Patterns in Sequences")</f>
        <v>Watch - Algebra - Patterns in Sequences</v>
      </c>
    </row>
    <row r="39" spans="1:13" ht="13.2">
      <c r="A39" s="62" t="s">
        <v>576</v>
      </c>
      <c r="B39" s="107" t="str">
        <f>HYPERLINK("https://uva.onlinejudge.org/index.php?option=onlinejudge&amp;page=show_problem&amp;problem=1450","UVA 10509")</f>
        <v>UVA 10509</v>
      </c>
      <c r="C39" s="56"/>
      <c r="D39" s="56"/>
      <c r="E39" s="56"/>
      <c r="F39" s="56"/>
      <c r="G39" s="56"/>
      <c r="H39" s="56"/>
      <c r="I39" s="35">
        <f t="shared" si="0"/>
        <v>0</v>
      </c>
      <c r="J39" s="35"/>
      <c r="K39" s="35"/>
      <c r="L39" s="56"/>
      <c r="M39" s="133"/>
    </row>
    <row r="40" spans="1:13" ht="13.2">
      <c r="A40" s="66" t="s">
        <v>577</v>
      </c>
      <c r="B40" s="127" t="str">
        <f>HYPERLINK("http://www.spoj.com/problems/QUEEN/","SPOJ QUEEN")</f>
        <v>SPOJ QUEEN</v>
      </c>
      <c r="C40" s="56"/>
      <c r="D40" s="56"/>
      <c r="E40" s="56"/>
      <c r="F40" s="56"/>
      <c r="G40" s="56"/>
      <c r="H40" s="56"/>
      <c r="I40" s="35">
        <f t="shared" si="0"/>
        <v>0</v>
      </c>
      <c r="J40" s="10"/>
      <c r="K40" s="10"/>
      <c r="L40" s="10"/>
      <c r="M40" s="78" t="str">
        <f>HYPERLINK("https://github.com/magdy-hasan/competitive-programming/blob/master/SPOJ/SPOJ%20QUEEN%20-%20Wandering%20Queen.cpp","Sol to read")</f>
        <v>Sol to read</v>
      </c>
    </row>
    <row r="41" spans="1:13" ht="13.2">
      <c r="A41" s="66"/>
      <c r="B41" s="134" t="str">
        <f>HYPERLINK("https://www.hackerrank.com/challenges/sherlock-and-probability","HACKR sherlock-and-probability")</f>
        <v>HACKR sherlock-and-probability</v>
      </c>
      <c r="C41" s="56"/>
      <c r="D41" s="56"/>
      <c r="E41" s="56"/>
      <c r="F41" s="56"/>
      <c r="G41" s="56"/>
      <c r="H41" s="56"/>
      <c r="I41" s="35">
        <f t="shared" si="0"/>
        <v>0</v>
      </c>
      <c r="J41" s="10"/>
      <c r="K41" s="10"/>
      <c r="L41" s="10"/>
      <c r="M41" s="126" t="str">
        <f>HYPERLINK("https://github.com/MohamedNabil97/CompetitiveProgramming/blob/master/Hackerrank/sherlock-and-probability.cpp","Sol")</f>
        <v>Sol</v>
      </c>
    </row>
    <row r="42" spans="1:13" ht="13.2">
      <c r="A42" s="48"/>
      <c r="B42" s="135"/>
      <c r="C42" s="56"/>
      <c r="D42" s="56"/>
      <c r="E42" s="56"/>
      <c r="F42" s="56"/>
      <c r="G42" s="56"/>
      <c r="H42" s="56"/>
      <c r="I42" s="35">
        <f t="shared" si="0"/>
        <v>0</v>
      </c>
      <c r="J42" s="35"/>
      <c r="K42" s="35"/>
      <c r="L42" s="56"/>
      <c r="M42" s="92" t="str">
        <f>HYPERLINK("https://www.youtube.com/watch?v=xY8To84R87Y","Watch - Algebra - Summations")</f>
        <v>Watch - Algebra - Summations</v>
      </c>
    </row>
    <row r="43" spans="1:13" ht="13.2">
      <c r="A43" s="48"/>
      <c r="B43" s="135"/>
      <c r="C43" s="56"/>
      <c r="D43" s="56"/>
      <c r="E43" s="56"/>
      <c r="F43" s="56"/>
      <c r="G43" s="56"/>
      <c r="H43" s="56"/>
      <c r="I43" s="35">
        <f t="shared" si="0"/>
        <v>0</v>
      </c>
      <c r="J43" s="35"/>
      <c r="K43" s="35"/>
      <c r="L43" s="56"/>
      <c r="M43" s="92" t="str">
        <f>HYPERLINK("https://www.youtube.com/watch?v=OcqD14kI3Wk","Watch - Algebra - Basic Matrix Operations")</f>
        <v>Watch - Algebra - Basic Matrix Operations</v>
      </c>
    </row>
    <row r="44" spans="1:13" ht="13.2">
      <c r="A44" s="41" t="s">
        <v>578</v>
      </c>
      <c r="B44" s="126" t="str">
        <f>HYPERLINK("http://codeforces.com/contest/402/problem/C","CF402-D2-C")</f>
        <v>CF402-D2-C</v>
      </c>
      <c r="C44" s="56"/>
      <c r="D44" s="56"/>
      <c r="E44" s="56"/>
      <c r="F44" s="56"/>
      <c r="G44" s="56"/>
      <c r="H44" s="56"/>
      <c r="I44" s="35">
        <f t="shared" si="0"/>
        <v>0</v>
      </c>
      <c r="J44" s="35"/>
      <c r="K44" s="35"/>
      <c r="L44" s="56"/>
      <c r="M44" s="41"/>
    </row>
    <row r="45" spans="1:13" ht="13.2">
      <c r="A45" s="48" t="s">
        <v>579</v>
      </c>
      <c r="B45" s="71" t="str">
        <f>HYPERLINK("http://codeforces.com/contest/227/problem/C","CF227-D2-C")</f>
        <v>CF227-D2-C</v>
      </c>
      <c r="C45" s="56"/>
      <c r="D45" s="56"/>
      <c r="E45" s="56"/>
      <c r="F45" s="56"/>
      <c r="G45" s="56"/>
      <c r="H45" s="56"/>
      <c r="I45" s="35">
        <f t="shared" si="0"/>
        <v>0</v>
      </c>
      <c r="J45" s="35"/>
      <c r="K45" s="35"/>
      <c r="L45" s="10"/>
      <c r="M45" s="10"/>
    </row>
    <row r="46" spans="1:13" ht="13.2">
      <c r="A46" s="48" t="s">
        <v>580</v>
      </c>
      <c r="B46" s="71" t="str">
        <f>HYPERLINK("http://codeforces.com/contest/577/problem/C","CF577-D2-C")</f>
        <v>CF577-D2-C</v>
      </c>
      <c r="C46" s="56"/>
      <c r="D46" s="56"/>
      <c r="E46" s="56"/>
      <c r="F46" s="56"/>
      <c r="G46" s="56"/>
      <c r="H46" s="56"/>
      <c r="I46" s="35">
        <f t="shared" si="0"/>
        <v>0</v>
      </c>
      <c r="J46" s="35"/>
      <c r="K46" s="35"/>
      <c r="L46" s="10"/>
      <c r="M46" s="10"/>
    </row>
    <row r="47" spans="1:13" ht="13.2">
      <c r="A47" s="41" t="s">
        <v>581</v>
      </c>
      <c r="B47" s="126" t="str">
        <f>HYPERLINK("http://codeforces.com/contest/71/problem/C","CF71-D2-C")</f>
        <v>CF71-D2-C</v>
      </c>
      <c r="C47" s="56"/>
      <c r="D47" s="56"/>
      <c r="E47" s="56"/>
      <c r="F47" s="56"/>
      <c r="G47" s="56"/>
      <c r="H47" s="56"/>
      <c r="I47" s="35">
        <f t="shared" si="0"/>
        <v>0</v>
      </c>
      <c r="J47" s="35"/>
      <c r="K47" s="35"/>
      <c r="L47" s="56"/>
      <c r="M47" s="41"/>
    </row>
    <row r="48" spans="1:13" ht="13.2">
      <c r="A48" s="41" t="s">
        <v>582</v>
      </c>
      <c r="B48" s="126" t="str">
        <f>HYPERLINK("http://codeforces.com/contest/580/problem/C","CF580-D2-C")</f>
        <v>CF580-D2-C</v>
      </c>
      <c r="C48" s="56"/>
      <c r="D48" s="56"/>
      <c r="E48" s="56"/>
      <c r="F48" s="56"/>
      <c r="G48" s="56"/>
      <c r="H48" s="56"/>
      <c r="I48" s="35">
        <f t="shared" si="0"/>
        <v>0</v>
      </c>
      <c r="J48" s="35"/>
      <c r="K48" s="35"/>
      <c r="L48" s="56"/>
      <c r="M48" s="50" t="str">
        <f>HYPERLINK("https://www.youtube.com/watch?v=ebC3c-YJDIk","Video Solution - Solver to be (Java)")</f>
        <v>Video Solution - Solver to be (Java)</v>
      </c>
    </row>
    <row r="49" spans="1:13" ht="13.2">
      <c r="A49" s="48" t="s">
        <v>583</v>
      </c>
      <c r="B49" s="71" t="str">
        <f>HYPERLINK("http://codeforces.com/contest/357/problem/C","CF357-D2-C")</f>
        <v>CF357-D2-C</v>
      </c>
      <c r="C49" s="10"/>
      <c r="D49" s="10"/>
      <c r="E49" s="10"/>
      <c r="F49" s="10"/>
      <c r="G49" s="10"/>
      <c r="H49" s="10"/>
      <c r="I49" s="56">
        <f t="shared" si="0"/>
        <v>0</v>
      </c>
      <c r="J49" s="10"/>
      <c r="K49" s="10"/>
      <c r="L49" s="10"/>
      <c r="M49" s="10"/>
    </row>
    <row r="50" spans="1:13" ht="13.2">
      <c r="A50" s="129" t="s">
        <v>584</v>
      </c>
      <c r="B50" s="25" t="str">
        <f>HYPERLINK("http://codeforces.com/contest/219/problem/B","CF219-D2-B")</f>
        <v>CF219-D2-B</v>
      </c>
      <c r="C50" s="56"/>
      <c r="D50" s="56"/>
      <c r="E50" s="56"/>
      <c r="F50" s="56"/>
      <c r="G50" s="56"/>
      <c r="H50" s="56"/>
      <c r="I50" s="35">
        <f t="shared" si="0"/>
        <v>0</v>
      </c>
      <c r="J50" s="35"/>
      <c r="K50" s="35"/>
      <c r="L50" s="56"/>
      <c r="M50" s="48"/>
    </row>
    <row r="51" spans="1:13" ht="13.2">
      <c r="A51" s="48"/>
      <c r="B51" s="48"/>
      <c r="C51" s="56"/>
      <c r="D51" s="56"/>
      <c r="E51" s="56"/>
      <c r="F51" s="56"/>
      <c r="G51" s="56"/>
      <c r="H51" s="56"/>
      <c r="I51" s="35">
        <f t="shared" si="0"/>
        <v>0</v>
      </c>
      <c r="J51" s="35"/>
      <c r="K51" s="35"/>
      <c r="L51" s="56"/>
      <c r="M51" s="92" t="str">
        <f>HYPERLINK("https://www.youtube.com/watch?v=F0hmrbOW8nw","Watch - Thinking - Problem Abstraction ")</f>
        <v xml:space="preserve">Watch - Thinking - Problem Abstraction </v>
      </c>
    </row>
    <row r="52" spans="1:13" ht="13.2">
      <c r="A52" s="48"/>
      <c r="B52" s="48"/>
      <c r="C52" s="56"/>
      <c r="D52" s="56"/>
      <c r="E52" s="56"/>
      <c r="F52" s="56"/>
      <c r="G52" s="56"/>
      <c r="H52" s="56"/>
      <c r="I52" s="35">
        <f t="shared" si="0"/>
        <v>0</v>
      </c>
      <c r="J52" s="35"/>
      <c r="K52" s="35"/>
      <c r="L52" s="56"/>
      <c r="M52" s="92" t="str">
        <f>HYPERLINK("https://www.youtube.com/watch?v=0wlc8Rhyybo","Watch - Thinking - Problem Reverse")</f>
        <v>Watch - Thinking - Problem Reverse</v>
      </c>
    </row>
    <row r="53" spans="1:13" ht="13.2">
      <c r="A53" s="48"/>
      <c r="B53" s="48"/>
      <c r="C53" s="56"/>
      <c r="D53" s="56"/>
      <c r="E53" s="56"/>
      <c r="F53" s="56"/>
      <c r="G53" s="56"/>
      <c r="H53" s="56"/>
      <c r="I53" s="35">
        <f t="shared" si="0"/>
        <v>0</v>
      </c>
      <c r="J53" s="35"/>
      <c r="K53" s="35"/>
      <c r="L53" s="56"/>
      <c r="M53" s="89" t="str">
        <f>HYPERLINK("https://www.youtube.com/watch?v=hLXVhRzqq18","Watch - Search Techniques - Backtracking")</f>
        <v>Watch - Search Techniques - Backtracking</v>
      </c>
    </row>
    <row r="54" spans="1:13" ht="13.2">
      <c r="A54" s="62" t="s">
        <v>585</v>
      </c>
      <c r="B54" s="136" t="str">
        <f>HYPERLINK("https://uva.onlinejudge.org/index.php?option=com_onlinejudge&amp;Itemid=8&amp;page=show_problem&amp;problem=129","UVA 193")</f>
        <v>UVA 193</v>
      </c>
      <c r="C54" s="56"/>
      <c r="D54" s="56"/>
      <c r="E54" s="56"/>
      <c r="F54" s="56"/>
      <c r="G54" s="56"/>
      <c r="H54" s="56"/>
      <c r="I54" s="35">
        <f t="shared" si="0"/>
        <v>0</v>
      </c>
      <c r="J54" s="35"/>
      <c r="K54" s="35"/>
      <c r="L54" s="56"/>
      <c r="M54" s="115" t="str">
        <f>HYPERLINK("https://www.youtube.com/watch?v=0hOK2hgqNE4","Video Solution - Dr Mostafa Saad")</f>
        <v>Video Solution - Dr Mostafa Saad</v>
      </c>
    </row>
    <row r="55" spans="1:13" ht="13.2">
      <c r="A55" s="62" t="s">
        <v>586</v>
      </c>
      <c r="B55" s="107" t="str">
        <f>HYPERLINK("https://uva.onlinejudge.org/index.php?option=com_onlinejudge&amp;Itemid=8&amp;page=show_problem&amp;problem=1285","UVA 10344")</f>
        <v>UVA 10344</v>
      </c>
      <c r="C55" s="56"/>
      <c r="D55" s="56"/>
      <c r="E55" s="56"/>
      <c r="F55" s="56"/>
      <c r="G55" s="56"/>
      <c r="H55" s="56"/>
      <c r="I55" s="35">
        <f t="shared" si="0"/>
        <v>0</v>
      </c>
      <c r="J55" s="35"/>
      <c r="K55" s="35"/>
      <c r="L55" s="56"/>
      <c r="M55" s="115" t="str">
        <f>HYPERLINK("https://www.youtube.com/watch?v=WX7rIgcgnBs","Video Solution - Eng Mohamed Nasser")</f>
        <v>Video Solution - Eng Mohamed Nasser</v>
      </c>
    </row>
    <row r="56" spans="1:13" ht="13.2">
      <c r="A56" s="62" t="s">
        <v>587</v>
      </c>
      <c r="B56" s="107" t="str">
        <f>HYPERLINK("https://uva.onlinejudge.org/index.php?option=com_onlinejudge&amp;Itemid=8&amp;page=show_problem&amp;problem=691","UVA 750")</f>
        <v>UVA 750</v>
      </c>
      <c r="C56" s="56"/>
      <c r="D56" s="56"/>
      <c r="E56" s="56"/>
      <c r="F56" s="56"/>
      <c r="G56" s="56"/>
      <c r="H56" s="56"/>
      <c r="I56" s="35">
        <f t="shared" si="0"/>
        <v>0</v>
      </c>
      <c r="J56" s="35"/>
      <c r="K56" s="35"/>
      <c r="L56" s="56"/>
      <c r="M56" s="115" t="str">
        <f>HYPERLINK("https://www.youtube.com/watch?v=3jMlUYEVgL0","Video Solution - Eng Ayman Salah")</f>
        <v>Video Solution - Eng Ayman Salah</v>
      </c>
    </row>
    <row r="57" spans="1:13" ht="13.2">
      <c r="A57" s="66" t="s">
        <v>588</v>
      </c>
      <c r="B57" s="96" t="str">
        <f>HYPERLINK("https://uva.onlinejudge.org/index.php?option=onlinejudge&amp;page=show_problem&amp;problem=3276","UVA 12124")</f>
        <v>UVA 12124</v>
      </c>
      <c r="C57" s="56"/>
      <c r="D57" s="56"/>
      <c r="E57" s="56"/>
      <c r="F57" s="56"/>
      <c r="G57" s="56"/>
      <c r="H57" s="56"/>
      <c r="I57" s="35">
        <f t="shared" si="0"/>
        <v>0</v>
      </c>
      <c r="J57" s="35"/>
      <c r="K57" s="35"/>
      <c r="L57" s="56"/>
      <c r="M57" s="126" t="str">
        <f>HYPERLINK("https://github.com/mostafa-saad/MyCompetitiveProgramming/blob/master/UVA/UVA_12124.txt","Sol")</f>
        <v>Sol</v>
      </c>
    </row>
    <row r="58" spans="1:13" ht="13.2">
      <c r="A58" s="66"/>
      <c r="B58" s="66" t="s">
        <v>589</v>
      </c>
      <c r="C58" s="56"/>
      <c r="D58" s="56"/>
      <c r="E58" s="56"/>
      <c r="F58" s="56"/>
      <c r="G58" s="56"/>
      <c r="H58" s="56"/>
      <c r="I58" s="35">
        <f t="shared" si="0"/>
        <v>0</v>
      </c>
      <c r="J58" s="35"/>
      <c r="K58" s="35"/>
      <c r="L58" s="56"/>
      <c r="M58" s="126" t="str">
        <f>HYPERLINK("https://stackoverflow.com/questions/25281005/calculating-probability-for-funprob","Sol")</f>
        <v>Sol</v>
      </c>
    </row>
    <row r="59" spans="1:13" ht="13.2">
      <c r="A59" s="41"/>
      <c r="B59" s="41"/>
      <c r="C59" s="56"/>
      <c r="D59" s="56"/>
      <c r="E59" s="56"/>
      <c r="F59" s="56"/>
      <c r="G59" s="56"/>
      <c r="H59" s="56"/>
      <c r="I59" s="35">
        <f t="shared" si="0"/>
        <v>0</v>
      </c>
      <c r="J59" s="35"/>
      <c r="K59" s="35"/>
      <c r="L59" s="56"/>
      <c r="M59" s="41"/>
    </row>
    <row r="60" spans="1:13" ht="13.2">
      <c r="A60" s="41" t="s">
        <v>590</v>
      </c>
      <c r="B60" s="126" t="str">
        <f>HYPERLINK("http://codeforces.com/contest/424/problem/C","CF424-D2-C")</f>
        <v>CF424-D2-C</v>
      </c>
      <c r="C60" s="56"/>
      <c r="D60" s="56"/>
      <c r="E60" s="56"/>
      <c r="F60" s="56"/>
      <c r="G60" s="56"/>
      <c r="H60" s="56"/>
      <c r="I60" s="35">
        <f t="shared" si="0"/>
        <v>0</v>
      </c>
      <c r="J60" s="35"/>
      <c r="K60" s="35"/>
      <c r="L60" s="56"/>
      <c r="M60" s="48"/>
    </row>
    <row r="61" spans="1:13" ht="13.2">
      <c r="A61" s="41" t="s">
        <v>591</v>
      </c>
      <c r="B61" s="126" t="str">
        <f>HYPERLINK("http://codeforces.com/contest/707/problem/C","CF707-D2-C")</f>
        <v>CF707-D2-C</v>
      </c>
      <c r="C61" s="56"/>
      <c r="D61" s="56"/>
      <c r="E61" s="56"/>
      <c r="F61" s="56"/>
      <c r="G61" s="56"/>
      <c r="H61" s="56"/>
      <c r="I61" s="35">
        <f t="shared" si="0"/>
        <v>0</v>
      </c>
      <c r="J61" s="35"/>
      <c r="K61" s="35"/>
      <c r="L61" s="56"/>
      <c r="M61" s="48"/>
    </row>
    <row r="62" spans="1:13" ht="13.2">
      <c r="A62" s="41" t="s">
        <v>592</v>
      </c>
      <c r="B62" s="126" t="str">
        <f>HYPERLINK("http://codeforces.com/contest/560/problem/C","CF560-D2-C")</f>
        <v>CF560-D2-C</v>
      </c>
      <c r="C62" s="56"/>
      <c r="D62" s="56"/>
      <c r="E62" s="56"/>
      <c r="F62" s="56"/>
      <c r="G62" s="56"/>
      <c r="H62" s="56"/>
      <c r="I62" s="35">
        <f t="shared" si="0"/>
        <v>0</v>
      </c>
      <c r="J62" s="35"/>
      <c r="K62" s="35"/>
      <c r="L62" s="56"/>
      <c r="M62" s="135"/>
    </row>
    <row r="63" spans="1:13" ht="13.2">
      <c r="A63" s="48" t="s">
        <v>593</v>
      </c>
      <c r="B63" s="71" t="str">
        <f>HYPERLINK("http://codeforces.com/contest/252/problem/C","CF252-D2-C")</f>
        <v>CF252-D2-C</v>
      </c>
      <c r="C63" s="56"/>
      <c r="D63" s="56"/>
      <c r="E63" s="56"/>
      <c r="F63" s="56"/>
      <c r="G63" s="56"/>
      <c r="H63" s="56"/>
      <c r="I63" s="35">
        <f t="shared" si="0"/>
        <v>0</v>
      </c>
      <c r="J63" s="35"/>
      <c r="K63" s="35"/>
      <c r="L63" s="10"/>
      <c r="M63" s="10"/>
    </row>
    <row r="64" spans="1:13" ht="13.2">
      <c r="A64" s="48" t="s">
        <v>594</v>
      </c>
      <c r="B64" s="71" t="str">
        <f>HYPERLINK("http://codeforces.com/contest/353/problem/C","CF353-D2-C")</f>
        <v>CF353-D2-C</v>
      </c>
      <c r="C64" s="56"/>
      <c r="D64" s="56"/>
      <c r="E64" s="56"/>
      <c r="F64" s="56"/>
      <c r="G64" s="56"/>
      <c r="H64" s="56"/>
      <c r="I64" s="35">
        <f t="shared" si="0"/>
        <v>0</v>
      </c>
      <c r="J64" s="35"/>
      <c r="K64" s="35"/>
      <c r="L64" s="10"/>
      <c r="M64" s="10"/>
    </row>
    <row r="65" spans="1:13" ht="13.2">
      <c r="A65" s="129" t="s">
        <v>595</v>
      </c>
      <c r="B65" s="25" t="str">
        <f>HYPERLINK("http://codeforces.com/contest/450/problem/B","CF450-D2-B")</f>
        <v>CF450-D2-B</v>
      </c>
      <c r="C65" s="56"/>
      <c r="D65" s="56"/>
      <c r="E65" s="56"/>
      <c r="F65" s="56"/>
      <c r="G65" s="56"/>
      <c r="H65" s="56"/>
      <c r="I65" s="35">
        <f t="shared" si="0"/>
        <v>0</v>
      </c>
      <c r="J65" s="35"/>
      <c r="K65" s="35"/>
      <c r="L65" s="56"/>
      <c r="M65" s="41"/>
    </row>
    <row r="66" spans="1:13" ht="13.2">
      <c r="A66" s="129" t="s">
        <v>596</v>
      </c>
      <c r="B66" s="25" t="str">
        <f>HYPERLINK("http://codeforces.com/contest/570/problem/B","CF570-D2-B")</f>
        <v>CF570-D2-B</v>
      </c>
      <c r="C66" s="56"/>
      <c r="D66" s="56"/>
      <c r="E66" s="56"/>
      <c r="F66" s="56"/>
      <c r="G66" s="56"/>
      <c r="H66" s="56"/>
      <c r="I66" s="35">
        <f t="shared" si="0"/>
        <v>0</v>
      </c>
      <c r="J66" s="35"/>
      <c r="K66" s="35"/>
      <c r="L66" s="56"/>
      <c r="M66" s="41"/>
    </row>
    <row r="67" spans="1:13" ht="13.2">
      <c r="A67" s="129" t="s">
        <v>597</v>
      </c>
      <c r="B67" s="25" t="str">
        <f>HYPERLINK("http://codeforces.com/contest/271/problem/B","CF271-D2-B")</f>
        <v>CF271-D2-B</v>
      </c>
      <c r="C67" s="56"/>
      <c r="D67" s="56"/>
      <c r="E67" s="56"/>
      <c r="F67" s="56"/>
      <c r="G67" s="56"/>
      <c r="H67" s="56"/>
      <c r="I67" s="35">
        <f t="shared" si="0"/>
        <v>0</v>
      </c>
      <c r="J67" s="35"/>
      <c r="K67" s="35"/>
      <c r="L67" s="56"/>
      <c r="M67" s="41"/>
    </row>
    <row r="68" spans="1:13" ht="13.2">
      <c r="A68" s="48"/>
      <c r="B68" s="135"/>
      <c r="C68" s="56"/>
      <c r="D68" s="56"/>
      <c r="E68" s="56"/>
      <c r="F68" s="56"/>
      <c r="G68" s="56"/>
      <c r="H68" s="56"/>
      <c r="I68" s="35">
        <f t="shared" si="0"/>
        <v>0</v>
      </c>
      <c r="J68" s="35"/>
      <c r="K68" s="35"/>
      <c r="L68" s="56"/>
      <c r="M68" s="106" t="str">
        <f>HYPERLINK("https://www.youtube.com/watch?v=ldwGf-iVsdU&amp;t=2s&amp;list=PLPt2dINI2MIZPFq6HyUB1Uhxdh1UDnZMS","Review bitmasking")</f>
        <v>Review bitmasking</v>
      </c>
    </row>
    <row r="69" spans="1:13" ht="13.2">
      <c r="A69" s="48"/>
      <c r="B69" s="135"/>
      <c r="C69" s="56"/>
      <c r="D69" s="56"/>
      <c r="E69" s="56"/>
      <c r="F69" s="56"/>
      <c r="G69" s="56"/>
      <c r="H69" s="56"/>
      <c r="I69" s="35">
        <f t="shared" si="0"/>
        <v>0</v>
      </c>
      <c r="J69" s="35"/>
      <c r="K69" s="35"/>
      <c r="L69" s="56"/>
      <c r="M69" s="89" t="str">
        <f>HYPERLINK("https://www.youtube.com/watch?v=vAqaki1BhS0","Watch - DP - Subset Style")</f>
        <v>Watch - DP - Subset Style</v>
      </c>
    </row>
    <row r="70" spans="1:13" ht="13.2">
      <c r="A70" s="62" t="s">
        <v>598</v>
      </c>
      <c r="B70" s="137" t="str">
        <f>HYPERLINK("https://uva.onlinejudge.org/index.php?option=onlinejudge&amp;page=show_problem&amp;problem=1133","UVA 10192")</f>
        <v>UVA 10192</v>
      </c>
      <c r="C70" s="56"/>
      <c r="D70" s="56"/>
      <c r="E70" s="56"/>
      <c r="F70" s="56"/>
      <c r="G70" s="56"/>
      <c r="H70" s="56"/>
      <c r="I70" s="35">
        <f t="shared" si="0"/>
        <v>0</v>
      </c>
      <c r="J70" s="35"/>
      <c r="K70" s="35"/>
      <c r="L70" s="10"/>
      <c r="M70" s="138" t="s">
        <v>599</v>
      </c>
    </row>
    <row r="71" spans="1:13" ht="13.2">
      <c r="A71" s="62" t="s">
        <v>600</v>
      </c>
      <c r="B71" s="137" t="str">
        <f>HYPERLINK("https://uva.onlinejudge.org/index.php?option=com_onlinejudge&amp;Itemid=8&amp;page=show_problem&amp;problem=503","UVA 562")</f>
        <v>UVA 562</v>
      </c>
      <c r="C71" s="56"/>
      <c r="D71" s="56"/>
      <c r="E71" s="56"/>
      <c r="F71" s="56"/>
      <c r="G71" s="56"/>
      <c r="H71" s="56"/>
      <c r="I71" s="35">
        <f t="shared" si="0"/>
        <v>0</v>
      </c>
      <c r="J71" s="35"/>
      <c r="K71" s="35"/>
      <c r="L71" s="10"/>
      <c r="M71" s="115" t="str">
        <f>HYPERLINK("https://www.youtube.com/watch?v=HN-oKkysTmc","Video Solution - Eng Ayman Salah")</f>
        <v>Video Solution - Eng Ayman Salah</v>
      </c>
    </row>
    <row r="72" spans="1:13" ht="13.2">
      <c r="A72" s="48"/>
      <c r="B72" s="135"/>
      <c r="C72" s="56"/>
      <c r="D72" s="56"/>
      <c r="E72" s="56"/>
      <c r="F72" s="56"/>
      <c r="G72" s="56"/>
      <c r="H72" s="56"/>
      <c r="I72" s="35">
        <f t="shared" si="0"/>
        <v>0</v>
      </c>
      <c r="J72" s="35"/>
      <c r="K72" s="35"/>
      <c r="L72" s="56"/>
      <c r="M72" s="89" t="str">
        <f>HYPERLINK("https://www.youtube.com/watch?v=bDlAqeWsKsg","Watch - DP - Consecutive Ranges Style")</f>
        <v>Watch - DP - Consecutive Ranges Style</v>
      </c>
    </row>
    <row r="73" spans="1:13" ht="13.2">
      <c r="A73" s="62"/>
      <c r="B73" s="62" t="s">
        <v>601</v>
      </c>
      <c r="C73" s="56"/>
      <c r="D73" s="56"/>
      <c r="E73" s="56"/>
      <c r="F73" s="56"/>
      <c r="G73" s="56"/>
      <c r="H73" s="56"/>
      <c r="I73" s="35">
        <f t="shared" si="0"/>
        <v>0</v>
      </c>
      <c r="J73" s="35"/>
      <c r="K73" s="35"/>
      <c r="L73" s="56"/>
      <c r="M73" s="89"/>
    </row>
    <row r="74" spans="1:13" ht="13.2">
      <c r="A74" s="62"/>
      <c r="B74" s="62" t="s">
        <v>602</v>
      </c>
      <c r="C74" s="56"/>
      <c r="D74" s="56"/>
      <c r="E74" s="56"/>
      <c r="F74" s="56"/>
      <c r="G74" s="56"/>
      <c r="H74" s="56"/>
      <c r="I74" s="35">
        <f t="shared" si="0"/>
        <v>0</v>
      </c>
      <c r="J74" s="35"/>
      <c r="K74" s="35"/>
      <c r="L74" s="56"/>
      <c r="M74" s="89"/>
    </row>
    <row r="75" spans="1:13" ht="13.2">
      <c r="A75" s="66" t="s">
        <v>603</v>
      </c>
      <c r="B75" s="96" t="str">
        <f>HYPERLINK("https://uva.onlinejudge.org/index.php?option=com_onlinejudge&amp;Itemid=8&amp;page=show_problem&amp;problem=37","UVA 101")</f>
        <v>UVA 101</v>
      </c>
      <c r="C75" s="56"/>
      <c r="D75" s="56"/>
      <c r="E75" s="56"/>
      <c r="F75" s="56"/>
      <c r="G75" s="56"/>
      <c r="H75" s="56"/>
      <c r="I75" s="35">
        <f t="shared" si="0"/>
        <v>0</v>
      </c>
      <c r="J75" s="35"/>
      <c r="K75" s="35"/>
      <c r="L75" s="56"/>
      <c r="M75" s="139" t="s">
        <v>604</v>
      </c>
    </row>
    <row r="76" spans="1:13" ht="13.2">
      <c r="A76" s="66" t="s">
        <v>605</v>
      </c>
      <c r="B76" s="96" t="str">
        <f>HYPERLINK("https://uva.onlinejudge.org/index.php?option=com_onlinejudge&amp;Itemid=8&amp;page=show_problem&amp;problem=977","UVA 10036")</f>
        <v>UVA 10036</v>
      </c>
      <c r="C76" s="56"/>
      <c r="D76" s="56"/>
      <c r="E76" s="56"/>
      <c r="F76" s="56"/>
      <c r="G76" s="56"/>
      <c r="H76" s="56"/>
      <c r="I76" s="35">
        <f t="shared" si="0"/>
        <v>0</v>
      </c>
      <c r="J76" s="35"/>
      <c r="K76" s="35"/>
      <c r="L76" s="56"/>
      <c r="M76" s="139" t="s">
        <v>604</v>
      </c>
    </row>
    <row r="77" spans="1:13" ht="13.2">
      <c r="A77" s="66"/>
      <c r="B77" s="66" t="s">
        <v>606</v>
      </c>
      <c r="C77" s="56"/>
      <c r="D77" s="56"/>
      <c r="E77" s="56"/>
      <c r="F77" s="56"/>
      <c r="G77" s="56"/>
      <c r="H77" s="56"/>
      <c r="I77" s="35">
        <f t="shared" si="0"/>
        <v>0</v>
      </c>
      <c r="J77" s="35"/>
      <c r="K77" s="35"/>
      <c r="L77" s="56"/>
      <c r="M77" s="126" t="str">
        <f>HYPERLINK("https://github.com/mostafa-saad/MyCompetitiveProgramming/blob/master/UVA/UVA_11628.txt","Sol")</f>
        <v>Sol</v>
      </c>
    </row>
    <row r="78" spans="1:13" ht="13.2">
      <c r="A78" s="41"/>
      <c r="B78" s="41"/>
      <c r="C78" s="56"/>
      <c r="D78" s="56"/>
      <c r="E78" s="56"/>
      <c r="F78" s="56"/>
      <c r="G78" s="56"/>
      <c r="H78" s="56"/>
      <c r="I78" s="35">
        <f t="shared" si="0"/>
        <v>0</v>
      </c>
      <c r="J78" s="35"/>
      <c r="K78" s="35"/>
      <c r="L78" s="56"/>
      <c r="M78" s="41"/>
    </row>
    <row r="79" spans="1:13" ht="13.2">
      <c r="A79" s="48" t="s">
        <v>607</v>
      </c>
      <c r="B79" s="71" t="str">
        <f>HYPERLINK("http://codeforces.com/contest/344/problem/C","CF344-D2-C")</f>
        <v>CF344-D2-C</v>
      </c>
      <c r="C79" s="56"/>
      <c r="D79" s="56"/>
      <c r="E79" s="56"/>
      <c r="F79" s="56"/>
      <c r="G79" s="56"/>
      <c r="H79" s="56"/>
      <c r="I79" s="35">
        <f t="shared" si="0"/>
        <v>0</v>
      </c>
      <c r="J79" s="10"/>
      <c r="K79" s="10"/>
      <c r="L79" s="10"/>
      <c r="M79" s="41"/>
    </row>
    <row r="80" spans="1:13" ht="13.2">
      <c r="A80" s="41" t="s">
        <v>608</v>
      </c>
      <c r="B80" s="126" t="str">
        <f>HYPERLINK("http://codeforces.com/contest/275/problem/C","CF275-D2-C")</f>
        <v>CF275-D2-C</v>
      </c>
      <c r="C80" s="56"/>
      <c r="D80" s="56"/>
      <c r="E80" s="56"/>
      <c r="F80" s="56"/>
      <c r="G80" s="56"/>
      <c r="H80" s="56"/>
      <c r="I80" s="35">
        <f t="shared" si="0"/>
        <v>0</v>
      </c>
      <c r="J80" s="35"/>
      <c r="K80" s="35"/>
      <c r="L80" s="56"/>
      <c r="M80" s="48"/>
    </row>
    <row r="81" spans="1:13" ht="13.2">
      <c r="A81" s="48" t="s">
        <v>609</v>
      </c>
      <c r="B81" s="71" t="str">
        <f>HYPERLINK("http://codeforces.com/contest/534/problem/C","CF534-D2-C")</f>
        <v>CF534-D2-C</v>
      </c>
      <c r="C81" s="56"/>
      <c r="D81" s="56"/>
      <c r="E81" s="56"/>
      <c r="F81" s="56"/>
      <c r="G81" s="56"/>
      <c r="H81" s="56"/>
      <c r="I81" s="35">
        <f t="shared" si="0"/>
        <v>0</v>
      </c>
      <c r="J81" s="35"/>
      <c r="K81" s="35"/>
      <c r="L81" s="10"/>
      <c r="M81" s="140" t="str">
        <f>HYPERLINK("https://codeforces.com/contest/534/submission/61924545","Sol")</f>
        <v>Sol</v>
      </c>
    </row>
    <row r="82" spans="1:13" ht="13.2">
      <c r="A82" s="129" t="s">
        <v>610</v>
      </c>
      <c r="B82" s="25" t="str">
        <f>HYPERLINK("http://codeforces.com/contest/631/problem/B","CF631-D2-B")</f>
        <v>CF631-D2-B</v>
      </c>
      <c r="C82" s="56"/>
      <c r="D82" s="56"/>
      <c r="E82" s="56"/>
      <c r="F82" s="56"/>
      <c r="G82" s="56"/>
      <c r="H82" s="56"/>
      <c r="I82" s="35">
        <f t="shared" si="0"/>
        <v>0</v>
      </c>
      <c r="J82" s="35"/>
      <c r="K82" s="35"/>
      <c r="L82" s="10"/>
      <c r="M82" s="10"/>
    </row>
    <row r="83" spans="1:13" ht="13.2">
      <c r="A83" s="129" t="s">
        <v>611</v>
      </c>
      <c r="B83" s="25" t="str">
        <f>HYPERLINK("http://codeforces.com/contest/257/problem/B","CF257-D2-B")</f>
        <v>CF257-D2-B</v>
      </c>
      <c r="C83" s="56"/>
      <c r="D83" s="56"/>
      <c r="E83" s="56"/>
      <c r="F83" s="56"/>
      <c r="G83" s="56"/>
      <c r="H83" s="56"/>
      <c r="I83" s="35">
        <f t="shared" si="0"/>
        <v>0</v>
      </c>
      <c r="J83" s="35"/>
      <c r="K83" s="35"/>
      <c r="L83" s="10"/>
      <c r="M83" s="10"/>
    </row>
    <row r="84" spans="1:13" ht="13.2">
      <c r="A84" s="129" t="s">
        <v>612</v>
      </c>
      <c r="B84" s="25" t="str">
        <f>HYPERLINK("http://codeforces.com/contest/230/problem/B","CF230-D2-B")</f>
        <v>CF230-D2-B</v>
      </c>
      <c r="C84" s="56"/>
      <c r="D84" s="56"/>
      <c r="E84" s="56"/>
      <c r="F84" s="56"/>
      <c r="G84" s="56"/>
      <c r="H84" s="56"/>
      <c r="I84" s="35">
        <f t="shared" si="0"/>
        <v>0</v>
      </c>
      <c r="J84" s="35"/>
      <c r="K84" s="35"/>
      <c r="L84" s="10"/>
      <c r="M84" s="10"/>
    </row>
    <row r="85" spans="1:13" ht="13.2">
      <c r="A85" s="48"/>
      <c r="B85" s="135"/>
      <c r="C85" s="56"/>
      <c r="D85" s="56"/>
      <c r="E85" s="56"/>
      <c r="F85" s="56"/>
      <c r="G85" s="56"/>
      <c r="H85" s="56"/>
      <c r="I85" s="35">
        <f t="shared" si="0"/>
        <v>0</v>
      </c>
      <c r="J85" s="35"/>
      <c r="K85" s="35"/>
      <c r="L85" s="56"/>
      <c r="M85" s="89" t="str">
        <f>HYPERLINK("https://www.youtube.com/watch?v=b4AC2jGNGEM","Watch - DP - Nested Ranges Style")</f>
        <v>Watch - DP - Nested Ranges Style</v>
      </c>
    </row>
    <row r="86" spans="1:13" ht="13.2">
      <c r="A86" s="48"/>
      <c r="B86" s="135"/>
      <c r="C86" s="56"/>
      <c r="D86" s="56"/>
      <c r="E86" s="56"/>
      <c r="F86" s="56"/>
      <c r="G86" s="56"/>
      <c r="H86" s="56"/>
      <c r="I86" s="35">
        <f t="shared" si="0"/>
        <v>0</v>
      </c>
      <c r="J86" s="35"/>
      <c r="K86" s="35"/>
      <c r="L86" s="56"/>
      <c r="M86" s="92" t="str">
        <f>HYPERLINK("https://www.youtube.com/watch?v=pJbeTrSKl3Y","Watch - DP - General Ranges Style")</f>
        <v>Watch - DP - General Ranges Style</v>
      </c>
    </row>
    <row r="87" spans="1:13" ht="13.2">
      <c r="A87" s="62" t="s">
        <v>613</v>
      </c>
      <c r="B87" s="107" t="str">
        <f>HYPERLINK("https://uva.onlinejudge.org/index.php?option=com_onlinejudge&amp;Itemid=8&amp;page=show_problem&amp;problem=2853","UVA 11753")</f>
        <v>UVA 11753</v>
      </c>
      <c r="C87" s="56"/>
      <c r="D87" s="56"/>
      <c r="E87" s="56"/>
      <c r="F87" s="56"/>
      <c r="G87" s="56"/>
      <c r="H87" s="56"/>
      <c r="I87" s="35">
        <f t="shared" si="0"/>
        <v>0</v>
      </c>
      <c r="J87" s="35"/>
      <c r="K87" s="35"/>
      <c r="L87" s="56"/>
      <c r="M87" s="95" t="str">
        <f>HYPERLINK("https://www.youtube.com/watch?v=1fP2Rl0-rWk","Video Solution - Eng Aya Elymany")</f>
        <v>Video Solution - Eng Aya Elymany</v>
      </c>
    </row>
    <row r="88" spans="1:13" ht="13.2">
      <c r="A88" s="62" t="s">
        <v>614</v>
      </c>
      <c r="B88" s="107" t="str">
        <f>HYPERLINK("https://uva.onlinejudge.org/index.php?option=com_onlinejudge&amp;Itemid=8&amp;page=show_problem&amp;problem=1558","UVA 10617")</f>
        <v>UVA 10617</v>
      </c>
      <c r="C88" s="56"/>
      <c r="D88" s="56"/>
      <c r="E88" s="56"/>
      <c r="F88" s="56"/>
      <c r="G88" s="56"/>
      <c r="H88" s="56"/>
      <c r="I88" s="35">
        <f t="shared" si="0"/>
        <v>0</v>
      </c>
      <c r="J88" s="35"/>
      <c r="K88" s="35"/>
      <c r="L88" s="10"/>
      <c r="M88" s="78" t="str">
        <f>HYPERLINK("https://github.com/magdy-hasan/competitive-programming/blob/master/uva-/uva%2010617%20-%20Again%20Palindrome.cpp","Sol to read")</f>
        <v>Sol to read</v>
      </c>
    </row>
    <row r="89" spans="1:13" ht="13.2">
      <c r="A89" s="62" t="s">
        <v>615</v>
      </c>
      <c r="B89" s="107" t="str">
        <f>HYPERLINK("https://uva.onlinejudge.org/index.php?option=com_onlinejudge&amp;Itemid=8&amp;page=show_problem&amp;problem=4108","UVA 1362")</f>
        <v>UVA 1362</v>
      </c>
      <c r="C89" s="56"/>
      <c r="D89" s="56"/>
      <c r="E89" s="56"/>
      <c r="F89" s="56"/>
      <c r="G89" s="56"/>
      <c r="H89" s="56"/>
      <c r="I89" s="35">
        <f t="shared" si="0"/>
        <v>0</v>
      </c>
      <c r="J89" s="35"/>
      <c r="K89" s="35"/>
      <c r="L89" s="56"/>
      <c r="M89" s="95" t="str">
        <f>HYPERLINK("https://www.youtube.com/watch?v=NTxsccxXCW0","Video Solution - Eng Ayman Salah")</f>
        <v>Video Solution - Eng Ayman Salah</v>
      </c>
    </row>
    <row r="90" spans="1:13" ht="13.2">
      <c r="A90" s="62" t="s">
        <v>616</v>
      </c>
      <c r="B90" s="107" t="str">
        <f>HYPERLINK("https://uva.onlinejudge.org/index.php?option=com_onlinejudge&amp;Itemid=8&amp;page=show_problem&amp;problem=944","UVA 10003")</f>
        <v>UVA 10003</v>
      </c>
      <c r="C90" s="56"/>
      <c r="D90" s="56"/>
      <c r="E90" s="56"/>
      <c r="F90" s="56"/>
      <c r="G90" s="56"/>
      <c r="H90" s="56"/>
      <c r="I90" s="35">
        <f t="shared" si="0"/>
        <v>0</v>
      </c>
      <c r="J90" s="35"/>
      <c r="K90" s="35"/>
      <c r="L90" s="10"/>
      <c r="M90" s="10"/>
    </row>
    <row r="91" spans="1:13" ht="13.2">
      <c r="A91" s="66" t="s">
        <v>617</v>
      </c>
      <c r="B91" s="96" t="str">
        <f>HYPERLINK("https://uva.onlinejudge.org/index.php?option=com_onlinejudge&amp;Itemid=8&amp;page=show_problem&amp;problem=284","UVA 348")</f>
        <v>UVA 348</v>
      </c>
      <c r="C91" s="56"/>
      <c r="D91" s="56"/>
      <c r="E91" s="56"/>
      <c r="F91" s="56"/>
      <c r="G91" s="56"/>
      <c r="H91" s="56"/>
      <c r="I91" s="35">
        <f t="shared" si="0"/>
        <v>0</v>
      </c>
      <c r="J91" s="35"/>
      <c r="K91" s="35"/>
      <c r="L91" s="56"/>
      <c r="M91" s="126" t="str">
        <f>HYPERLINK("https://github.com/mostafa-saad/MyCompetitiveProgramming/blob/master/UVA/UVA_348.txt","Sol")</f>
        <v>Sol</v>
      </c>
    </row>
    <row r="92" spans="1:13" ht="13.2">
      <c r="A92" s="66" t="s">
        <v>618</v>
      </c>
      <c r="B92" s="96" t="str">
        <f>HYPERLINK("https://uva.onlinejudge.org/index.php?option=onlinejudge&amp;page=show_problem&amp;problem=63","UVA 127")</f>
        <v>UVA 127</v>
      </c>
      <c r="C92" s="56"/>
      <c r="D92" s="56"/>
      <c r="E92" s="56"/>
      <c r="F92" s="56"/>
      <c r="G92" s="56"/>
      <c r="H92" s="56"/>
      <c r="I92" s="35">
        <f t="shared" si="0"/>
        <v>0</v>
      </c>
      <c r="J92" s="35"/>
      <c r="K92" s="35"/>
      <c r="L92" s="56"/>
      <c r="M92" s="95" t="str">
        <f>HYPERLINK("https://www.youtube.com/watch?v=fSZRRUPm0ro&amp;feature=youtu.be","Video Solution - Eng Moaz Rashad")</f>
        <v>Video Solution - Eng Moaz Rashad</v>
      </c>
    </row>
    <row r="93" spans="1:13" ht="13.2">
      <c r="A93" s="66" t="s">
        <v>619</v>
      </c>
      <c r="B93" s="96" t="str">
        <f>HYPERLINK("https://uva.onlinejudge.org/index.php?option=com_onlinejudge&amp;Itemid=8&amp;page=show_problem&amp;problem=64","UVA 128")</f>
        <v>UVA 128</v>
      </c>
      <c r="C93" s="56"/>
      <c r="D93" s="56"/>
      <c r="E93" s="56"/>
      <c r="F93" s="56"/>
      <c r="G93" s="56"/>
      <c r="H93" s="56"/>
      <c r="I93" s="35">
        <f t="shared" si="0"/>
        <v>0</v>
      </c>
      <c r="J93" s="35"/>
      <c r="K93" s="35"/>
      <c r="L93" s="56"/>
      <c r="M93" s="95" t="str">
        <f>HYPERLINK("https://www.youtube.com/watch?v=ifTqIif9WJg","Video Solution - Eng Moaz Rashad")</f>
        <v>Video Solution - Eng Moaz Rashad</v>
      </c>
    </row>
    <row r="94" spans="1:13" ht="13.2">
      <c r="A94" s="66"/>
      <c r="B94" s="128" t="s">
        <v>620</v>
      </c>
      <c r="C94" s="56"/>
      <c r="D94" s="56"/>
      <c r="E94" s="56"/>
      <c r="F94" s="56"/>
      <c r="G94" s="56"/>
      <c r="H94" s="56"/>
      <c r="I94" s="35">
        <f t="shared" si="0"/>
        <v>0</v>
      </c>
      <c r="J94" s="35"/>
      <c r="K94" s="35"/>
      <c r="L94" s="56"/>
      <c r="M94" s="95" t="s">
        <v>604</v>
      </c>
    </row>
    <row r="95" spans="1:13" ht="13.2">
      <c r="A95" s="41"/>
      <c r="B95" s="41"/>
      <c r="C95" s="56"/>
      <c r="D95" s="56"/>
      <c r="E95" s="56"/>
      <c r="F95" s="56"/>
      <c r="G95" s="56"/>
      <c r="H95" s="56"/>
      <c r="I95" s="35">
        <f t="shared" si="0"/>
        <v>0</v>
      </c>
      <c r="J95" s="35"/>
      <c r="K95" s="35"/>
      <c r="L95" s="56"/>
      <c r="M95" s="135"/>
    </row>
    <row r="96" spans="1:13" ht="13.2">
      <c r="A96" s="41" t="s">
        <v>621</v>
      </c>
      <c r="B96" s="126" t="str">
        <f>HYPERLINK("http://codeforces.com/contest/378/problem/C","CF378-D2-C")</f>
        <v>CF378-D2-C</v>
      </c>
      <c r="C96" s="56"/>
      <c r="D96" s="56"/>
      <c r="E96" s="56"/>
      <c r="F96" s="56"/>
      <c r="G96" s="56"/>
      <c r="H96" s="56"/>
      <c r="I96" s="35">
        <f t="shared" si="0"/>
        <v>0</v>
      </c>
      <c r="J96" s="35"/>
      <c r="K96" s="35"/>
      <c r="L96" s="56"/>
      <c r="M96" s="48"/>
    </row>
    <row r="97" spans="1:13" ht="13.2">
      <c r="A97" s="41" t="s">
        <v>622</v>
      </c>
      <c r="B97" s="126" t="str">
        <f>HYPERLINK("http://codeforces.com/contest/705/problem/C","CF705-D2-C")</f>
        <v>CF705-D2-C</v>
      </c>
      <c r="C97" s="56"/>
      <c r="D97" s="56"/>
      <c r="E97" s="56"/>
      <c r="F97" s="56"/>
      <c r="G97" s="56"/>
      <c r="H97" s="56"/>
      <c r="I97" s="35">
        <f t="shared" si="0"/>
        <v>0</v>
      </c>
      <c r="J97" s="35"/>
      <c r="K97" s="35"/>
      <c r="L97" s="56"/>
      <c r="M97" s="41"/>
    </row>
    <row r="98" spans="1:13" ht="13.2">
      <c r="A98" s="41" t="s">
        <v>623</v>
      </c>
      <c r="B98" s="126" t="str">
        <f>HYPERLINK("http://codeforces.com/contest/706/problem/C","CF706-D2-C")</f>
        <v>CF706-D2-C</v>
      </c>
      <c r="C98" s="56"/>
      <c r="D98" s="56"/>
      <c r="E98" s="56"/>
      <c r="F98" s="56"/>
      <c r="G98" s="56"/>
      <c r="H98" s="56"/>
      <c r="I98" s="35">
        <f t="shared" si="0"/>
        <v>0</v>
      </c>
      <c r="J98" s="35"/>
      <c r="K98" s="35"/>
      <c r="L98" s="56"/>
      <c r="M98" s="41"/>
    </row>
    <row r="99" spans="1:13" ht="13.2">
      <c r="A99" s="41" t="s">
        <v>624</v>
      </c>
      <c r="B99" s="126" t="str">
        <f>HYPERLINK("http://codeforces.com/contest/405/problem/C","CF405-D2-C")</f>
        <v>CF405-D2-C</v>
      </c>
      <c r="C99" s="56"/>
      <c r="D99" s="56"/>
      <c r="E99" s="56"/>
      <c r="F99" s="56"/>
      <c r="G99" s="56"/>
      <c r="H99" s="56"/>
      <c r="I99" s="35">
        <f t="shared" si="0"/>
        <v>0</v>
      </c>
      <c r="J99" s="35"/>
      <c r="K99" s="35"/>
      <c r="L99" s="56"/>
      <c r="M99" s="41"/>
    </row>
    <row r="100" spans="1:13" ht="13.2">
      <c r="A100" s="41" t="s">
        <v>625</v>
      </c>
      <c r="B100" s="126" t="str">
        <f>HYPERLINK("http://codeforces.com/contest/486/problem/C","CF486-D2-C")</f>
        <v>CF486-D2-C</v>
      </c>
      <c r="C100" s="56"/>
      <c r="D100" s="56"/>
      <c r="E100" s="56"/>
      <c r="F100" s="56"/>
      <c r="G100" s="56"/>
      <c r="H100" s="56"/>
      <c r="I100" s="35">
        <f t="shared" si="0"/>
        <v>0</v>
      </c>
      <c r="J100" s="35"/>
      <c r="K100" s="35"/>
      <c r="L100" s="56"/>
      <c r="M100" s="41"/>
    </row>
    <row r="101" spans="1:13" ht="13.2">
      <c r="A101" s="48" t="s">
        <v>626</v>
      </c>
      <c r="B101" s="71" t="str">
        <f>HYPERLINK("http://codeforces.com/contest/496/problem/C","CF496-D2-C")</f>
        <v>CF496-D2-C</v>
      </c>
      <c r="C101" s="56"/>
      <c r="D101" s="56"/>
      <c r="E101" s="56"/>
      <c r="F101" s="56"/>
      <c r="G101" s="56"/>
      <c r="H101" s="56"/>
      <c r="I101" s="35">
        <f t="shared" si="0"/>
        <v>0</v>
      </c>
      <c r="J101" s="35"/>
      <c r="K101" s="35"/>
      <c r="L101" s="10"/>
      <c r="M101" s="141" t="str">
        <f>HYPERLINK("https://www.youtube.com/watch?v=skSCRsMLPMI","Video Solution - Dr Mostafa Saad")</f>
        <v>Video Solution - Dr Mostafa Saad</v>
      </c>
    </row>
    <row r="102" spans="1:13" ht="13.2">
      <c r="A102" s="48" t="s">
        <v>627</v>
      </c>
      <c r="B102" s="71" t="str">
        <f>HYPERLINK("http://codeforces.com/contest/499/problem/C","CF499-D2-C")</f>
        <v>CF499-D2-C</v>
      </c>
      <c r="C102" s="56"/>
      <c r="D102" s="56"/>
      <c r="E102" s="56"/>
      <c r="F102" s="56"/>
      <c r="G102" s="56"/>
      <c r="H102" s="56"/>
      <c r="I102" s="35">
        <f t="shared" si="0"/>
        <v>0</v>
      </c>
      <c r="J102" s="10"/>
      <c r="K102" s="10"/>
      <c r="L102" s="10"/>
      <c r="M102" s="135" t="str">
        <f>HYPERLINK("https://www.youtube.com/watch?v=xwaGi6lx6Fg","Video Solution - Dr Mostafa Saad")</f>
        <v>Video Solution - Dr Mostafa Saad</v>
      </c>
    </row>
    <row r="103" spans="1:13" ht="13.2">
      <c r="A103" s="129" t="s">
        <v>628</v>
      </c>
      <c r="B103" s="25" t="str">
        <f>HYPERLINK("http://codeforces.com/contest/490/problem/B","CF490-D2-B")</f>
        <v>CF490-D2-B</v>
      </c>
      <c r="C103" s="56"/>
      <c r="D103" s="56"/>
      <c r="E103" s="56"/>
      <c r="F103" s="56"/>
      <c r="G103" s="56"/>
      <c r="H103" s="56"/>
      <c r="I103" s="35">
        <f t="shared" si="0"/>
        <v>0</v>
      </c>
      <c r="J103" s="10"/>
      <c r="K103" s="10"/>
      <c r="L103" s="10"/>
      <c r="M103" s="135"/>
    </row>
    <row r="104" spans="1:13" ht="13.2">
      <c r="A104" s="129" t="s">
        <v>629</v>
      </c>
      <c r="B104" s="25" t="str">
        <f>HYPERLINK("http://codeforces.com/contest/610/problem/B","CF610-D2-B")</f>
        <v>CF610-D2-B</v>
      </c>
      <c r="C104" s="56"/>
      <c r="D104" s="56"/>
      <c r="E104" s="56"/>
      <c r="F104" s="56"/>
      <c r="G104" s="56"/>
      <c r="H104" s="56"/>
      <c r="I104" s="35">
        <f t="shared" si="0"/>
        <v>0</v>
      </c>
      <c r="J104" s="10"/>
      <c r="K104" s="10"/>
      <c r="L104" s="10"/>
      <c r="M104" s="135"/>
    </row>
    <row r="105" spans="1:13" ht="13.2">
      <c r="A105" s="129" t="s">
        <v>630</v>
      </c>
      <c r="B105" s="25" t="str">
        <f>HYPERLINK("http://codeforces.com/contest/222/problem/B","CF222-D2-B")</f>
        <v>CF222-D2-B</v>
      </c>
      <c r="C105" s="56"/>
      <c r="D105" s="56"/>
      <c r="E105" s="56"/>
      <c r="F105" s="56"/>
      <c r="G105" s="56"/>
      <c r="H105" s="56"/>
      <c r="I105" s="35">
        <f t="shared" si="0"/>
        <v>0</v>
      </c>
      <c r="J105" s="10"/>
      <c r="K105" s="10"/>
      <c r="L105" s="10"/>
      <c r="M105" s="135"/>
    </row>
    <row r="106" spans="1:13" ht="13.2">
      <c r="A106" s="41"/>
      <c r="B106" s="41"/>
      <c r="C106" s="56"/>
      <c r="D106" s="56"/>
      <c r="E106" s="56"/>
      <c r="F106" s="56"/>
      <c r="G106" s="56"/>
      <c r="H106" s="56"/>
      <c r="I106" s="35">
        <f t="shared" si="0"/>
        <v>0</v>
      </c>
      <c r="J106" s="35"/>
      <c r="K106" s="35"/>
      <c r="L106" s="56"/>
      <c r="M106" s="92" t="str">
        <f>HYPERLINK("https://www.youtube.com/watch?v=5zILiqyQ2ts","Watch - Thinking - Incrementally")</f>
        <v>Watch - Thinking - Incrementally</v>
      </c>
    </row>
    <row r="107" spans="1:13" ht="13.2">
      <c r="A107" s="41"/>
      <c r="B107" s="41"/>
      <c r="C107" s="56"/>
      <c r="D107" s="56"/>
      <c r="E107" s="56"/>
      <c r="F107" s="56"/>
      <c r="G107" s="56"/>
      <c r="H107" s="56"/>
      <c r="I107" s="35">
        <f t="shared" si="0"/>
        <v>0</v>
      </c>
      <c r="J107" s="35"/>
      <c r="K107" s="35"/>
      <c r="L107" s="56"/>
      <c r="M107" s="92" t="str">
        <f>HYPERLINK("https://www.youtube.com/watch?v=9fwHOeebIgc","Watch - Thinking - Problem Domain re-interpretation")</f>
        <v>Watch - Thinking - Problem Domain re-interpretation</v>
      </c>
    </row>
    <row r="108" spans="1:13" ht="13.2">
      <c r="A108" s="41"/>
      <c r="B108" s="41"/>
      <c r="C108" s="56"/>
      <c r="D108" s="56"/>
      <c r="E108" s="56"/>
      <c r="F108" s="56"/>
      <c r="G108" s="56"/>
      <c r="H108" s="56"/>
      <c r="I108" s="35">
        <f t="shared" si="0"/>
        <v>0</v>
      </c>
      <c r="J108" s="35"/>
      <c r="K108" s="35"/>
      <c r="L108" s="56"/>
      <c r="M108" s="92" t="str">
        <f>HYPERLINK("https://www.youtube.com/watch?v=-5ApOQDhBtU","Watch - Number Theory - Factorization")</f>
        <v>Watch - Number Theory - Factorization</v>
      </c>
    </row>
    <row r="109" spans="1:13" ht="13.2">
      <c r="A109" s="62" t="s">
        <v>631</v>
      </c>
      <c r="B109" s="107" t="str">
        <f>HYPERLINK("https://uva.onlinejudge.org/index.php?option=com_onlinejudge&amp;Itemid=8&amp;page=show_problem&amp;problem=524","UVA 583")</f>
        <v>UVA 583</v>
      </c>
      <c r="C109" s="56"/>
      <c r="D109" s="56"/>
      <c r="E109" s="56"/>
      <c r="F109" s="56"/>
      <c r="G109" s="56"/>
      <c r="H109" s="56"/>
      <c r="I109" s="35">
        <f t="shared" si="0"/>
        <v>0</v>
      </c>
      <c r="J109" s="35"/>
      <c r="K109" s="35"/>
      <c r="L109" s="56"/>
      <c r="M109" s="41"/>
    </row>
    <row r="110" spans="1:13" ht="13.2">
      <c r="A110" s="62" t="s">
        <v>632</v>
      </c>
      <c r="B110" s="107" t="str">
        <f>HYPERLINK("https://uva.onlinejudge.org/index.php?option=com_onlinejudge&amp;Itemid=8&amp;page=show_problem&amp;problem=1431","UVA 10490")</f>
        <v>UVA 10490</v>
      </c>
      <c r="C110" s="56"/>
      <c r="D110" s="56"/>
      <c r="E110" s="56"/>
      <c r="F110" s="56"/>
      <c r="G110" s="56"/>
      <c r="H110" s="56"/>
      <c r="I110" s="35">
        <f t="shared" si="0"/>
        <v>0</v>
      </c>
      <c r="J110" s="35"/>
      <c r="K110" s="35"/>
      <c r="L110" s="56"/>
      <c r="M110" s="45" t="str">
        <f>HYPERLINK("https://github.com/MohamedNabil97/CompetitiveProgramming/blob/master/UVA/10490.cpp","Sol to read")</f>
        <v>Sol to read</v>
      </c>
    </row>
    <row r="111" spans="1:13" ht="13.2">
      <c r="A111" s="62" t="s">
        <v>633</v>
      </c>
      <c r="B111" s="107" t="str">
        <f>HYPERLINK("https://uva.onlinejudge.org/index.php?option=onlinejudge&amp;page=show_problem&amp;problem=1563","UVA 10622")</f>
        <v>UVA 10622</v>
      </c>
      <c r="C111" s="56"/>
      <c r="D111" s="56"/>
      <c r="E111" s="56"/>
      <c r="F111" s="56"/>
      <c r="G111" s="56"/>
      <c r="H111" s="56"/>
      <c r="I111" s="35">
        <f t="shared" si="0"/>
        <v>0</v>
      </c>
      <c r="J111" s="35"/>
      <c r="K111" s="35"/>
      <c r="L111" s="56"/>
      <c r="M111" s="95" t="str">
        <f>HYPERLINK("https://www.youtube.com/watch?v=sRZgiQc5x7U","Video Solution - Eng Moaz Rashad")</f>
        <v>Video Solution - Eng Moaz Rashad</v>
      </c>
    </row>
    <row r="112" spans="1:13" ht="13.2">
      <c r="A112" s="62" t="s">
        <v>634</v>
      </c>
      <c r="B112" s="107" t="str">
        <f>HYPERLINK("https://uva.onlinejudge.org/index.php?option=com_onlinejudge&amp;Itemid=8&amp;page=show_problem&amp;problem=457","UVA 516")</f>
        <v>UVA 516</v>
      </c>
      <c r="C112" s="56"/>
      <c r="D112" s="56"/>
      <c r="E112" s="56"/>
      <c r="F112" s="56"/>
      <c r="G112" s="56"/>
      <c r="H112" s="56"/>
      <c r="I112" s="35">
        <f t="shared" si="0"/>
        <v>0</v>
      </c>
      <c r="J112" s="35"/>
      <c r="K112" s="35"/>
      <c r="L112" s="56"/>
      <c r="M112" s="115" t="str">
        <f>HYPERLINK("https://algorithmist.com/wiki/UVa_516_-_Prime_Land#_=_","Sol")</f>
        <v>Sol</v>
      </c>
    </row>
    <row r="113" spans="1:13" ht="13.2">
      <c r="A113" s="66"/>
      <c r="B113" s="66" t="s">
        <v>635</v>
      </c>
      <c r="C113" s="56"/>
      <c r="D113" s="56"/>
      <c r="E113" s="56"/>
      <c r="F113" s="56"/>
      <c r="G113" s="56"/>
      <c r="H113" s="56"/>
      <c r="I113" s="35">
        <f t="shared" si="0"/>
        <v>0</v>
      </c>
      <c r="J113" s="35"/>
      <c r="K113" s="35"/>
      <c r="L113" s="56"/>
      <c r="M113" s="142" t="s">
        <v>604</v>
      </c>
    </row>
    <row r="114" spans="1:13" ht="13.2">
      <c r="A114" s="66"/>
      <c r="B114" s="66" t="s">
        <v>636</v>
      </c>
      <c r="C114" s="56"/>
      <c r="D114" s="56"/>
      <c r="E114" s="56"/>
      <c r="F114" s="56"/>
      <c r="G114" s="56"/>
      <c r="H114" s="56"/>
      <c r="I114" s="35">
        <f t="shared" si="0"/>
        <v>0</v>
      </c>
      <c r="J114" s="35"/>
      <c r="K114" s="35"/>
      <c r="L114" s="56"/>
      <c r="M114" s="51"/>
    </row>
    <row r="115" spans="1:13" ht="13.2">
      <c r="A115" s="66" t="s">
        <v>637</v>
      </c>
      <c r="B115" s="143" t="str">
        <f>HYPERLINK("https://uva.onlinejudge.org/index.php?option=com_onlinejudge&amp;Itemid=8&amp;page=show_problem&amp;problem=132","UVA 196")</f>
        <v>UVA 196</v>
      </c>
      <c r="C115" s="56"/>
      <c r="D115" s="56"/>
      <c r="E115" s="56"/>
      <c r="F115" s="56"/>
      <c r="G115" s="56"/>
      <c r="H115" s="56"/>
      <c r="I115" s="35">
        <f t="shared" si="0"/>
        <v>0</v>
      </c>
      <c r="J115" s="10"/>
      <c r="K115" s="10"/>
      <c r="L115" s="10"/>
      <c r="M115" s="113" t="s">
        <v>604</v>
      </c>
    </row>
    <row r="116" spans="1:13" ht="13.2">
      <c r="A116" s="41"/>
      <c r="B116" s="41"/>
      <c r="C116" s="56"/>
      <c r="D116" s="56"/>
      <c r="E116" s="56"/>
      <c r="F116" s="56"/>
      <c r="G116" s="56"/>
      <c r="H116" s="56"/>
      <c r="I116" s="35">
        <f t="shared" si="0"/>
        <v>0</v>
      </c>
      <c r="J116" s="35"/>
      <c r="K116" s="35"/>
      <c r="L116" s="56"/>
      <c r="M116" s="51"/>
    </row>
    <row r="117" spans="1:13" ht="13.2">
      <c r="A117" s="41" t="s">
        <v>638</v>
      </c>
      <c r="B117" s="126" t="str">
        <f>HYPERLINK("http://codeforces.com/contest/253/problem/C","CF253-D2-C")</f>
        <v>CF253-D2-C</v>
      </c>
      <c r="C117" s="56"/>
      <c r="D117" s="56"/>
      <c r="E117" s="56"/>
      <c r="F117" s="56"/>
      <c r="G117" s="56"/>
      <c r="H117" s="56"/>
      <c r="I117" s="35">
        <f t="shared" si="0"/>
        <v>0</v>
      </c>
      <c r="J117" s="35"/>
      <c r="K117" s="35"/>
      <c r="L117" s="56"/>
      <c r="M117" s="48"/>
    </row>
    <row r="118" spans="1:13" ht="13.2">
      <c r="A118" s="41" t="s">
        <v>639</v>
      </c>
      <c r="B118" s="126" t="str">
        <f>HYPERLINK("http://codeforces.com/contest/604/problem/C","CF604-D2-C")</f>
        <v>CF604-D2-C</v>
      </c>
      <c r="C118" s="56"/>
      <c r="D118" s="56"/>
      <c r="E118" s="56"/>
      <c r="F118" s="56"/>
      <c r="G118" s="56"/>
      <c r="H118" s="56"/>
      <c r="I118" s="35">
        <f t="shared" si="0"/>
        <v>0</v>
      </c>
      <c r="J118" s="35"/>
      <c r="K118" s="35"/>
      <c r="L118" s="56"/>
      <c r="M118" s="48"/>
    </row>
    <row r="119" spans="1:13" ht="13.2">
      <c r="A119" s="41" t="s">
        <v>640</v>
      </c>
      <c r="B119" s="126" t="str">
        <f>HYPERLINK("http://codeforces.com/contest/735/problem/C","CF735-D2-C")</f>
        <v>CF735-D2-C</v>
      </c>
      <c r="C119" s="56"/>
      <c r="D119" s="56"/>
      <c r="E119" s="56"/>
      <c r="F119" s="56"/>
      <c r="G119" s="56"/>
      <c r="H119" s="56"/>
      <c r="I119" s="35">
        <f t="shared" si="0"/>
        <v>0</v>
      </c>
      <c r="J119" s="35"/>
      <c r="K119" s="35"/>
      <c r="L119" s="56"/>
      <c r="M119" s="48"/>
    </row>
    <row r="120" spans="1:13" ht="13.2">
      <c r="A120" s="41" t="s">
        <v>641</v>
      </c>
      <c r="B120" s="126" t="str">
        <f>HYPERLINK("http://codeforces.com/contest/507/problem/C","CF507-D2-C")</f>
        <v>CF507-D2-C</v>
      </c>
      <c r="C120" s="56"/>
      <c r="D120" s="56"/>
      <c r="E120" s="56"/>
      <c r="F120" s="56"/>
      <c r="G120" s="56"/>
      <c r="H120" s="56"/>
      <c r="I120" s="35">
        <f t="shared" si="0"/>
        <v>0</v>
      </c>
      <c r="J120" s="35"/>
      <c r="K120" s="35"/>
      <c r="L120" s="56"/>
      <c r="M120" s="141" t="str">
        <f>HYPERLINK("https://www.youtube.com/watch?v=1Ki1L9BAJIQ","Video Solution - Dr Mostafa Saad")</f>
        <v>Video Solution - Dr Mostafa Saad</v>
      </c>
    </row>
    <row r="121" spans="1:13" ht="13.2">
      <c r="A121" s="41" t="s">
        <v>642</v>
      </c>
      <c r="B121" s="126" t="str">
        <f>HYPERLINK("http://codeforces.com/contest/84/problem/C","CF84-D2-C")</f>
        <v>CF84-D2-C</v>
      </c>
      <c r="C121" s="56"/>
      <c r="D121" s="56"/>
      <c r="E121" s="56"/>
      <c r="F121" s="56"/>
      <c r="G121" s="56"/>
      <c r="H121" s="56"/>
      <c r="I121" s="35">
        <f t="shared" si="0"/>
        <v>0</v>
      </c>
      <c r="J121" s="35"/>
      <c r="K121" s="35"/>
      <c r="L121" s="56"/>
      <c r="M121" s="41"/>
    </row>
    <row r="122" spans="1:13" ht="13.2">
      <c r="A122" s="48" t="s">
        <v>643</v>
      </c>
      <c r="B122" s="71" t="str">
        <f>HYPERLINK("http://codeforces.com/contest/584/problem/C","CF584-D2-C")</f>
        <v>CF584-D2-C</v>
      </c>
      <c r="C122" s="56"/>
      <c r="D122" s="56"/>
      <c r="E122" s="56"/>
      <c r="F122" s="56"/>
      <c r="G122" s="56"/>
      <c r="H122" s="56"/>
      <c r="I122" s="35">
        <f t="shared" si="0"/>
        <v>0</v>
      </c>
      <c r="J122" s="35"/>
      <c r="K122" s="35"/>
      <c r="L122" s="10"/>
      <c r="M122" s="10"/>
    </row>
    <row r="123" spans="1:13" ht="13.2">
      <c r="A123" s="51" t="s">
        <v>644</v>
      </c>
      <c r="B123" s="144" t="str">
        <f>HYPERLINK("http://codeforces.com/contest/792/problem/C","CF792-D2-C")</f>
        <v>CF792-D2-C</v>
      </c>
      <c r="C123" s="56"/>
      <c r="D123" s="56"/>
      <c r="E123" s="56"/>
      <c r="F123" s="56"/>
      <c r="G123" s="56"/>
      <c r="H123" s="56"/>
      <c r="I123" s="35">
        <f t="shared" si="0"/>
        <v>0</v>
      </c>
      <c r="J123" s="35"/>
      <c r="K123" s="35"/>
      <c r="L123" s="10"/>
      <c r="M123" s="50" t="str">
        <f>HYPERLINK("https://www.youtube.com/watch?v=BgG5sjJslYk","Video Solution - Solver to be (Java)")</f>
        <v>Video Solution - Solver to be (Java)</v>
      </c>
    </row>
    <row r="124" spans="1:13" ht="13.2">
      <c r="A124" s="129" t="s">
        <v>645</v>
      </c>
      <c r="B124" s="25" t="str">
        <f>HYPERLINK("http://codeforces.com/contest/534/problem/B","CF534-D2-B")</f>
        <v>CF534-D2-B</v>
      </c>
      <c r="C124" s="56"/>
      <c r="D124" s="56"/>
      <c r="E124" s="56"/>
      <c r="F124" s="56"/>
      <c r="G124" s="56"/>
      <c r="H124" s="56"/>
      <c r="I124" s="35">
        <f t="shared" si="0"/>
        <v>0</v>
      </c>
      <c r="J124" s="35"/>
      <c r="K124" s="35"/>
      <c r="L124" s="10"/>
      <c r="M124" s="48"/>
    </row>
    <row r="125" spans="1:13" ht="13.2">
      <c r="A125" s="129" t="s">
        <v>646</v>
      </c>
      <c r="B125" s="25" t="str">
        <f>HYPERLINK("http://codeforces.com/contest/75/problem/B","CF75-D2-B")</f>
        <v>CF75-D2-B</v>
      </c>
      <c r="C125" s="56"/>
      <c r="D125" s="56"/>
      <c r="E125" s="56"/>
      <c r="F125" s="56"/>
      <c r="G125" s="56"/>
      <c r="H125" s="56"/>
      <c r="I125" s="35">
        <f t="shared" si="0"/>
        <v>0</v>
      </c>
      <c r="J125" s="35"/>
      <c r="K125" s="35"/>
      <c r="L125" s="10"/>
      <c r="M125" s="48"/>
    </row>
    <row r="126" spans="1:13" ht="13.2">
      <c r="A126" s="129" t="s">
        <v>647</v>
      </c>
      <c r="B126" s="145" t="str">
        <f>HYPERLINK("http://codeforces.com/contest/979/problem/B","CF979-D2-B")</f>
        <v>CF979-D2-B</v>
      </c>
      <c r="C126" s="10"/>
      <c r="D126" s="10"/>
      <c r="E126" s="10"/>
      <c r="F126" s="10"/>
      <c r="G126" s="10"/>
      <c r="H126" s="10"/>
      <c r="I126" s="56">
        <f t="shared" si="0"/>
        <v>0</v>
      </c>
      <c r="J126" s="10"/>
      <c r="K126" s="10"/>
      <c r="L126" s="10"/>
      <c r="M126" s="105" t="s">
        <v>648</v>
      </c>
    </row>
    <row r="127" spans="1:13" ht="13.2">
      <c r="A127" s="41"/>
      <c r="B127" s="41"/>
      <c r="C127" s="56"/>
      <c r="D127" s="56"/>
      <c r="E127" s="56"/>
      <c r="F127" s="56"/>
      <c r="G127" s="56"/>
      <c r="H127" s="56"/>
      <c r="I127" s="35">
        <f t="shared" si="0"/>
        <v>0</v>
      </c>
      <c r="J127" s="35"/>
      <c r="K127" s="35"/>
      <c r="L127" s="56"/>
      <c r="M127" s="41"/>
    </row>
    <row r="128" spans="1:13" ht="13.2">
      <c r="A128" s="66" t="s">
        <v>649</v>
      </c>
      <c r="B128" s="96" t="str">
        <f>HYPERLINK("https://uva.onlinejudge.org/index.php?option=onlinejudge&amp;page=show_problem&amp;problem=1731","UVA 10790")</f>
        <v>UVA 10790</v>
      </c>
      <c r="C128" s="56"/>
      <c r="D128" s="56"/>
      <c r="E128" s="56"/>
      <c r="F128" s="56"/>
      <c r="G128" s="56"/>
      <c r="H128" s="56"/>
      <c r="I128" s="35">
        <f t="shared" si="0"/>
        <v>0</v>
      </c>
      <c r="J128" s="35"/>
      <c r="K128" s="35"/>
      <c r="L128" s="56"/>
      <c r="M128" s="126" t="str">
        <f>HYPERLINK("https://github.com/MeGaCrazy/CompetitiveProgramming/blob/5b920a5ddab614e30ea12e7e3a7da12267a203ec/UVA/UVA_10790.cpp","Sol")</f>
        <v>Sol</v>
      </c>
    </row>
    <row r="129" spans="1:13" ht="13.2">
      <c r="A129" s="66" t="s">
        <v>650</v>
      </c>
      <c r="B129" s="96" t="str">
        <f>HYPERLINK("https://uva.onlinejudge.org/index.php?option=onlinejudge&amp;Itemid=8&amp;page=show_problem&amp;problem=1080","UVA 10139")</f>
        <v>UVA 10139</v>
      </c>
      <c r="C129" s="56"/>
      <c r="D129" s="56"/>
      <c r="E129" s="56"/>
      <c r="F129" s="56"/>
      <c r="G129" s="56"/>
      <c r="H129" s="56"/>
      <c r="I129" s="35">
        <f t="shared" si="0"/>
        <v>0</v>
      </c>
      <c r="J129" s="35"/>
      <c r="K129" s="35"/>
      <c r="L129" s="56"/>
      <c r="M129" s="139" t="s">
        <v>604</v>
      </c>
    </row>
    <row r="130" spans="1:13" ht="13.2">
      <c r="A130" s="66" t="s">
        <v>651</v>
      </c>
      <c r="B130" s="96" t="str">
        <f>HYPERLINK("https://uva.onlinejudge.org/index.php?option=com_onlinejudge&amp;Itemid=8&amp;page=show_problem&amp;problem=1917","UVA 10976")</f>
        <v>UVA 10976</v>
      </c>
      <c r="C130" s="56"/>
      <c r="D130" s="56"/>
      <c r="E130" s="56"/>
      <c r="F130" s="56"/>
      <c r="G130" s="56"/>
      <c r="H130" s="56"/>
      <c r="I130" s="35">
        <f t="shared" si="0"/>
        <v>0</v>
      </c>
      <c r="J130" s="35"/>
      <c r="K130" s="35"/>
      <c r="L130" s="56"/>
      <c r="M130" s="45" t="str">
        <f>HYPERLINK("https://github.com/magdy-hasan/competitive-programming/blob/master/uva-/uva%2010976%20-%20Fractions%20Again!.cpp","Sol")</f>
        <v>Sol</v>
      </c>
    </row>
    <row r="131" spans="1:13" ht="13.2">
      <c r="A131" s="66" t="s">
        <v>652</v>
      </c>
      <c r="B131" s="96" t="str">
        <f>HYPERLINK("http://codeforces.com/contest/189/problem/A","CF189-D2-A")</f>
        <v>CF189-D2-A</v>
      </c>
      <c r="C131" s="56"/>
      <c r="D131" s="56"/>
      <c r="E131" s="56"/>
      <c r="F131" s="56"/>
      <c r="G131" s="56"/>
      <c r="H131" s="56"/>
      <c r="I131" s="35">
        <f t="shared" si="0"/>
        <v>0</v>
      </c>
      <c r="J131" s="35"/>
      <c r="K131" s="35"/>
      <c r="L131" s="10"/>
      <c r="M131" s="50" t="str">
        <f>HYPERLINK("https://www.youtube.com/watch?v=4VBt8sKocyw","Video Solution - Solver to be (Java)")</f>
        <v>Video Solution - Solver to be (Java)</v>
      </c>
    </row>
    <row r="132" spans="1:13" ht="13.2">
      <c r="A132" s="41"/>
      <c r="B132" s="41"/>
      <c r="C132" s="56"/>
      <c r="D132" s="56"/>
      <c r="E132" s="56"/>
      <c r="F132" s="56"/>
      <c r="G132" s="56"/>
      <c r="H132" s="56"/>
      <c r="I132" s="35">
        <f t="shared" si="0"/>
        <v>0</v>
      </c>
      <c r="J132" s="35"/>
      <c r="K132" s="35"/>
      <c r="L132" s="56"/>
      <c r="M132" s="41"/>
    </row>
    <row r="133" spans="1:13" ht="13.2">
      <c r="C133" s="56"/>
      <c r="D133" s="56"/>
      <c r="E133" s="56"/>
      <c r="F133" s="56"/>
      <c r="G133" s="56"/>
      <c r="H133" s="56"/>
      <c r="I133" s="35">
        <f t="shared" si="0"/>
        <v>0</v>
      </c>
      <c r="J133" s="35"/>
      <c r="K133" s="35"/>
      <c r="L133" s="56"/>
      <c r="M133" s="146" t="str">
        <f>HYPERLINK("https://www.youtube.com/playlist?list=PLC58778F28211FA19","Watch - Probability - First 9 videos")</f>
        <v>Watch - Probability - First 9 videos</v>
      </c>
    </row>
    <row r="134" spans="1:13" ht="13.2">
      <c r="A134" s="62" t="s">
        <v>653</v>
      </c>
      <c r="B134" s="147" t="str">
        <f>HYPERLINK("https://uva.onlinejudge.org/index.php?option=onlinejudge&amp;page=show_problem&amp;problem=1432","UVA 10491")</f>
        <v>UVA 10491</v>
      </c>
      <c r="C134" s="56"/>
      <c r="D134" s="56"/>
      <c r="E134" s="56"/>
      <c r="F134" s="56"/>
      <c r="G134" s="56"/>
      <c r="H134" s="56"/>
      <c r="I134" s="35">
        <f t="shared" si="0"/>
        <v>0</v>
      </c>
      <c r="J134" s="35"/>
      <c r="K134" s="35"/>
      <c r="L134" s="56"/>
      <c r="M134" s="126" t="str">
        <f>HYPERLINK("https://www.probabilitycourse.com/","Revise Probability")</f>
        <v>Revise Probability</v>
      </c>
    </row>
    <row r="135" spans="1:13" ht="13.2">
      <c r="A135" s="62" t="s">
        <v>654</v>
      </c>
      <c r="B135" s="147" t="str">
        <f>HYPERLINK("https://uva.onlinejudge.org/index.php?option=com_onlinejudge&amp;Itemid=8&amp;page=show_problem&amp;problem=997","UVA 10056")</f>
        <v>UVA 10056</v>
      </c>
      <c r="C135" s="56"/>
      <c r="D135" s="56"/>
      <c r="E135" s="56"/>
      <c r="F135" s="56"/>
      <c r="G135" s="56"/>
      <c r="H135" s="56"/>
      <c r="I135" s="35">
        <f t="shared" si="0"/>
        <v>0</v>
      </c>
      <c r="J135" s="35"/>
      <c r="K135" s="35"/>
      <c r="L135" s="56"/>
      <c r="M135" s="126" t="str">
        <f>HYPERLINK("https://github.com/mostafa-saad/MyCompetitiveProgramming/blob/master/UVA/UVA_10056.txt","Sol")</f>
        <v>Sol</v>
      </c>
    </row>
    <row r="136" spans="1:13" ht="13.2">
      <c r="A136" s="62" t="s">
        <v>655</v>
      </c>
      <c r="B136" s="147" t="str">
        <f>HYPERLINK("https://uva.onlinejudge.org/index.php?option=com_onlinejudge&amp;Itemid=8&amp;page=show_problem&amp;problem=1159","UVA 10218")</f>
        <v>UVA 10218</v>
      </c>
      <c r="C136" s="56"/>
      <c r="D136" s="56"/>
      <c r="E136" s="56"/>
      <c r="F136" s="56"/>
      <c r="G136" s="56"/>
      <c r="H136" s="56"/>
      <c r="I136" s="35">
        <f t="shared" si="0"/>
        <v>0</v>
      </c>
      <c r="J136" s="35"/>
      <c r="K136" s="35"/>
      <c r="L136" s="56"/>
      <c r="M136" s="148" t="str">
        <f>HYPERLINK("https://github.com/mostafa-saad/MyCompetitiveProgramming/blob/master/UVA/UVA_10218.txt","Sol")</f>
        <v>Sol</v>
      </c>
    </row>
    <row r="137" spans="1:13" ht="13.2">
      <c r="A137" s="62" t="s">
        <v>656</v>
      </c>
      <c r="B137" s="147" t="str">
        <f>HYPERLINK("https://uva.onlinejudge.org/index.php?option=com_onlinejudge&amp;Itemid=8&amp;page=show_problem&amp;problem=2122","UVA 11181")</f>
        <v>UVA 11181</v>
      </c>
      <c r="C137" s="56"/>
      <c r="D137" s="56"/>
      <c r="E137" s="56"/>
      <c r="F137" s="56"/>
      <c r="G137" s="56"/>
      <c r="H137" s="56"/>
      <c r="I137" s="35">
        <f t="shared" si="0"/>
        <v>0</v>
      </c>
      <c r="J137" s="35"/>
      <c r="K137" s="35"/>
      <c r="L137" s="56"/>
      <c r="M137" s="126" t="str">
        <f>HYPERLINK("https://github.com/MohamedNabil97/CompetitiveProgramming/blob/master/UVA/1181.cpp","Sol")</f>
        <v>Sol</v>
      </c>
    </row>
    <row r="138" spans="1:13" ht="13.2">
      <c r="A138" s="62" t="s">
        <v>657</v>
      </c>
      <c r="B138" s="147" t="str">
        <f>HYPERLINK("https://uva.onlinejudge.org/index.php?option=com_onlinejudge&amp;Itemid=8&amp;page=show_problem&amp;problem=2675","UVA 11628")</f>
        <v>UVA 11628</v>
      </c>
      <c r="C138" s="56"/>
      <c r="D138" s="56"/>
      <c r="E138" s="56"/>
      <c r="F138" s="56"/>
      <c r="G138" s="56"/>
      <c r="H138" s="56"/>
      <c r="I138" s="35">
        <f t="shared" si="0"/>
        <v>0</v>
      </c>
      <c r="J138" s="35"/>
      <c r="K138" s="35"/>
      <c r="L138" s="56"/>
      <c r="M138" s="126" t="str">
        <f>HYPERLINK("https://github.com/mostafa-saad/MyCompetitiveProgramming/blob/master/UVA/UVA_11628.txt","Sol")</f>
        <v>Sol</v>
      </c>
    </row>
    <row r="139" spans="1:13" ht="13.2">
      <c r="A139" s="62" t="s">
        <v>658</v>
      </c>
      <c r="B139" s="147" t="str">
        <f>HYPERLINK("https://uva.onlinejudge.org/index.php?option=com_onlinejudge&amp;Itemid=8&amp;page=show_problem&amp;problem=3904","UVA 12461")</f>
        <v>UVA 12461</v>
      </c>
      <c r="C139" s="56"/>
      <c r="D139" s="56"/>
      <c r="E139" s="56"/>
      <c r="F139" s="56"/>
      <c r="G139" s="56"/>
      <c r="H139" s="56"/>
      <c r="I139" s="35">
        <f t="shared" si="0"/>
        <v>0</v>
      </c>
      <c r="J139" s="35"/>
      <c r="K139" s="35"/>
      <c r="L139" s="56"/>
      <c r="M139" s="149" t="str">
        <f>HYPERLINK("https://github.com/VAMPIER000001/CompetitiveProgramming/blob/master/UVA/V-124/UVA%2012461.Cpp","Sol")</f>
        <v>Sol</v>
      </c>
    </row>
    <row r="140" spans="1:13" ht="13.2">
      <c r="A140" s="66"/>
      <c r="B140" s="96" t="str">
        <f>HYPERLINK("https://www.hackerrank.com/contests/infinitum18/challenges/tower-3-coloring","HACKR tower-3-coloring")</f>
        <v>HACKR tower-3-coloring</v>
      </c>
      <c r="C140" s="56"/>
      <c r="D140" s="56"/>
      <c r="E140" s="56"/>
      <c r="F140" s="56"/>
      <c r="G140" s="56"/>
      <c r="H140" s="56"/>
      <c r="I140" s="35">
        <f t="shared" si="0"/>
        <v>0</v>
      </c>
      <c r="J140" s="35"/>
      <c r="K140" s="35"/>
      <c r="L140" s="56"/>
      <c r="M140" s="116" t="str">
        <f>HYPERLINK("https://en.wikipedia.org/wiki/Fermat%27s_little_theorem","Learn  Fermat's little theorem")</f>
        <v>Learn  Fermat's little theorem</v>
      </c>
    </row>
    <row r="141" spans="1:13" ht="13.2">
      <c r="A141" s="66"/>
      <c r="B141" s="96" t="str">
        <f>HYPERLINK("http://codeforces.com/contest/445/problem/C","CF445-D2-C")</f>
        <v>CF445-D2-C</v>
      </c>
      <c r="C141" s="56"/>
      <c r="D141" s="56"/>
      <c r="E141" s="56"/>
      <c r="F141" s="56"/>
      <c r="G141" s="56"/>
      <c r="H141" s="56"/>
      <c r="I141" s="35">
        <f t="shared" si="0"/>
        <v>0</v>
      </c>
      <c r="J141" s="35"/>
      <c r="K141" s="35"/>
      <c r="L141" s="56"/>
      <c r="M141" s="28"/>
    </row>
    <row r="142" spans="1:13" ht="13.2">
      <c r="A142" s="66"/>
      <c r="B142" s="96" t="str">
        <f>HYPERLINK("https://www.hackerrank.com/challenges/a-circle-and-a-square","HACKR a-circle-and-a-square")</f>
        <v>HACKR a-circle-and-a-square</v>
      </c>
      <c r="C142" s="56"/>
      <c r="D142" s="56"/>
      <c r="E142" s="56"/>
      <c r="F142" s="56"/>
      <c r="G142" s="56"/>
      <c r="H142" s="56"/>
      <c r="I142" s="35">
        <f t="shared" si="0"/>
        <v>0</v>
      </c>
      <c r="J142" s="35"/>
      <c r="K142" s="35"/>
      <c r="L142" s="56"/>
      <c r="M142" s="28"/>
    </row>
    <row r="143" spans="1:13" ht="13.2">
      <c r="A143" s="66"/>
      <c r="B143" s="128" t="s">
        <v>659</v>
      </c>
      <c r="C143" s="56"/>
      <c r="D143" s="56"/>
      <c r="E143" s="56"/>
      <c r="F143" s="56"/>
      <c r="G143" s="56"/>
      <c r="H143" s="56"/>
      <c r="I143" s="35">
        <f t="shared" si="0"/>
        <v>0</v>
      </c>
      <c r="J143" s="35"/>
      <c r="K143" s="35"/>
      <c r="L143" s="56"/>
      <c r="M143" s="126" t="str">
        <f>HYPERLINK("https://www.geeksforgeeks.org/0-1-bfs-shortest-path-binary-graph/","Learn 0/1 BFS")</f>
        <v>Learn 0/1 BFS</v>
      </c>
    </row>
    <row r="144" spans="1:13" ht="13.2">
      <c r="A144" s="66" t="s">
        <v>660</v>
      </c>
      <c r="B144" s="96" t="str">
        <f>HYPERLINK("https://uva.onlinejudge.org/index.php?option=com_onlinejudge&amp;Itemid=8&amp;page=show_problem&amp;problem=3415","UVA 12263")</f>
        <v>UVA 12263</v>
      </c>
      <c r="C144" s="10"/>
      <c r="D144" s="10"/>
      <c r="E144" s="10"/>
      <c r="F144" s="10"/>
      <c r="G144" s="10"/>
      <c r="H144" s="10"/>
      <c r="I144" s="56">
        <f t="shared" si="0"/>
        <v>0</v>
      </c>
      <c r="J144" s="10"/>
      <c r="K144" s="10"/>
      <c r="L144" s="10"/>
      <c r="M144" s="59" t="str">
        <f>HYPERLINK("https://github.com/mostafa-saad/MyCompetitiveProgramming/blob/master/UVA/UVA_12263.txt","Sol")</f>
        <v>Sol</v>
      </c>
    </row>
    <row r="145" spans="1:13" ht="13.2">
      <c r="C145" s="56"/>
      <c r="D145" s="56"/>
      <c r="E145" s="56"/>
      <c r="F145" s="56"/>
      <c r="G145" s="56"/>
      <c r="H145" s="56"/>
      <c r="I145" s="35">
        <f t="shared" si="0"/>
        <v>0</v>
      </c>
      <c r="J145" s="35"/>
      <c r="K145" s="35"/>
      <c r="L145" s="56"/>
      <c r="M145" s="28"/>
    </row>
    <row r="146" spans="1:13" ht="13.2">
      <c r="A146" s="41" t="s">
        <v>661</v>
      </c>
      <c r="B146" s="115" t="str">
        <f>HYPERLINK("http://codeforces.com/contest/822/problem/C","CF822-D2-C")</f>
        <v>CF822-D2-C</v>
      </c>
      <c r="C146" s="56"/>
      <c r="D146" s="56"/>
      <c r="E146" s="56"/>
      <c r="F146" s="56"/>
      <c r="G146" s="56"/>
      <c r="H146" s="56"/>
      <c r="I146" s="35">
        <f t="shared" si="0"/>
        <v>0</v>
      </c>
      <c r="J146" s="35"/>
      <c r="K146" s="35"/>
      <c r="L146" s="56"/>
      <c r="M146" s="50" t="str">
        <f>HYPERLINK("https://www.youtube.com/watch?v=VvR9spazigA","Video Solution - Solver to be (Java)")</f>
        <v>Video Solution - Solver to be (Java)</v>
      </c>
    </row>
    <row r="147" spans="1:13" ht="13.2">
      <c r="A147" s="41" t="s">
        <v>662</v>
      </c>
      <c r="B147" s="115" t="str">
        <f>HYPERLINK("http://codeforces.com/contest/834/problem/C","CF834-D2-C")</f>
        <v>CF834-D2-C</v>
      </c>
      <c r="C147" s="56"/>
      <c r="D147" s="56"/>
      <c r="E147" s="56"/>
      <c r="F147" s="56"/>
      <c r="G147" s="56"/>
      <c r="H147" s="56"/>
      <c r="I147" s="35">
        <f t="shared" si="0"/>
        <v>0</v>
      </c>
      <c r="J147" s="35"/>
      <c r="K147" s="35"/>
      <c r="L147" s="56"/>
      <c r="M147" s="50" t="str">
        <f>HYPERLINK("https://www.youtube.com/watch?v=tge-NMPdndc","Video Solution - Solver to be (Java)")</f>
        <v>Video Solution - Solver to be (Java)</v>
      </c>
    </row>
    <row r="148" spans="1:13" ht="13.2">
      <c r="A148" s="41" t="s">
        <v>663</v>
      </c>
      <c r="B148" s="115" t="str">
        <f>HYPERLINK("http://codeforces.com/contest/835/problem/C","CF835-D2-C")</f>
        <v>CF835-D2-C</v>
      </c>
      <c r="C148" s="56"/>
      <c r="D148" s="56"/>
      <c r="E148" s="56"/>
      <c r="F148" s="56"/>
      <c r="G148" s="56"/>
      <c r="H148" s="56"/>
      <c r="I148" s="35">
        <f t="shared" si="0"/>
        <v>0</v>
      </c>
      <c r="J148" s="35"/>
      <c r="K148" s="35"/>
      <c r="L148" s="56"/>
      <c r="M148" s="50" t="str">
        <f>HYPERLINK("https://www.youtube.com/watch?v=McKM0CgVLUM","Video Solution - Solver to be (Java)")</f>
        <v>Video Solution - Solver to be (Java)</v>
      </c>
    </row>
    <row r="149" spans="1:13" ht="13.2">
      <c r="A149" s="121"/>
      <c r="B149" s="121"/>
      <c r="C149" s="123"/>
      <c r="D149" s="123"/>
      <c r="E149" s="123"/>
      <c r="F149" s="123"/>
      <c r="G149" s="123"/>
      <c r="H149" s="123"/>
      <c r="I149" s="123">
        <f t="shared" ref="I149:I151" si="1">SUM(E149:G149)</f>
        <v>0</v>
      </c>
      <c r="J149" s="123"/>
      <c r="K149" s="123"/>
      <c r="L149" s="123"/>
      <c r="M149" s="121"/>
    </row>
    <row r="150" spans="1:13" ht="13.2">
      <c r="A150" s="48"/>
      <c r="B150" s="48"/>
      <c r="C150" s="56"/>
      <c r="D150" s="308" t="s">
        <v>248</v>
      </c>
      <c r="E150" s="286"/>
      <c r="F150" s="286"/>
      <c r="G150" s="286"/>
      <c r="H150" s="56"/>
      <c r="I150" s="56">
        <f t="shared" si="1"/>
        <v>0</v>
      </c>
      <c r="J150" s="309" t="s">
        <v>249</v>
      </c>
      <c r="K150" s="286"/>
      <c r="L150" s="286"/>
      <c r="M150" s="286"/>
    </row>
    <row r="151" spans="1:13" ht="13.2">
      <c r="A151" s="121"/>
      <c r="B151" s="121"/>
      <c r="C151" s="123"/>
      <c r="D151" s="123"/>
      <c r="E151" s="123"/>
      <c r="F151" s="123"/>
      <c r="G151" s="123"/>
      <c r="H151" s="123"/>
      <c r="I151" s="123">
        <f t="shared" si="1"/>
        <v>0</v>
      </c>
      <c r="J151" s="123"/>
      <c r="K151" s="123"/>
      <c r="L151" s="123"/>
      <c r="M151" s="121"/>
    </row>
    <row r="152" spans="1:13" ht="13.2">
      <c r="A152" s="41" t="s">
        <v>664</v>
      </c>
      <c r="B152" s="126" t="str">
        <f>HYPERLINK("http://codeforces.com/contest/483/problem/C","CF483-D2-C")</f>
        <v>CF483-D2-C</v>
      </c>
      <c r="C152" s="56"/>
      <c r="D152" s="56"/>
      <c r="E152" s="56"/>
      <c r="F152" s="56"/>
      <c r="G152" s="56"/>
      <c r="H152" s="56"/>
      <c r="I152" s="35">
        <f t="shared" ref="I152:I200" si="2">SUM(E152:H152)</f>
        <v>0</v>
      </c>
      <c r="J152" s="35"/>
      <c r="K152" s="35"/>
      <c r="L152" s="56"/>
      <c r="M152" s="48"/>
    </row>
    <row r="153" spans="1:13" ht="13.2">
      <c r="A153" s="41" t="s">
        <v>665</v>
      </c>
      <c r="B153" s="126" t="str">
        <f>HYPERLINK("http://codeforces.com/contest/136/problem/C","CF136-D2-C")</f>
        <v>CF136-D2-C</v>
      </c>
      <c r="C153" s="56"/>
      <c r="D153" s="56"/>
      <c r="E153" s="56"/>
      <c r="F153" s="56"/>
      <c r="G153" s="56"/>
      <c r="H153" s="56"/>
      <c r="I153" s="35">
        <f t="shared" si="2"/>
        <v>0</v>
      </c>
      <c r="J153" s="35"/>
      <c r="K153" s="35"/>
      <c r="L153" s="56"/>
      <c r="M153" s="48"/>
    </row>
    <row r="154" spans="1:13" ht="13.2">
      <c r="A154" s="41" t="s">
        <v>666</v>
      </c>
      <c r="B154" s="126" t="str">
        <f>HYPERLINK("http://codeforces.com/contest/102/problem/C","CF102-D2-C")</f>
        <v>CF102-D2-C</v>
      </c>
      <c r="C154" s="56"/>
      <c r="D154" s="56"/>
      <c r="E154" s="56"/>
      <c r="F154" s="56"/>
      <c r="G154" s="56"/>
      <c r="H154" s="56"/>
      <c r="I154" s="35">
        <f t="shared" si="2"/>
        <v>0</v>
      </c>
      <c r="J154" s="35"/>
      <c r="K154" s="35"/>
      <c r="L154" s="56"/>
      <c r="M154" s="48"/>
    </row>
    <row r="155" spans="1:13" ht="13.2">
      <c r="A155" s="41" t="s">
        <v>667</v>
      </c>
      <c r="B155" s="126" t="str">
        <f>HYPERLINK("http://codeforces.com/contest/221/problem/C","CF221-D2-C")</f>
        <v>CF221-D2-C</v>
      </c>
      <c r="C155" s="56"/>
      <c r="D155" s="56"/>
      <c r="E155" s="56"/>
      <c r="F155" s="56"/>
      <c r="G155" s="56"/>
      <c r="H155" s="56"/>
      <c r="I155" s="35">
        <f t="shared" si="2"/>
        <v>0</v>
      </c>
      <c r="J155" s="35"/>
      <c r="K155" s="35"/>
      <c r="L155" s="56"/>
      <c r="M155" s="48"/>
    </row>
    <row r="156" spans="1:13" ht="13.2">
      <c r="A156" s="41" t="s">
        <v>668</v>
      </c>
      <c r="B156" s="126" t="str">
        <f>HYPERLINK("http://codeforces.com/contest/581/problem/C","CF581-D2-C")</f>
        <v>CF581-D2-C</v>
      </c>
      <c r="C156" s="56"/>
      <c r="D156" s="56"/>
      <c r="E156" s="56"/>
      <c r="F156" s="56"/>
      <c r="G156" s="56"/>
      <c r="H156" s="56"/>
      <c r="I156" s="35">
        <f t="shared" si="2"/>
        <v>0</v>
      </c>
      <c r="J156" s="35"/>
      <c r="K156" s="35"/>
      <c r="L156" s="56"/>
      <c r="M156" s="48"/>
    </row>
    <row r="157" spans="1:13" ht="13.2">
      <c r="A157" s="41" t="s">
        <v>669</v>
      </c>
      <c r="B157" s="126" t="str">
        <f>HYPERLINK("http://codeforces.com/contest/262/problem/C","CF262-D2-C")</f>
        <v>CF262-D2-C</v>
      </c>
      <c r="C157" s="56"/>
      <c r="D157" s="56"/>
      <c r="E157" s="56"/>
      <c r="F157" s="56"/>
      <c r="G157" s="56"/>
      <c r="H157" s="56"/>
      <c r="I157" s="35">
        <f t="shared" si="2"/>
        <v>0</v>
      </c>
      <c r="J157" s="35"/>
      <c r="K157" s="35"/>
      <c r="L157" s="56"/>
      <c r="M157" s="48"/>
    </row>
    <row r="158" spans="1:13" ht="13.2">
      <c r="A158" s="41" t="s">
        <v>670</v>
      </c>
      <c r="B158" s="126" t="str">
        <f>HYPERLINK("http://codeforces.com/contest/389/problem/C","CF389-D2-C")</f>
        <v>CF389-D2-C</v>
      </c>
      <c r="C158" s="56"/>
      <c r="D158" s="56"/>
      <c r="E158" s="56"/>
      <c r="F158" s="56"/>
      <c r="G158" s="56"/>
      <c r="H158" s="56"/>
      <c r="I158" s="35">
        <f t="shared" si="2"/>
        <v>0</v>
      </c>
      <c r="J158" s="35"/>
      <c r="K158" s="35"/>
      <c r="L158" s="56"/>
      <c r="M158" s="48"/>
    </row>
    <row r="159" spans="1:13" ht="13.2">
      <c r="A159" s="41" t="s">
        <v>671</v>
      </c>
      <c r="B159" s="126" t="str">
        <f>HYPERLINK("http://codeforces.com/contest/218/problem/C","CF218-D2-C")</f>
        <v>CF218-D2-C</v>
      </c>
      <c r="C159" s="56"/>
      <c r="D159" s="56"/>
      <c r="E159" s="56"/>
      <c r="F159" s="56"/>
      <c r="G159" s="56"/>
      <c r="H159" s="56"/>
      <c r="I159" s="35">
        <f t="shared" si="2"/>
        <v>0</v>
      </c>
      <c r="J159" s="35"/>
      <c r="K159" s="35"/>
      <c r="L159" s="56"/>
      <c r="M159" s="48"/>
    </row>
    <row r="160" spans="1:13" ht="13.2">
      <c r="A160" s="41" t="s">
        <v>672</v>
      </c>
      <c r="B160" s="126" t="str">
        <f>HYPERLINK("http://codeforces.com/contest/441/problem/C","CF441-D2-C")</f>
        <v>CF441-D2-C</v>
      </c>
      <c r="C160" s="56"/>
      <c r="D160" s="56"/>
      <c r="E160" s="56"/>
      <c r="F160" s="56"/>
      <c r="G160" s="56"/>
      <c r="H160" s="56"/>
      <c r="I160" s="35">
        <f t="shared" si="2"/>
        <v>0</v>
      </c>
      <c r="J160" s="35"/>
      <c r="K160" s="35"/>
      <c r="L160" s="56"/>
      <c r="M160" s="48"/>
    </row>
    <row r="161" spans="1:13" ht="13.2">
      <c r="A161" s="41" t="s">
        <v>673</v>
      </c>
      <c r="B161" s="126" t="str">
        <f>HYPERLINK("http://codeforces.com/contest/271/problem/C","CF271-D2-C")</f>
        <v>CF271-D2-C</v>
      </c>
      <c r="C161" s="56"/>
      <c r="D161" s="56"/>
      <c r="E161" s="56"/>
      <c r="F161" s="56"/>
      <c r="G161" s="56"/>
      <c r="H161" s="56"/>
      <c r="I161" s="35">
        <f t="shared" si="2"/>
        <v>0</v>
      </c>
      <c r="J161" s="35"/>
      <c r="K161" s="35"/>
      <c r="L161" s="56"/>
      <c r="M161" s="48"/>
    </row>
    <row r="162" spans="1:13" ht="13.2">
      <c r="A162" s="41" t="s">
        <v>674</v>
      </c>
      <c r="B162" s="148" t="str">
        <f>HYPERLINK("http://www.spoj.com/problems/CERC07K/","SPOJ CERC07K")</f>
        <v>SPOJ CERC07K</v>
      </c>
      <c r="C162" s="10"/>
      <c r="D162" s="10"/>
      <c r="E162" s="10"/>
      <c r="F162" s="10"/>
      <c r="G162" s="10"/>
      <c r="H162" s="10"/>
      <c r="I162" s="56">
        <f t="shared" si="2"/>
        <v>0</v>
      </c>
      <c r="J162" s="10"/>
      <c r="K162" s="10"/>
      <c r="L162" s="10"/>
      <c r="M162" s="10"/>
    </row>
    <row r="163" spans="1:13" ht="13.2">
      <c r="A163" s="41" t="s">
        <v>675</v>
      </c>
      <c r="B163" s="148" t="str">
        <f>HYPERLINK("http://www.spoj.com/problems/CLEANRBT/","SPOJ CLEANRBT")</f>
        <v>SPOJ CLEANRBT</v>
      </c>
      <c r="C163" s="10"/>
      <c r="D163" s="10"/>
      <c r="E163" s="10"/>
      <c r="F163" s="10"/>
      <c r="G163" s="10"/>
      <c r="H163" s="10"/>
      <c r="I163" s="56">
        <f t="shared" si="2"/>
        <v>0</v>
      </c>
      <c r="J163" s="10"/>
      <c r="K163" s="10"/>
      <c r="L163" s="10"/>
      <c r="M163" s="10"/>
    </row>
    <row r="164" spans="1:13" ht="13.2">
      <c r="A164" s="41"/>
      <c r="B164" s="41"/>
      <c r="C164" s="56"/>
      <c r="D164" s="56"/>
      <c r="E164" s="56"/>
      <c r="F164" s="56"/>
      <c r="G164" s="56"/>
      <c r="H164" s="56"/>
      <c r="I164" s="35">
        <f t="shared" si="2"/>
        <v>0</v>
      </c>
      <c r="J164" s="35"/>
      <c r="K164" s="35"/>
      <c r="L164" s="56"/>
      <c r="M164" s="48"/>
    </row>
    <row r="165" spans="1:13" ht="13.2">
      <c r="A165" s="41" t="s">
        <v>676</v>
      </c>
      <c r="B165" s="126" t="str">
        <f>HYPERLINK("http://codeforces.com/contest/701/problem/C","CF701-D2-C")</f>
        <v>CF701-D2-C</v>
      </c>
      <c r="C165" s="56"/>
      <c r="D165" s="56"/>
      <c r="E165" s="56"/>
      <c r="F165" s="56"/>
      <c r="G165" s="56"/>
      <c r="H165" s="56"/>
      <c r="I165" s="35">
        <f t="shared" si="2"/>
        <v>0</v>
      </c>
      <c r="J165" s="35"/>
      <c r="K165" s="35"/>
      <c r="L165" s="56"/>
      <c r="M165" s="48"/>
    </row>
    <row r="166" spans="1:13" ht="13.2">
      <c r="A166" s="41" t="s">
        <v>677</v>
      </c>
      <c r="B166" s="126" t="str">
        <f>HYPERLINK("http://codeforces.com/contest/16/problem/C","CF16-D2-C")</f>
        <v>CF16-D2-C</v>
      </c>
      <c r="C166" s="56"/>
      <c r="D166" s="56"/>
      <c r="E166" s="56"/>
      <c r="F166" s="56"/>
      <c r="G166" s="56"/>
      <c r="H166" s="56"/>
      <c r="I166" s="35">
        <f t="shared" si="2"/>
        <v>0</v>
      </c>
      <c r="J166" s="35"/>
      <c r="K166" s="35"/>
      <c r="L166" s="56"/>
      <c r="M166" s="48"/>
    </row>
    <row r="167" spans="1:13" ht="13.2">
      <c r="A167" s="41" t="s">
        <v>678</v>
      </c>
      <c r="B167" s="126" t="str">
        <f>HYPERLINK("http://codeforces.com/contest/22/problem/C","CF22-D2-C")</f>
        <v>CF22-D2-C</v>
      </c>
      <c r="C167" s="56"/>
      <c r="D167" s="56"/>
      <c r="E167" s="56"/>
      <c r="F167" s="56"/>
      <c r="G167" s="56"/>
      <c r="H167" s="56"/>
      <c r="I167" s="35">
        <f t="shared" si="2"/>
        <v>0</v>
      </c>
      <c r="J167" s="35"/>
      <c r="K167" s="35"/>
      <c r="L167" s="56"/>
      <c r="M167" s="48"/>
    </row>
    <row r="168" spans="1:13" ht="13.2">
      <c r="A168" s="41" t="s">
        <v>679</v>
      </c>
      <c r="B168" s="126" t="str">
        <f>HYPERLINK("http://codeforces.com/contest/122/problem/C","CF122-D2-C")</f>
        <v>CF122-D2-C</v>
      </c>
      <c r="C168" s="56"/>
      <c r="D168" s="56"/>
      <c r="E168" s="56"/>
      <c r="F168" s="56"/>
      <c r="G168" s="56"/>
      <c r="H168" s="56"/>
      <c r="I168" s="35">
        <f t="shared" si="2"/>
        <v>0</v>
      </c>
      <c r="J168" s="35"/>
      <c r="K168" s="35"/>
      <c r="L168" s="56"/>
      <c r="M168" s="48"/>
    </row>
    <row r="169" spans="1:13" ht="13.2">
      <c r="A169" s="41" t="s">
        <v>680</v>
      </c>
      <c r="B169" s="126" t="str">
        <f>HYPERLINK("http://codeforces.com/contest/688/problem/C","CF688-D2-C")</f>
        <v>CF688-D2-C</v>
      </c>
      <c r="C169" s="56"/>
      <c r="D169" s="56"/>
      <c r="E169" s="56"/>
      <c r="F169" s="56"/>
      <c r="G169" s="56"/>
      <c r="H169" s="56"/>
      <c r="I169" s="35">
        <f t="shared" si="2"/>
        <v>0</v>
      </c>
      <c r="J169" s="35"/>
      <c r="K169" s="35"/>
      <c r="L169" s="56"/>
      <c r="M169" s="48"/>
    </row>
    <row r="170" spans="1:13" ht="13.2">
      <c r="A170" s="41" t="s">
        <v>681</v>
      </c>
      <c r="B170" s="126" t="str">
        <f>HYPERLINK("http://codeforces.com/contest/743/problem/C","CF743-D2-C")</f>
        <v>CF743-D2-C</v>
      </c>
      <c r="C170" s="56"/>
      <c r="D170" s="56"/>
      <c r="E170" s="56"/>
      <c r="F170" s="56"/>
      <c r="G170" s="56"/>
      <c r="H170" s="56"/>
      <c r="I170" s="35">
        <f t="shared" si="2"/>
        <v>0</v>
      </c>
      <c r="J170" s="35"/>
      <c r="K170" s="35"/>
      <c r="L170" s="56"/>
      <c r="M170" s="48"/>
    </row>
    <row r="171" spans="1:13" ht="13.2">
      <c r="A171" s="41" t="s">
        <v>682</v>
      </c>
      <c r="B171" s="126" t="str">
        <f>HYPERLINK("http://codeforces.com/contest/556/problem/C","CF556-D2-C")</f>
        <v>CF556-D2-C</v>
      </c>
      <c r="C171" s="56"/>
      <c r="D171" s="56"/>
      <c r="E171" s="56"/>
      <c r="F171" s="56"/>
      <c r="G171" s="56"/>
      <c r="H171" s="56"/>
      <c r="I171" s="35">
        <f t="shared" si="2"/>
        <v>0</v>
      </c>
      <c r="J171" s="35"/>
      <c r="K171" s="35"/>
      <c r="L171" s="56"/>
      <c r="M171" s="48"/>
    </row>
    <row r="172" spans="1:13" ht="13.2">
      <c r="A172" s="41" t="s">
        <v>683</v>
      </c>
      <c r="B172" s="126" t="str">
        <f>HYPERLINK("http://codeforces.com/contest/677/problem/C","CF677-D2-C")</f>
        <v>CF677-D2-C</v>
      </c>
      <c r="C172" s="56"/>
      <c r="D172" s="56"/>
      <c r="E172" s="56"/>
      <c r="F172" s="56"/>
      <c r="G172" s="56"/>
      <c r="H172" s="56"/>
      <c r="I172" s="35">
        <f t="shared" si="2"/>
        <v>0</v>
      </c>
      <c r="J172" s="35"/>
      <c r="K172" s="35"/>
      <c r="L172" s="56"/>
      <c r="M172" s="48"/>
    </row>
    <row r="173" spans="1:13" ht="13.2">
      <c r="A173" s="41" t="s">
        <v>684</v>
      </c>
      <c r="B173" s="126" t="str">
        <f>HYPERLINK("http://codeforces.com/contest/479/problem/C","CF479-D2-C")</f>
        <v>CF479-D2-C</v>
      </c>
      <c r="C173" s="56"/>
      <c r="D173" s="56"/>
      <c r="E173" s="56"/>
      <c r="F173" s="56"/>
      <c r="G173" s="56"/>
      <c r="H173" s="56"/>
      <c r="I173" s="35">
        <f t="shared" si="2"/>
        <v>0</v>
      </c>
      <c r="J173" s="35"/>
      <c r="K173" s="35"/>
      <c r="L173" s="56"/>
      <c r="M173" s="48"/>
    </row>
    <row r="174" spans="1:13" ht="13.2">
      <c r="A174" s="48" t="s">
        <v>685</v>
      </c>
      <c r="B174" s="71" t="str">
        <f>HYPERLINK("http://codeforces.com/contest/456/problem/C","CF456-D2-C")</f>
        <v>CF456-D2-C</v>
      </c>
      <c r="C174" s="10"/>
      <c r="D174" s="10"/>
      <c r="E174" s="10"/>
      <c r="F174" s="10"/>
      <c r="G174" s="10"/>
      <c r="H174" s="10"/>
      <c r="I174" s="56">
        <f t="shared" si="2"/>
        <v>0</v>
      </c>
      <c r="J174" s="10"/>
      <c r="K174" s="10"/>
      <c r="L174" s="10"/>
      <c r="M174" s="10"/>
    </row>
    <row r="175" spans="1:13" ht="13.2">
      <c r="A175" s="48" t="s">
        <v>686</v>
      </c>
      <c r="B175" s="71" t="str">
        <f>HYPERLINK("http://codeforces.com/contest/278/problem/C","CF278-D2-C")</f>
        <v>CF278-D2-C</v>
      </c>
      <c r="C175" s="10"/>
      <c r="D175" s="10"/>
      <c r="E175" s="10"/>
      <c r="F175" s="10"/>
      <c r="G175" s="10"/>
      <c r="H175" s="10"/>
      <c r="I175" s="56">
        <f t="shared" si="2"/>
        <v>0</v>
      </c>
      <c r="J175" s="10"/>
      <c r="K175" s="10"/>
      <c r="L175" s="10"/>
      <c r="M175" s="10"/>
    </row>
    <row r="176" spans="1:13" ht="13.2">
      <c r="A176" s="48" t="s">
        <v>687</v>
      </c>
      <c r="B176" s="71" t="str">
        <f>HYPERLINK("http://codeforces.com/contest/268/problem/C","CF268-D2-C")</f>
        <v>CF268-D2-C</v>
      </c>
      <c r="C176" s="10"/>
      <c r="D176" s="10"/>
      <c r="E176" s="10"/>
      <c r="F176" s="10"/>
      <c r="G176" s="10"/>
      <c r="H176" s="10"/>
      <c r="I176" s="56">
        <f t="shared" si="2"/>
        <v>0</v>
      </c>
      <c r="J176" s="10"/>
      <c r="K176" s="10"/>
      <c r="L176" s="10"/>
      <c r="M176" s="10"/>
    </row>
    <row r="177" spans="1:13" ht="13.2">
      <c r="A177" s="41"/>
      <c r="B177" s="41"/>
      <c r="C177" s="56"/>
      <c r="D177" s="56"/>
      <c r="E177" s="56"/>
      <c r="F177" s="56"/>
      <c r="G177" s="56"/>
      <c r="H177" s="56"/>
      <c r="I177" s="35">
        <f t="shared" si="2"/>
        <v>0</v>
      </c>
      <c r="J177" s="35"/>
      <c r="K177" s="35"/>
      <c r="L177" s="56"/>
      <c r="M177" s="48"/>
    </row>
    <row r="178" spans="1:13" ht="13.2">
      <c r="A178" s="48" t="s">
        <v>688</v>
      </c>
      <c r="B178" s="150" t="str">
        <f>HYPERLINK("https://uva.onlinejudge.org/index.php?option=com_onlinejudge&amp;Itemid=8&amp;page=show_problem&amp;problem=438","UVA 497")</f>
        <v>UVA 497</v>
      </c>
      <c r="C178" s="10"/>
      <c r="D178" s="10"/>
      <c r="E178" s="10"/>
      <c r="F178" s="10"/>
      <c r="G178" s="10"/>
      <c r="H178" s="10"/>
      <c r="I178" s="56">
        <f t="shared" si="2"/>
        <v>0</v>
      </c>
      <c r="J178" s="10"/>
      <c r="K178" s="10"/>
      <c r="L178" s="10"/>
      <c r="M178" s="151" t="s">
        <v>599</v>
      </c>
    </row>
    <row r="179" spans="1:13" ht="13.2">
      <c r="A179" s="48" t="s">
        <v>689</v>
      </c>
      <c r="B179" s="150" t="str">
        <f>HYPERLINK("https://uva.onlinejudge.org/index.php?option=com_onlinejudge&amp;Itemid=8&amp;page=show_problem&amp;problem=1680","UVA 10739")</f>
        <v>UVA 10739</v>
      </c>
      <c r="C179" s="56"/>
      <c r="D179" s="56"/>
      <c r="E179" s="56"/>
      <c r="F179" s="56"/>
      <c r="G179" s="56"/>
      <c r="H179" s="56"/>
      <c r="I179" s="35">
        <f t="shared" si="2"/>
        <v>0</v>
      </c>
      <c r="J179" s="35"/>
      <c r="K179" s="35"/>
      <c r="L179" s="56"/>
      <c r="M179" s="48" t="s">
        <v>599</v>
      </c>
    </row>
    <row r="180" spans="1:13" ht="13.2">
      <c r="A180" s="48" t="s">
        <v>690</v>
      </c>
      <c r="B180" s="150" t="str">
        <f>HYPERLINK("https://uva.onlinejudge.org/index.php?option=onlinejudge&amp;page=show_problem&amp;problem=1760","UVA 10819")</f>
        <v>UVA 10819</v>
      </c>
      <c r="C180" s="10"/>
      <c r="D180" s="10"/>
      <c r="E180" s="10"/>
      <c r="F180" s="10"/>
      <c r="G180" s="10"/>
      <c r="H180" s="10"/>
      <c r="I180" s="56">
        <f t="shared" si="2"/>
        <v>0</v>
      </c>
      <c r="J180" s="10"/>
      <c r="K180" s="10"/>
      <c r="L180" s="10"/>
      <c r="M180" s="10"/>
    </row>
    <row r="181" spans="1:13" ht="13.2">
      <c r="A181" s="48" t="s">
        <v>691</v>
      </c>
      <c r="B181" s="71" t="str">
        <f>HYPERLINK("http://codeforces.com/contest/812/problem/C","CF812-D2-C")</f>
        <v>CF812-D2-C</v>
      </c>
      <c r="C181" s="10"/>
      <c r="D181" s="10"/>
      <c r="E181" s="10"/>
      <c r="F181" s="10"/>
      <c r="G181" s="10"/>
      <c r="H181" s="10"/>
      <c r="I181" s="56">
        <f t="shared" si="2"/>
        <v>0</v>
      </c>
      <c r="J181" s="10"/>
      <c r="K181" s="10"/>
      <c r="L181" s="10"/>
      <c r="M181" s="71" t="str">
        <f>HYPERLINK("https://www.youtube.com/watch?v=SDEpB87Uxpg","Video Solution - Solver to be (Java)")</f>
        <v>Video Solution - Solver to be (Java)</v>
      </c>
    </row>
    <row r="182" spans="1:13" ht="13.2">
      <c r="A182" s="41" t="s">
        <v>692</v>
      </c>
      <c r="B182" s="126" t="str">
        <f>HYPERLINK("http://codeforces.com/contest/330/problem/C","CF330-D2-C")</f>
        <v>CF330-D2-C</v>
      </c>
      <c r="C182" s="56"/>
      <c r="D182" s="56"/>
      <c r="E182" s="56"/>
      <c r="F182" s="56"/>
      <c r="G182" s="56"/>
      <c r="H182" s="56"/>
      <c r="I182" s="35">
        <f t="shared" si="2"/>
        <v>0</v>
      </c>
      <c r="J182" s="35"/>
      <c r="K182" s="35"/>
      <c r="L182" s="56"/>
      <c r="M182" s="48"/>
    </row>
    <row r="183" spans="1:13" ht="13.2">
      <c r="A183" s="41" t="s">
        <v>693</v>
      </c>
      <c r="B183" s="126" t="str">
        <f>HYPERLINK("http://codeforces.com/contest/149/problem/C","CF149-D2-C")</f>
        <v>CF149-D2-C</v>
      </c>
      <c r="C183" s="56"/>
      <c r="D183" s="56"/>
      <c r="E183" s="56"/>
      <c r="F183" s="56"/>
      <c r="G183" s="56"/>
      <c r="H183" s="56"/>
      <c r="I183" s="35">
        <f t="shared" si="2"/>
        <v>0</v>
      </c>
      <c r="J183" s="35"/>
      <c r="K183" s="35"/>
      <c r="L183" s="56"/>
      <c r="M183" s="48"/>
    </row>
    <row r="184" spans="1:13" ht="13.2">
      <c r="A184" s="41" t="s">
        <v>694</v>
      </c>
      <c r="B184" s="126" t="str">
        <f>HYPERLINK("http://codeforces.com/contest/49/problem/C","CF49-D2-C")</f>
        <v>CF49-D2-C</v>
      </c>
      <c r="C184" s="56"/>
      <c r="D184" s="56"/>
      <c r="E184" s="56"/>
      <c r="F184" s="56"/>
      <c r="G184" s="56"/>
      <c r="H184" s="56"/>
      <c r="I184" s="35">
        <f t="shared" si="2"/>
        <v>0</v>
      </c>
      <c r="J184" s="35"/>
      <c r="K184" s="35"/>
      <c r="L184" s="56"/>
      <c r="M184" s="48"/>
    </row>
    <row r="185" spans="1:13" ht="13.2">
      <c r="A185" s="41" t="s">
        <v>695</v>
      </c>
      <c r="B185" s="126" t="str">
        <f>HYPERLINK("http://codeforces.com/contest/415/problem/C","CF415-D2-C")</f>
        <v>CF415-D2-C</v>
      </c>
      <c r="C185" s="56"/>
      <c r="D185" s="56"/>
      <c r="E185" s="56"/>
      <c r="F185" s="56"/>
      <c r="G185" s="56"/>
      <c r="H185" s="56"/>
      <c r="I185" s="35">
        <f t="shared" si="2"/>
        <v>0</v>
      </c>
      <c r="J185" s="35"/>
      <c r="K185" s="35"/>
      <c r="L185" s="56"/>
      <c r="M185" s="48"/>
    </row>
    <row r="186" spans="1:13" ht="13.2">
      <c r="A186" s="41" t="s">
        <v>696</v>
      </c>
      <c r="B186" s="126" t="str">
        <f>HYPERLINK("http://codeforces.com/contest/129/problem/C","CF129-D2-C")</f>
        <v>CF129-D2-C</v>
      </c>
      <c r="C186" s="56"/>
      <c r="D186" s="56"/>
      <c r="E186" s="56"/>
      <c r="F186" s="56"/>
      <c r="G186" s="56"/>
      <c r="H186" s="56"/>
      <c r="I186" s="35">
        <f t="shared" si="2"/>
        <v>0</v>
      </c>
      <c r="J186" s="35"/>
      <c r="K186" s="35"/>
      <c r="L186" s="56"/>
      <c r="M186" s="48"/>
    </row>
    <row r="187" spans="1:13" ht="13.2">
      <c r="A187" s="41" t="s">
        <v>697</v>
      </c>
      <c r="B187" s="126" t="str">
        <f>HYPERLINK("http://codeforces.com/contest/400/problem/C","CF400-D2-C")</f>
        <v>CF400-D2-C</v>
      </c>
      <c r="C187" s="56"/>
      <c r="D187" s="56"/>
      <c r="E187" s="56"/>
      <c r="F187" s="56"/>
      <c r="G187" s="56"/>
      <c r="H187" s="56"/>
      <c r="I187" s="35">
        <f t="shared" si="2"/>
        <v>0</v>
      </c>
      <c r="J187" s="35"/>
      <c r="K187" s="35"/>
      <c r="L187" s="56"/>
      <c r="M187" s="48"/>
    </row>
    <row r="188" spans="1:13" ht="13.2">
      <c r="A188" s="41" t="s">
        <v>698</v>
      </c>
      <c r="B188" s="126" t="str">
        <f>HYPERLINK("http://codeforces.com/contest/144/problem/C","CF144-D2-C")</f>
        <v>CF144-D2-C</v>
      </c>
      <c r="C188" s="56"/>
      <c r="D188" s="56"/>
      <c r="E188" s="56"/>
      <c r="F188" s="56"/>
      <c r="G188" s="56"/>
      <c r="H188" s="56"/>
      <c r="I188" s="35">
        <f t="shared" si="2"/>
        <v>0</v>
      </c>
      <c r="J188" s="35"/>
      <c r="K188" s="35"/>
      <c r="L188" s="56"/>
      <c r="M188" s="48"/>
    </row>
    <row r="189" spans="1:13" ht="13.2">
      <c r="A189" s="41" t="s">
        <v>699</v>
      </c>
      <c r="B189" s="126" t="str">
        <f>HYPERLINK("http://codeforces.com/contest/525/problem/C","CF525-D2-C")</f>
        <v>CF525-D2-C</v>
      </c>
      <c r="C189" s="56"/>
      <c r="D189" s="56"/>
      <c r="E189" s="56"/>
      <c r="F189" s="56"/>
      <c r="G189" s="56"/>
      <c r="H189" s="56"/>
      <c r="I189" s="35">
        <f t="shared" si="2"/>
        <v>0</v>
      </c>
      <c r="J189" s="35"/>
      <c r="K189" s="35"/>
      <c r="L189" s="56"/>
      <c r="M189" s="48"/>
    </row>
    <row r="190" spans="1:13" ht="13.2">
      <c r="A190" s="41" t="s">
        <v>700</v>
      </c>
      <c r="B190" s="126" t="str">
        <f>HYPERLINK("http://codeforces.com/contest/599/problem/C","CF599-D2-C")</f>
        <v>CF599-D2-C</v>
      </c>
      <c r="C190" s="56"/>
      <c r="D190" s="56"/>
      <c r="E190" s="56"/>
      <c r="F190" s="56"/>
      <c r="G190" s="56"/>
      <c r="H190" s="56"/>
      <c r="I190" s="35">
        <f t="shared" si="2"/>
        <v>0</v>
      </c>
      <c r="J190" s="35"/>
      <c r="K190" s="35"/>
      <c r="L190" s="56"/>
      <c r="M190" s="48"/>
    </row>
    <row r="191" spans="1:13" ht="13.2">
      <c r="A191" s="41"/>
      <c r="B191" s="41"/>
      <c r="C191" s="56"/>
      <c r="D191" s="56"/>
      <c r="E191" s="56"/>
      <c r="F191" s="56"/>
      <c r="G191" s="56"/>
      <c r="H191" s="56"/>
      <c r="I191" s="35">
        <f t="shared" si="2"/>
        <v>0</v>
      </c>
      <c r="J191" s="35"/>
      <c r="K191" s="35"/>
      <c r="L191" s="56"/>
      <c r="M191" s="48"/>
    </row>
    <row r="192" spans="1:13" ht="13.2">
      <c r="A192" s="48" t="s">
        <v>701</v>
      </c>
      <c r="B192" s="71" t="str">
        <f>HYPERLINK("http://codeforces.com/contest/462/problem/C","CF462-D2-C")</f>
        <v>CF462-D2-C</v>
      </c>
      <c r="C192" s="10"/>
      <c r="D192" s="10"/>
      <c r="E192" s="10"/>
      <c r="F192" s="10"/>
      <c r="G192" s="10"/>
      <c r="H192" s="10"/>
      <c r="I192" s="56">
        <f t="shared" si="2"/>
        <v>0</v>
      </c>
      <c r="J192" s="10"/>
      <c r="K192" s="10"/>
      <c r="L192" s="10"/>
      <c r="M192" s="71" t="str">
        <f>HYPERLINK("https://github.com/MedoN11/CompetitiveProgramming/blob/master/Atcoder/CF_462C.java","Sol")</f>
        <v>Sol</v>
      </c>
    </row>
    <row r="193" spans="1:13" ht="13.2">
      <c r="A193" s="48" t="s">
        <v>702</v>
      </c>
      <c r="B193" s="71" t="str">
        <f>HYPERLINK("http://codeforces.com/contest/518/problem/C","CF518-D2-C")</f>
        <v>CF518-D2-C</v>
      </c>
      <c r="C193" s="10"/>
      <c r="D193" s="10"/>
      <c r="E193" s="10"/>
      <c r="F193" s="10"/>
      <c r="G193" s="10"/>
      <c r="H193" s="10"/>
      <c r="I193" s="56">
        <f t="shared" si="2"/>
        <v>0</v>
      </c>
      <c r="J193" s="10"/>
      <c r="K193" s="10"/>
      <c r="L193" s="10"/>
      <c r="M193" s="10"/>
    </row>
    <row r="194" spans="1:13" ht="13.2">
      <c r="A194" s="48" t="s">
        <v>703</v>
      </c>
      <c r="B194" s="71" t="str">
        <f>HYPERLINK("http://codeforces.com/contest/276/problem/C","CF276-D2-C")</f>
        <v>CF276-D2-C</v>
      </c>
      <c r="C194" s="10"/>
      <c r="D194" s="10"/>
      <c r="E194" s="10"/>
      <c r="F194" s="10"/>
      <c r="G194" s="10"/>
      <c r="H194" s="10"/>
      <c r="I194" s="56">
        <f t="shared" si="2"/>
        <v>0</v>
      </c>
      <c r="J194" s="10"/>
      <c r="K194" s="10"/>
      <c r="L194" s="10"/>
      <c r="M194" s="10"/>
    </row>
    <row r="195" spans="1:13" ht="13.2">
      <c r="A195" s="48" t="s">
        <v>704</v>
      </c>
      <c r="B195" s="71" t="str">
        <f>HYPERLINK("http://codeforces.com/contest/368/problem/C","CF368-D2-C")</f>
        <v>CF368-D2-C</v>
      </c>
      <c r="C195" s="10"/>
      <c r="D195" s="10"/>
      <c r="E195" s="10"/>
      <c r="F195" s="10"/>
      <c r="G195" s="10"/>
      <c r="H195" s="10"/>
      <c r="I195" s="56">
        <f t="shared" si="2"/>
        <v>0</v>
      </c>
      <c r="J195" s="10"/>
      <c r="K195" s="10"/>
      <c r="L195" s="10"/>
      <c r="M195" s="10"/>
    </row>
    <row r="196" spans="1:13" ht="13.2">
      <c r="A196" s="41" t="s">
        <v>705</v>
      </c>
      <c r="B196" s="126" t="str">
        <f>HYPERLINK("http://codeforces.com/contest/437/problem/C","CF437-D2-C")</f>
        <v>CF437-D2-C</v>
      </c>
      <c r="C196" s="56"/>
      <c r="D196" s="56"/>
      <c r="E196" s="56"/>
      <c r="F196" s="56"/>
      <c r="G196" s="56"/>
      <c r="H196" s="56"/>
      <c r="I196" s="35">
        <f t="shared" si="2"/>
        <v>0</v>
      </c>
      <c r="J196" s="35"/>
      <c r="K196" s="35"/>
      <c r="L196" s="56"/>
      <c r="M196" s="48"/>
    </row>
    <row r="197" spans="1:13" ht="13.2">
      <c r="A197" s="41" t="s">
        <v>706</v>
      </c>
      <c r="B197" s="126" t="str">
        <f>HYPERLINK("http://codeforces.com/contest/318/problem/C","CF318-D2-C")</f>
        <v>CF318-D2-C</v>
      </c>
      <c r="C197" s="56"/>
      <c r="D197" s="56"/>
      <c r="E197" s="56"/>
      <c r="F197" s="56"/>
      <c r="G197" s="56"/>
      <c r="H197" s="56"/>
      <c r="I197" s="35">
        <f t="shared" si="2"/>
        <v>0</v>
      </c>
      <c r="J197" s="35"/>
      <c r="K197" s="35"/>
      <c r="L197" s="56"/>
      <c r="M197" s="48"/>
    </row>
    <row r="198" spans="1:13" ht="13.2">
      <c r="A198" s="41" t="s">
        <v>707</v>
      </c>
      <c r="B198" s="126" t="str">
        <f>HYPERLINK("http://codeforces.com/contest/165/problem/C","CF165-D2-C")</f>
        <v>CF165-D2-C</v>
      </c>
      <c r="C198" s="56"/>
      <c r="D198" s="56"/>
      <c r="E198" s="56"/>
      <c r="F198" s="56"/>
      <c r="G198" s="56"/>
      <c r="H198" s="56"/>
      <c r="I198" s="35">
        <f t="shared" si="2"/>
        <v>0</v>
      </c>
      <c r="J198" s="35"/>
      <c r="K198" s="35"/>
      <c r="L198" s="56"/>
      <c r="M198" s="48"/>
    </row>
    <row r="199" spans="1:13" ht="13.2">
      <c r="A199" s="41" t="s">
        <v>708</v>
      </c>
      <c r="B199" s="126" t="str">
        <f>HYPERLINK("http://codeforces.com/contest/731/problem/C","CF731-D2-C")</f>
        <v>CF731-D2-C</v>
      </c>
      <c r="C199" s="56"/>
      <c r="D199" s="56"/>
      <c r="E199" s="56"/>
      <c r="F199" s="56"/>
      <c r="G199" s="56"/>
      <c r="H199" s="56"/>
      <c r="I199" s="35">
        <f t="shared" si="2"/>
        <v>0</v>
      </c>
      <c r="J199" s="35"/>
      <c r="K199" s="35"/>
      <c r="L199" s="56"/>
      <c r="M199" s="48"/>
    </row>
    <row r="200" spans="1:13" ht="13.2">
      <c r="A200" s="41" t="s">
        <v>709</v>
      </c>
      <c r="B200" s="126" t="str">
        <f>HYPERLINK("http://codeforces.com/contest/369/problem/C","CF369-D2-C")</f>
        <v>CF369-D2-C</v>
      </c>
      <c r="C200" s="56"/>
      <c r="D200" s="56"/>
      <c r="E200" s="56"/>
      <c r="F200" s="56"/>
      <c r="G200" s="56"/>
      <c r="H200" s="56"/>
      <c r="I200" s="35">
        <f t="shared" si="2"/>
        <v>0</v>
      </c>
      <c r="J200" s="35"/>
      <c r="K200" s="35"/>
      <c r="L200" s="56"/>
      <c r="M200" s="48"/>
    </row>
  </sheetData>
  <mergeCells count="2">
    <mergeCell ref="D150:G150"/>
    <mergeCell ref="J150:M150"/>
  </mergeCells>
  <conditionalFormatting sqref="C3:C210">
    <cfRule type="cellIs" dxfId="51" priority="4" operator="equal">
      <formula>"AC"</formula>
    </cfRule>
    <cfRule type="containsText" dxfId="50" priority="5" operator="containsText" text="WA">
      <formula>NOT(ISERROR(SEARCH(("WA"),(C3))))</formula>
    </cfRule>
    <cfRule type="containsText" dxfId="49" priority="7" operator="containsText" text="TLE">
      <formula>NOT(ISERROR(SEARCH(("TLE"),(C3))))</formula>
    </cfRule>
    <cfRule type="containsText" dxfId="48" priority="9" operator="containsText" text="RTE">
      <formula>NOT(ISERROR(SEARCH(("RTE"),(C3))))</formula>
    </cfRule>
    <cfRule type="containsText" dxfId="47" priority="11" operator="containsText" text="CS">
      <formula>NOT(ISERROR(SEARCH(("CS"),(C3))))</formula>
    </cfRule>
  </conditionalFormatting>
  <conditionalFormatting sqref="K3:K148 K152:K200">
    <cfRule type="cellIs" dxfId="46" priority="1" operator="equal">
      <formula>"No"</formula>
    </cfRule>
    <cfRule type="cellIs" dxfId="45" priority="2" operator="equal">
      <formula>"no"</formula>
    </cfRule>
    <cfRule type="cellIs" dxfId="44" priority="3" operator="equal">
      <formula>"NO"</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87" t="s">
        <v>146</v>
      </c>
      <c r="B1" s="87"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88"/>
      <c r="B2" s="48" t="s">
        <v>159</v>
      </c>
      <c r="C2" s="36">
        <f>COUNTIF(C3:C10507, "AC")</f>
        <v>0</v>
      </c>
      <c r="D2" s="36" t="e">
        <f ca="1">ROUND(SUMPRODUCT(D3:D10507,INT(EQ(C3:C10507, "AC")))/MAX(1, C2),1)</f>
        <v>#NAME?</v>
      </c>
      <c r="E2" s="36" t="e">
        <f ca="1">ROUND(SUMPRODUCT(E3:E10529,INT(EQ(C3:C10529, "AC")))/MAX(1, C2),0)</f>
        <v>#NAME?</v>
      </c>
      <c r="F2" s="36" t="e">
        <f ca="1">ROUND(SUMPRODUCT(F3:F10532,INT(EQ(C3:C10532, "AC")))/MAX(1, C2),0)</f>
        <v>#NAME?</v>
      </c>
      <c r="G2" s="36" t="e">
        <f ca="1">ROUND(SUMPRODUCT(G3:G10532,INT(EQ(C3:C10532, "AC")))/MAX(1, C2),0)</f>
        <v>#NAME?</v>
      </c>
      <c r="H2" s="36" t="e">
        <f ca="1">ROUND(SUMPRODUCT(H3:H10532,INT(EQ(C3:C10532, "AC")))/MAX(1, C2),0)</f>
        <v>#NAME?</v>
      </c>
      <c r="I2" s="36" t="e">
        <f ca="1">ROUND(SUMPRODUCT(I3:I10504,INT(EQ(C3:C10504, "AC")))/MAX(1, C2),0)</f>
        <v>#NAME?</v>
      </c>
      <c r="J2" s="36" t="e">
        <f ca="1">ROUND(SUMPRODUCT(J3:J10502,INT(EQ(C3:C10502, "AC")))/MAX(1, C2),1)</f>
        <v>#NAME?</v>
      </c>
      <c r="K2" s="36" t="e">
        <f ca="1">SUMPRODUCT(EQ(K3:K10507, "YES"),INT(EQ(C3:C10532, "AC")))</f>
        <v>#NAME?</v>
      </c>
      <c r="L2" s="37">
        <f ca="1">IFERROR(__xludf.DUMMYFUNCTION("COUNTA(FILTER(C3:C9999, NOT(REGEXMATCH(C3:C9999, ""AC""))))"),0)</f>
        <v>0</v>
      </c>
      <c r="M2" s="38">
        <f ca="1">IFERROR(__xludf.DUMMYFUNCTION("COUNTA(FILTER(C3:C9993, NOT(REGEXMATCH(C3:C9993, ""AC""))))"),0)</f>
        <v>0</v>
      </c>
    </row>
    <row r="3" spans="1:13" ht="15.75" customHeight="1">
      <c r="A3" s="48"/>
      <c r="B3" s="48"/>
      <c r="C3" s="56"/>
      <c r="D3" s="56"/>
      <c r="E3" s="56"/>
      <c r="F3" s="56"/>
      <c r="G3" s="56"/>
      <c r="H3" s="56"/>
      <c r="I3" s="35">
        <f t="shared" ref="I3:I49" si="0">SUM(E3:H3)</f>
        <v>0</v>
      </c>
      <c r="J3" s="35"/>
      <c r="K3" s="35"/>
      <c r="L3" s="56"/>
      <c r="M3" s="92" t="str">
        <f>HYPERLINK("https://www.youtube.com/watch?v=YUIwEX8UEN0","Watch - Thinking - Search Space and Output Analysis")</f>
        <v>Watch - Thinking - Search Space and Output Analysis</v>
      </c>
    </row>
    <row r="4" spans="1:13" ht="15.75" customHeight="1">
      <c r="A4" s="48"/>
      <c r="B4" s="48"/>
      <c r="C4" s="56"/>
      <c r="D4" s="56"/>
      <c r="E4" s="56"/>
      <c r="F4" s="56"/>
      <c r="G4" s="56"/>
      <c r="H4" s="56"/>
      <c r="I4" s="35">
        <f t="shared" si="0"/>
        <v>0</v>
      </c>
      <c r="J4" s="35"/>
      <c r="K4" s="35"/>
      <c r="L4" s="56"/>
      <c r="M4" s="89" t="str">
        <f>HYPERLINK("https://www.youtube.com/watch?v=TP8QXP6PBqM","Watch - Thinking - Observations Discovery ")</f>
        <v xml:space="preserve">Watch - Thinking - Observations Discovery </v>
      </c>
    </row>
    <row r="5" spans="1:13" ht="15.75" customHeight="1">
      <c r="A5" s="48"/>
      <c r="B5" s="48"/>
      <c r="C5" s="56"/>
      <c r="D5" s="56"/>
      <c r="E5" s="56"/>
      <c r="F5" s="56"/>
      <c r="G5" s="56"/>
      <c r="H5" s="56"/>
      <c r="I5" s="35">
        <f t="shared" si="0"/>
        <v>0</v>
      </c>
      <c r="J5" s="35"/>
      <c r="K5" s="35"/>
      <c r="L5" s="56"/>
      <c r="M5" s="89" t="str">
        <f>HYPERLINK("https://www.youtube.com/watch?v=rdUs4FGkgRo","Watch - Game Theory - Intro")</f>
        <v>Watch - Game Theory - Intro</v>
      </c>
    </row>
    <row r="6" spans="1:13" ht="15.75" customHeight="1">
      <c r="A6" s="62" t="s">
        <v>710</v>
      </c>
      <c r="B6" s="107" t="str">
        <f>HYPERLINK("http://codeforces.com/contest/151/problem/C","CF151-D2-C")</f>
        <v>CF151-D2-C</v>
      </c>
      <c r="C6" s="56"/>
      <c r="D6" s="56"/>
      <c r="E6" s="56"/>
      <c r="F6" s="56"/>
      <c r="G6" s="56"/>
      <c r="H6" s="56"/>
      <c r="I6" s="35">
        <f t="shared" si="0"/>
        <v>0</v>
      </c>
      <c r="J6" s="35"/>
      <c r="K6" s="35"/>
      <c r="L6" s="56"/>
      <c r="M6" s="50" t="str">
        <f>HYPERLINK("https://www.youtube.com/watch?v=SY88_vndOgI","Video Solution - Dr Mostafa Saad")</f>
        <v>Video Solution - Dr Mostafa Saad</v>
      </c>
    </row>
    <row r="7" spans="1:13" ht="15.75" customHeight="1">
      <c r="A7" s="62" t="s">
        <v>711</v>
      </c>
      <c r="B7" s="107" t="str">
        <f>HYPERLINK("https://uva.onlinejudge.org/index.php?option=onlinejudge&amp;page=show_problem&amp;problem=1309","UVA 10368")</f>
        <v>UVA 10368</v>
      </c>
      <c r="C7" s="10"/>
      <c r="D7" s="10"/>
      <c r="E7" s="10"/>
      <c r="F7" s="10"/>
      <c r="G7" s="10"/>
      <c r="H7" s="10"/>
      <c r="I7" s="56">
        <f t="shared" si="0"/>
        <v>0</v>
      </c>
      <c r="J7" s="10"/>
      <c r="K7" s="10"/>
      <c r="L7" s="10"/>
      <c r="M7" s="135" t="str">
        <f>HYPERLINK("https://www.youtube.com/watch?v=86oGEiHeDO0","Video Solution - Eng Moaz Rashad")</f>
        <v>Video Solution - Eng Moaz Rashad</v>
      </c>
    </row>
    <row r="8" spans="1:13" ht="15.75" customHeight="1">
      <c r="A8" s="66" t="s">
        <v>712</v>
      </c>
      <c r="B8" s="96" t="str">
        <f>HYPERLINK("http://www.spoj.com/problems/PIR/","SPOJ PIR")</f>
        <v>SPOJ PIR</v>
      </c>
      <c r="C8" s="56"/>
      <c r="D8" s="56"/>
      <c r="E8" s="56"/>
      <c r="F8" s="56"/>
      <c r="G8" s="56"/>
      <c r="H8" s="56"/>
      <c r="I8" s="35">
        <f t="shared" si="0"/>
        <v>0</v>
      </c>
      <c r="J8" s="35"/>
      <c r="K8" s="35"/>
      <c r="L8" s="56"/>
      <c r="M8" s="126" t="str">
        <f>HYPERLINK("https://github.com/mostafa-saad/MyCompetitiveProgramming/blob/master/SPOJ/SPOJ_PIR.txt","Sol")</f>
        <v>Sol</v>
      </c>
    </row>
    <row r="9" spans="1:13" ht="15.75" customHeight="1">
      <c r="A9" s="66" t="s">
        <v>713</v>
      </c>
      <c r="B9" s="96" t="str">
        <f>HYPERLINK("https://uva.onlinejudge.org/index.php?option=com_onlinejudge&amp;Itemid=8&amp;page=show_problem&amp;problem=49","UVA 113")</f>
        <v>UVA 113</v>
      </c>
      <c r="C9" s="56"/>
      <c r="D9" s="56"/>
      <c r="E9" s="56"/>
      <c r="F9" s="56"/>
      <c r="G9" s="56"/>
      <c r="H9" s="56"/>
      <c r="I9" s="35">
        <f t="shared" si="0"/>
        <v>0</v>
      </c>
      <c r="J9" s="35"/>
      <c r="K9" s="35"/>
      <c r="L9" s="56"/>
      <c r="M9" s="152" t="str">
        <f>HYPERLINK("https://github.com/magdy-hasan/competitive-programming/blob/master/uva-/uva%20113%20-%20Power%20of%20Cryptography.cpp","Sol")</f>
        <v>Sol</v>
      </c>
    </row>
    <row r="10" spans="1:13" ht="15.75" customHeight="1">
      <c r="A10" s="66"/>
      <c r="B10" s="66" t="s">
        <v>714</v>
      </c>
      <c r="C10" s="56"/>
      <c r="D10" s="56"/>
      <c r="E10" s="56"/>
      <c r="F10" s="56"/>
      <c r="G10" s="56"/>
      <c r="H10" s="56"/>
      <c r="I10" s="35">
        <f t="shared" si="0"/>
        <v>0</v>
      </c>
      <c r="J10" s="35"/>
      <c r="K10" s="35"/>
      <c r="L10" s="56"/>
      <c r="M10" s="152"/>
    </row>
    <row r="11" spans="1:13" ht="15.75" customHeight="1">
      <c r="A11" s="66" t="s">
        <v>715</v>
      </c>
      <c r="B11" s="127" t="str">
        <f>HYPERLINK("https://uva.onlinejudge.org/index.php?option=onlinejudge&amp;page=show_problem&amp;problem=1403","UVA 10462")</f>
        <v>UVA 10462</v>
      </c>
      <c r="C11" s="56"/>
      <c r="D11" s="56"/>
      <c r="E11" s="56"/>
      <c r="F11" s="56"/>
      <c r="G11" s="56"/>
      <c r="H11" s="56"/>
      <c r="I11" s="35">
        <f t="shared" si="0"/>
        <v>0</v>
      </c>
      <c r="J11" s="10"/>
      <c r="K11" s="10"/>
      <c r="L11" s="10"/>
      <c r="M11" s="113" t="s">
        <v>604</v>
      </c>
    </row>
    <row r="12" spans="1:13" ht="15.75" customHeight="1">
      <c r="A12" s="66"/>
      <c r="B12" s="66" t="s">
        <v>716</v>
      </c>
      <c r="C12" s="56"/>
      <c r="D12" s="56"/>
      <c r="E12" s="56"/>
      <c r="F12" s="56"/>
      <c r="G12" s="56"/>
      <c r="H12" s="56"/>
      <c r="I12" s="35">
        <f t="shared" si="0"/>
        <v>0</v>
      </c>
      <c r="J12" s="10"/>
      <c r="K12" s="10"/>
      <c r="L12" s="10"/>
      <c r="M12" s="10"/>
    </row>
    <row r="13" spans="1:13" ht="15.75" customHeight="1">
      <c r="A13" s="48"/>
      <c r="B13" s="48"/>
      <c r="C13" s="56"/>
      <c r="D13" s="56"/>
      <c r="E13" s="56"/>
      <c r="F13" s="56"/>
      <c r="G13" s="56"/>
      <c r="H13" s="56"/>
      <c r="I13" s="35">
        <f t="shared" si="0"/>
        <v>0</v>
      </c>
      <c r="J13" s="35"/>
      <c r="K13" s="35"/>
      <c r="L13" s="56"/>
      <c r="M13" s="153"/>
    </row>
    <row r="14" spans="1:13" ht="15.75" customHeight="1">
      <c r="A14" s="41" t="s">
        <v>717</v>
      </c>
      <c r="B14" s="126" t="str">
        <f>HYPERLINK("http://codeforces.com/contest/75/problem/C","CF75-D2-C")</f>
        <v>CF75-D2-C</v>
      </c>
      <c r="C14" s="56"/>
      <c r="D14" s="56"/>
      <c r="E14" s="56"/>
      <c r="F14" s="56"/>
      <c r="G14" s="56"/>
      <c r="H14" s="56"/>
      <c r="I14" s="35">
        <f t="shared" si="0"/>
        <v>0</v>
      </c>
      <c r="J14" s="35"/>
      <c r="K14" s="35"/>
      <c r="L14" s="56"/>
      <c r="M14" s="50" t="str">
        <f>HYPERLINK("https://www.youtube.com/watch?v=EZg71v0Z5iE","Video Solution - Dr Mostafa Saad")</f>
        <v>Video Solution - Dr Mostafa Saad</v>
      </c>
    </row>
    <row r="15" spans="1:13" ht="15.75" customHeight="1">
      <c r="A15" s="41" t="s">
        <v>718</v>
      </c>
      <c r="B15" s="126" t="str">
        <f>HYPERLINK("http://codeforces.com/contest/740/problem/C","CF740-D2-C")</f>
        <v>CF740-D2-C</v>
      </c>
      <c r="C15" s="56"/>
      <c r="D15" s="56"/>
      <c r="E15" s="56"/>
      <c r="F15" s="56"/>
      <c r="G15" s="56"/>
      <c r="H15" s="56"/>
      <c r="I15" s="35">
        <f t="shared" si="0"/>
        <v>0</v>
      </c>
      <c r="J15" s="35"/>
      <c r="K15" s="35"/>
      <c r="L15" s="56"/>
      <c r="M15" s="50" t="str">
        <f>HYPERLINK("https://www.youtube.com/watch?v=yDt7GWiPeV4","Video Solution - Dr Mostafa Saad")</f>
        <v>Video Solution - Dr Mostafa Saad</v>
      </c>
    </row>
    <row r="16" spans="1:13" ht="15.75" customHeight="1">
      <c r="A16" s="41" t="s">
        <v>561</v>
      </c>
      <c r="B16" s="126" t="str">
        <f>HYPERLINK("http://codeforces.com/contest/371/problem/C","CF371-D2-C")</f>
        <v>CF371-D2-C</v>
      </c>
      <c r="C16" s="56"/>
      <c r="D16" s="56"/>
      <c r="E16" s="56"/>
      <c r="F16" s="56"/>
      <c r="G16" s="56"/>
      <c r="H16" s="56"/>
      <c r="I16" s="35">
        <f t="shared" si="0"/>
        <v>0</v>
      </c>
      <c r="J16" s="35"/>
      <c r="K16" s="35"/>
      <c r="L16" s="56"/>
      <c r="M16" s="48"/>
    </row>
    <row r="17" spans="1:13" ht="15.75" customHeight="1">
      <c r="A17" s="41" t="s">
        <v>719</v>
      </c>
      <c r="B17" s="126" t="str">
        <f>HYPERLINK("http://codeforces.com/contest/621/problem/C","CF621-D2-C")</f>
        <v>CF621-D2-C</v>
      </c>
      <c r="C17" s="56"/>
      <c r="D17" s="56"/>
      <c r="E17" s="56"/>
      <c r="F17" s="56"/>
      <c r="G17" s="56"/>
      <c r="H17" s="56"/>
      <c r="I17" s="35">
        <f t="shared" si="0"/>
        <v>0</v>
      </c>
      <c r="J17" s="35"/>
      <c r="K17" s="35"/>
      <c r="L17" s="56"/>
      <c r="M17" s="48"/>
    </row>
    <row r="18" spans="1:13" ht="15.75" customHeight="1">
      <c r="A18" s="41" t="s">
        <v>720</v>
      </c>
      <c r="B18" s="126" t="str">
        <f>HYPERLINK("http://codeforces.com/contest/451/problem/C","CF451-D2-C")</f>
        <v>CF451-D2-C</v>
      </c>
      <c r="C18" s="56"/>
      <c r="D18" s="56"/>
      <c r="E18" s="56"/>
      <c r="F18" s="56"/>
      <c r="G18" s="56"/>
      <c r="H18" s="56"/>
      <c r="I18" s="35">
        <f t="shared" si="0"/>
        <v>0</v>
      </c>
      <c r="J18" s="35"/>
      <c r="K18" s="35"/>
      <c r="L18" s="56"/>
    </row>
    <row r="19" spans="1:13" ht="15.75" customHeight="1">
      <c r="A19" s="41" t="s">
        <v>721</v>
      </c>
      <c r="B19" s="148" t="str">
        <f>HYPERLINK("http://codeforces.com/contest/260/problem/C","CF260-D2-C")</f>
        <v>CF260-D2-C</v>
      </c>
      <c r="C19" s="56"/>
      <c r="D19" s="56"/>
      <c r="E19" s="56"/>
      <c r="F19" s="56"/>
      <c r="G19" s="56"/>
      <c r="H19" s="56"/>
      <c r="I19" s="35">
        <f t="shared" si="0"/>
        <v>0</v>
      </c>
      <c r="J19" s="35"/>
      <c r="K19" s="35"/>
      <c r="L19" s="48"/>
      <c r="M19" s="50" t="str">
        <f>HYPERLINK("https://www.youtube.com/watch?v=W3Zp3yqNsOs","Video Solution - Dr Mostafa Saad")</f>
        <v>Video Solution - Dr Mostafa Saad</v>
      </c>
    </row>
    <row r="20" spans="1:13" ht="15.75" customHeight="1">
      <c r="A20" s="41" t="s">
        <v>722</v>
      </c>
      <c r="B20" s="148" t="str">
        <f>HYPERLINK("http://codeforces.com/contest/347/problem/C","CF347-D2-C")</f>
        <v>CF347-D2-C</v>
      </c>
      <c r="C20" s="56"/>
      <c r="D20" s="56"/>
      <c r="E20" s="56"/>
      <c r="F20" s="56"/>
      <c r="G20" s="56"/>
      <c r="H20" s="56"/>
      <c r="I20" s="35">
        <f t="shared" si="0"/>
        <v>0</v>
      </c>
      <c r="J20" s="35"/>
      <c r="K20" s="35"/>
      <c r="L20" s="10"/>
      <c r="M20" s="78" t="str">
        <f>HYPERLINK("https://www.youtube.com/watch?v=CfBk2dwfLaE","Video Solution - Eng Mohamed Nasser")</f>
        <v>Video Solution - Eng Mohamed Nasser</v>
      </c>
    </row>
    <row r="21" spans="1:13" ht="15.75" customHeight="1">
      <c r="A21" s="41" t="s">
        <v>723</v>
      </c>
      <c r="B21" s="45" t="str">
        <f>HYPERLINK("http://codeforces.com/contest/959/problem/C","CF959-D2-C")</f>
        <v>CF959-D2-C</v>
      </c>
      <c r="C21" s="56"/>
      <c r="D21" s="56"/>
      <c r="E21" s="56"/>
      <c r="F21" s="56"/>
      <c r="G21" s="56"/>
      <c r="H21" s="56"/>
      <c r="I21" s="35">
        <f t="shared" si="0"/>
        <v>0</v>
      </c>
      <c r="J21" s="35"/>
      <c r="K21" s="35"/>
      <c r="L21" s="10"/>
      <c r="M21" s="78" t="str">
        <f>HYPERLINK("https://www.youtube.com/watch?v=bvDYHy9ESnY&amp;","Video Solution - Eng Mohamed Salah")</f>
        <v>Video Solution - Eng Mohamed Salah</v>
      </c>
    </row>
    <row r="22" spans="1:13" ht="15.75" customHeight="1">
      <c r="A22" s="41" t="s">
        <v>724</v>
      </c>
      <c r="B22" s="45" t="str">
        <f>HYPERLINK("https://codeforces.com/contest/1206/problem/C","CF1206-D2-C")</f>
        <v>CF1206-D2-C</v>
      </c>
      <c r="C22" s="56"/>
      <c r="D22" s="56"/>
      <c r="E22" s="56"/>
      <c r="F22" s="56"/>
      <c r="G22" s="56"/>
      <c r="H22" s="56"/>
      <c r="I22" s="35">
        <f t="shared" si="0"/>
        <v>0</v>
      </c>
      <c r="J22" s="35"/>
      <c r="K22" s="35"/>
      <c r="L22" s="10"/>
      <c r="M22" s="50" t="str">
        <f>HYPERLINK("https://www.youtube.com/watch?v=7D-8VO66OF8","Video Solution - Dr Mostafa Saad")</f>
        <v>Video Solution - Dr Mostafa Saad</v>
      </c>
    </row>
    <row r="23" spans="1:13" ht="15.75" customHeight="1">
      <c r="A23" s="41"/>
      <c r="B23" s="81" t="str">
        <f>HYPERLINK("https://codeforces.com/contest/1220/problem/C","CF1220-D12-C")</f>
        <v>CF1220-D12-C</v>
      </c>
      <c r="C23" s="56"/>
      <c r="D23" s="56"/>
      <c r="E23" s="56"/>
      <c r="F23" s="56"/>
      <c r="G23" s="56"/>
      <c r="H23" s="56"/>
      <c r="I23" s="35">
        <f t="shared" si="0"/>
        <v>0</v>
      </c>
      <c r="J23" s="35"/>
      <c r="K23" s="35"/>
      <c r="L23" s="10"/>
      <c r="M23" s="10"/>
    </row>
    <row r="24" spans="1:13" ht="15.75" customHeight="1">
      <c r="A24" s="41"/>
      <c r="B24" s="45" t="str">
        <f>HYPERLINK("http://codeforces.com/contest/1065/problem/C","CF1065-D2-C")</f>
        <v>CF1065-D2-C</v>
      </c>
      <c r="C24" s="56"/>
      <c r="D24" s="56"/>
      <c r="E24" s="56"/>
      <c r="F24" s="56"/>
      <c r="G24" s="56"/>
      <c r="H24" s="56"/>
      <c r="I24" s="35">
        <f t="shared" si="0"/>
        <v>0</v>
      </c>
      <c r="J24" s="35"/>
      <c r="K24" s="35"/>
      <c r="L24" s="10"/>
      <c r="M24" s="10"/>
    </row>
    <row r="25" spans="1:13" ht="15.75" customHeight="1">
      <c r="A25" s="41"/>
      <c r="B25" s="45" t="str">
        <f>HYPERLINK("http://codeforces.com/contest/1036/problem/C","CF1036-D2-C")</f>
        <v>CF1036-D2-C</v>
      </c>
      <c r="C25" s="56"/>
      <c r="D25" s="56"/>
      <c r="E25" s="56"/>
      <c r="F25" s="56"/>
      <c r="G25" s="56"/>
      <c r="H25" s="56"/>
      <c r="I25" s="35">
        <f t="shared" si="0"/>
        <v>0</v>
      </c>
      <c r="J25" s="35"/>
      <c r="K25" s="35"/>
      <c r="L25" s="10"/>
      <c r="M25" s="10"/>
    </row>
    <row r="26" spans="1:13" ht="15.75" customHeight="1">
      <c r="A26" s="41"/>
      <c r="B26" s="45" t="str">
        <f>HYPERLINK("https://codeforces.com/contest/1068/problem/C","CF1068-D2-C")</f>
        <v>CF1068-D2-C</v>
      </c>
      <c r="C26" s="56"/>
      <c r="D26" s="56"/>
      <c r="E26" s="56"/>
      <c r="F26" s="56"/>
      <c r="G26" s="56"/>
      <c r="H26" s="56"/>
      <c r="I26" s="35">
        <f t="shared" si="0"/>
        <v>0</v>
      </c>
      <c r="J26" s="35"/>
      <c r="K26" s="35"/>
      <c r="L26" s="10"/>
      <c r="M26" s="10"/>
    </row>
    <row r="27" spans="1:13" ht="15.75" customHeight="1">
      <c r="A27" s="41"/>
      <c r="B27" s="71" t="str">
        <f>HYPERLINK("http://codeforces.com/contest/313/problem/C","CF313-D2-C")</f>
        <v>CF313-D2-C</v>
      </c>
      <c r="C27" s="56"/>
      <c r="D27" s="56"/>
      <c r="E27" s="56"/>
      <c r="F27" s="56"/>
      <c r="G27" s="56"/>
      <c r="H27" s="56"/>
      <c r="I27" s="35">
        <f t="shared" si="0"/>
        <v>0</v>
      </c>
      <c r="J27" s="35"/>
      <c r="K27" s="35"/>
      <c r="L27" s="10"/>
      <c r="M27" s="10"/>
    </row>
    <row r="28" spans="1:13" ht="15.75" customHeight="1">
      <c r="A28" s="129" t="s">
        <v>725</v>
      </c>
      <c r="B28" s="154" t="str">
        <f>HYPERLINK("http://codeforces.com/contest/430/problem/B","CF430-D2-B")</f>
        <v>CF430-D2-B</v>
      </c>
      <c r="C28" s="56"/>
      <c r="D28" s="56"/>
      <c r="E28" s="56"/>
      <c r="F28" s="56"/>
      <c r="G28" s="56"/>
      <c r="H28" s="56"/>
      <c r="I28" s="35">
        <f t="shared" si="0"/>
        <v>0</v>
      </c>
      <c r="J28" s="35"/>
      <c r="K28" s="35"/>
      <c r="L28" s="10"/>
      <c r="M28" s="10"/>
    </row>
    <row r="29" spans="1:13" ht="15.75" customHeight="1">
      <c r="A29" s="129" t="s">
        <v>726</v>
      </c>
      <c r="B29" s="154" t="str">
        <f>HYPERLINK("http://codeforces.com/contest/84/problem/B","CF84-D2-B")</f>
        <v>CF84-D2-B</v>
      </c>
      <c r="C29" s="56"/>
      <c r="D29" s="56"/>
      <c r="E29" s="56"/>
      <c r="F29" s="56"/>
      <c r="G29" s="56"/>
      <c r="H29" s="56"/>
      <c r="I29" s="35">
        <f t="shared" si="0"/>
        <v>0</v>
      </c>
      <c r="J29" s="35"/>
      <c r="K29" s="35"/>
      <c r="L29" s="10"/>
      <c r="M29" s="10"/>
    </row>
    <row r="30" spans="1:13" ht="13.2">
      <c r="A30" s="48"/>
      <c r="B30" s="48"/>
      <c r="C30" s="56"/>
      <c r="D30" s="56"/>
      <c r="E30" s="56"/>
      <c r="F30" s="56"/>
      <c r="G30" s="56"/>
      <c r="H30" s="56"/>
      <c r="I30" s="35">
        <f t="shared" si="0"/>
        <v>0</v>
      </c>
      <c r="J30" s="35"/>
      <c r="K30" s="35"/>
      <c r="L30" s="56"/>
      <c r="M30" s="89" t="str">
        <f>HYPERLINK("https://www.youtube.com/watch?v=fT4JZU5hO58","Watch - Thinking - Misc - Solution Verification - Implementation")</f>
        <v>Watch - Thinking - Misc - Solution Verification - Implementation</v>
      </c>
    </row>
    <row r="31" spans="1:13" ht="13.2">
      <c r="A31" s="48"/>
      <c r="B31" s="48"/>
      <c r="C31" s="56"/>
      <c r="D31" s="56"/>
      <c r="E31" s="56"/>
      <c r="F31" s="56"/>
      <c r="G31" s="56"/>
      <c r="H31" s="56"/>
      <c r="I31" s="35">
        <f t="shared" si="0"/>
        <v>0</v>
      </c>
      <c r="J31" s="35"/>
      <c r="K31" s="35"/>
      <c r="L31" s="56"/>
      <c r="M31" s="93" t="str">
        <f>HYPERLINK("https://www.youtube.com/watch?v=6GzxGabB5MI","Watch - Graph Theory - Dijkstra")</f>
        <v>Watch - Graph Theory - Dijkstra</v>
      </c>
    </row>
    <row r="32" spans="1:13" ht="13.2">
      <c r="A32" s="62" t="s">
        <v>727</v>
      </c>
      <c r="B32" s="131" t="str">
        <f>HYPERLINK("https://uva.onlinejudge.org/index.php?option=com_onlinejudge&amp;Itemid=8&amp;page=show_problem&amp;problem=512","UVA 571")</f>
        <v>UVA 571</v>
      </c>
      <c r="C32" s="56"/>
      <c r="D32" s="56"/>
      <c r="E32" s="56"/>
      <c r="F32" s="56"/>
      <c r="G32" s="56"/>
      <c r="H32" s="56"/>
      <c r="I32" s="35">
        <f t="shared" si="0"/>
        <v>0</v>
      </c>
      <c r="J32" s="35"/>
      <c r="K32" s="35"/>
      <c r="L32" s="10"/>
      <c r="M32" s="141" t="str">
        <f>HYPERLINK("https://www.youtube.com/watch?v=y0J3Jznp3kE","Video Solution - Dr Mostafa Saad")</f>
        <v>Video Solution - Dr Mostafa Saad</v>
      </c>
    </row>
    <row r="33" spans="1:13" ht="13.2">
      <c r="A33" s="62" t="s">
        <v>728</v>
      </c>
      <c r="B33" s="137" t="str">
        <f>HYPERLINK("https://uva.onlinejudge.org/index.php?option=com_onlinejudge&amp;Itemid=8&amp;page=show_problem&amp;problem=1927","UVA 10986")</f>
        <v>UVA 10986</v>
      </c>
      <c r="C33" s="56"/>
      <c r="D33" s="56"/>
      <c r="E33" s="56"/>
      <c r="F33" s="56"/>
      <c r="G33" s="56"/>
      <c r="H33" s="56"/>
      <c r="I33" s="35">
        <f t="shared" si="0"/>
        <v>0</v>
      </c>
      <c r="J33" s="35"/>
      <c r="K33" s="35"/>
      <c r="L33" s="56"/>
      <c r="M33" s="48"/>
    </row>
    <row r="34" spans="1:13" ht="13.2">
      <c r="A34" s="62" t="s">
        <v>729</v>
      </c>
      <c r="B34" s="137" t="str">
        <f>HYPERLINK("https://uva.onlinejudge.org/index.php?option=onlinejudge&amp;page=show_problem&amp;problem=1742","UVA 10801")</f>
        <v>UVA 10801</v>
      </c>
      <c r="C34" s="56"/>
      <c r="D34" s="56"/>
      <c r="E34" s="56"/>
      <c r="F34" s="56"/>
      <c r="G34" s="56"/>
      <c r="H34" s="56"/>
      <c r="I34" s="35">
        <f t="shared" si="0"/>
        <v>0</v>
      </c>
      <c r="J34" s="35"/>
      <c r="K34" s="35"/>
      <c r="L34" s="56"/>
      <c r="M34" s="48"/>
    </row>
    <row r="35" spans="1:13" ht="13.2">
      <c r="A35" s="62" t="s">
        <v>730</v>
      </c>
      <c r="B35" s="137" t="str">
        <f>HYPERLINK("http://www.spoj.com/problems/SHOP/","SPOJ SHOP")</f>
        <v>SPOJ SHOP</v>
      </c>
      <c r="C35" s="56"/>
      <c r="D35" s="56"/>
      <c r="E35" s="56"/>
      <c r="F35" s="56"/>
      <c r="G35" s="56"/>
      <c r="H35" s="56"/>
      <c r="I35" s="35">
        <f t="shared" si="0"/>
        <v>0</v>
      </c>
      <c r="J35" s="35"/>
      <c r="K35" s="35"/>
      <c r="L35" s="56"/>
      <c r="M35" s="48"/>
    </row>
    <row r="36" spans="1:13" ht="13.2">
      <c r="A36" s="66" t="s">
        <v>731</v>
      </c>
      <c r="B36" s="143" t="str">
        <f>HYPERLINK("https://uva.onlinejudge.org/index.php?option=onlinejudge&amp;page=show_problem&amp;problem=813","UVA 872")</f>
        <v>UVA 872</v>
      </c>
      <c r="C36" s="56"/>
      <c r="D36" s="56"/>
      <c r="E36" s="56"/>
      <c r="F36" s="56"/>
      <c r="G36" s="56"/>
      <c r="H36" s="56"/>
      <c r="I36" s="35">
        <f t="shared" si="0"/>
        <v>0</v>
      </c>
      <c r="J36" s="10"/>
      <c r="K36" s="10"/>
      <c r="L36" s="10"/>
      <c r="M36" s="113" t="s">
        <v>604</v>
      </c>
    </row>
    <row r="37" spans="1:13" ht="13.2">
      <c r="A37" s="66"/>
      <c r="B37" s="143" t="str">
        <f>HYPERLINK("https://codeforces.com/contest/1064/problem/C","CF1064-D2-C")</f>
        <v>CF1064-D2-C</v>
      </c>
      <c r="C37" s="56"/>
      <c r="D37" s="56"/>
      <c r="E37" s="56"/>
      <c r="F37" s="56"/>
      <c r="G37" s="56"/>
      <c r="H37" s="56"/>
      <c r="I37" s="35">
        <f t="shared" si="0"/>
        <v>0</v>
      </c>
      <c r="J37" s="10"/>
      <c r="K37" s="10"/>
      <c r="L37" s="10"/>
      <c r="M37" s="10"/>
    </row>
    <row r="38" spans="1:13" ht="13.2">
      <c r="A38" s="66"/>
      <c r="B38" s="143" t="str">
        <f>HYPERLINK("https://codeforces.com/contest/1059/problem/C","CF1059-D2-C")</f>
        <v>CF1059-D2-C</v>
      </c>
      <c r="C38" s="56"/>
      <c r="D38" s="56"/>
      <c r="E38" s="56"/>
      <c r="F38" s="56"/>
      <c r="G38" s="56"/>
      <c r="H38" s="56"/>
      <c r="I38" s="35">
        <f t="shared" si="0"/>
        <v>0</v>
      </c>
      <c r="J38" s="10"/>
      <c r="K38" s="10"/>
      <c r="L38" s="10"/>
      <c r="M38" s="10"/>
    </row>
    <row r="39" spans="1:13" ht="13.2">
      <c r="A39" s="66"/>
      <c r="B39" s="143" t="str">
        <f>HYPERLINK("https://codeforces.com/gym/101933/problem/K","CF101933-GYM-K")</f>
        <v>CF101933-GYM-K</v>
      </c>
      <c r="C39" s="56"/>
      <c r="D39" s="56"/>
      <c r="E39" s="56"/>
      <c r="F39" s="56"/>
      <c r="G39" s="56"/>
      <c r="H39" s="56"/>
      <c r="I39" s="35">
        <f t="shared" si="0"/>
        <v>0</v>
      </c>
      <c r="J39" s="10"/>
      <c r="K39" s="10"/>
      <c r="L39" s="10"/>
      <c r="M39" s="155" t="str">
        <f>HYPERLINK("https://github.com/pranavjangir/CompetitiveProgramming/blob/master/CodeForces/CF101933-GYM-K.cpp","Sol")</f>
        <v>Sol</v>
      </c>
    </row>
    <row r="40" spans="1:13" ht="13.2">
      <c r="A40" s="66" t="s">
        <v>732</v>
      </c>
      <c r="B40" s="134" t="str">
        <f>HYPERLINK("http://codeforces.com/contest/816/problem/B","CF816-D2-B")</f>
        <v>CF816-D2-B</v>
      </c>
      <c r="C40" s="10"/>
      <c r="D40" s="10"/>
      <c r="E40" s="10"/>
      <c r="F40" s="10"/>
      <c r="G40" s="10"/>
      <c r="H40" s="10"/>
      <c r="I40" s="56">
        <f t="shared" si="0"/>
        <v>0</v>
      </c>
      <c r="J40" s="10"/>
      <c r="K40" s="10"/>
      <c r="L40" s="10"/>
      <c r="M40" s="50" t="str">
        <f>HYPERLINK("https://www.youtube.com/watch?v=S0nKXwwWG8Y","Video Solution - Dr Mostafa Saad")</f>
        <v>Video Solution - Dr Mostafa Saad</v>
      </c>
    </row>
    <row r="41" spans="1:13" ht="13.2">
      <c r="A41" s="48"/>
      <c r="B41" s="48"/>
      <c r="C41" s="56"/>
      <c r="D41" s="56"/>
      <c r="E41" s="56"/>
      <c r="F41" s="56"/>
      <c r="G41" s="56"/>
      <c r="H41" s="56"/>
      <c r="I41" s="35">
        <f t="shared" si="0"/>
        <v>0</v>
      </c>
      <c r="J41" s="35"/>
      <c r="K41" s="35"/>
      <c r="L41" s="56"/>
      <c r="M41" s="48"/>
    </row>
    <row r="42" spans="1:13" ht="13.2">
      <c r="A42" s="41" t="s">
        <v>733</v>
      </c>
      <c r="B42" s="126" t="str">
        <f>HYPERLINK("http://codeforces.com/contest/63/problem/C","CF63-D2-C")</f>
        <v>CF63-D2-C</v>
      </c>
      <c r="C42" s="56"/>
      <c r="D42" s="56"/>
      <c r="E42" s="56"/>
      <c r="F42" s="56"/>
      <c r="G42" s="56"/>
      <c r="H42" s="56"/>
      <c r="I42" s="35">
        <f t="shared" si="0"/>
        <v>0</v>
      </c>
      <c r="J42" s="35"/>
      <c r="K42" s="35"/>
      <c r="L42" s="56"/>
      <c r="M42" s="126" t="str">
        <f>HYPERLINK("https://github.com/ilyesG/Competitive-Programming/blob/master/CodeForces/CF63-D2-C.cpp","Sol")</f>
        <v>Sol</v>
      </c>
    </row>
    <row r="43" spans="1:13" ht="13.2">
      <c r="A43" s="41" t="s">
        <v>734</v>
      </c>
      <c r="B43" s="126" t="str">
        <f>HYPERLINK("http://codeforces.com/contest/430/problem/C","CF430-D2-C")</f>
        <v>CF430-D2-C</v>
      </c>
      <c r="C43" s="56"/>
      <c r="D43" s="56"/>
      <c r="E43" s="56"/>
      <c r="F43" s="56"/>
      <c r="G43" s="56"/>
      <c r="H43" s="56"/>
      <c r="I43" s="35">
        <f t="shared" si="0"/>
        <v>0</v>
      </c>
      <c r="J43" s="35"/>
      <c r="K43" s="35"/>
      <c r="L43" s="56"/>
      <c r="M43" s="48"/>
    </row>
    <row r="44" spans="1:13" ht="13.2">
      <c r="A44" s="41" t="s">
        <v>735</v>
      </c>
      <c r="B44" s="126" t="str">
        <f>HYPERLINK("http://codeforces.com/contest/591/problem/C","CF591-D2-C")</f>
        <v>CF591-D2-C</v>
      </c>
      <c r="C44" s="56"/>
      <c r="D44" s="56"/>
      <c r="E44" s="56"/>
      <c r="F44" s="56"/>
      <c r="G44" s="56"/>
      <c r="H44" s="56"/>
      <c r="I44" s="35">
        <f t="shared" si="0"/>
        <v>0</v>
      </c>
      <c r="J44" s="35"/>
      <c r="K44" s="35"/>
      <c r="L44" s="56"/>
      <c r="M44" s="48"/>
    </row>
    <row r="45" spans="1:13" ht="13.2">
      <c r="A45" s="41" t="s">
        <v>736</v>
      </c>
      <c r="B45" s="126" t="str">
        <f>HYPERLINK("http://codeforces.com/contest/711/problem/C","CF711-D2-C")</f>
        <v>CF711-D2-C</v>
      </c>
      <c r="C45" s="56"/>
      <c r="D45" s="56"/>
      <c r="E45" s="56"/>
      <c r="F45" s="56"/>
      <c r="G45" s="56"/>
      <c r="H45" s="56"/>
      <c r="I45" s="35">
        <f t="shared" si="0"/>
        <v>0</v>
      </c>
      <c r="J45" s="35"/>
      <c r="K45" s="35"/>
      <c r="L45" s="56"/>
      <c r="M45" s="50" t="str">
        <f>HYPERLINK("https://www.youtube.com/watch?v=aYERNlE7KLU","Video Solution - Solver to be")</f>
        <v>Video Solution - Solver to be</v>
      </c>
    </row>
    <row r="46" spans="1:13" ht="13.2">
      <c r="A46" s="48" t="s">
        <v>737</v>
      </c>
      <c r="B46" s="71" t="str">
        <f>HYPERLINK("http://codeforces.com/contest/202/problem/C","CF202-D2-C")</f>
        <v>CF202-D2-C</v>
      </c>
      <c r="C46" s="56"/>
      <c r="D46" s="56"/>
      <c r="E46" s="56"/>
      <c r="F46" s="56"/>
      <c r="G46" s="56"/>
      <c r="H46" s="56"/>
      <c r="I46" s="35">
        <f t="shared" si="0"/>
        <v>0</v>
      </c>
      <c r="J46" s="35"/>
      <c r="K46" s="35"/>
      <c r="L46" s="10"/>
      <c r="M46" s="10"/>
    </row>
    <row r="47" spans="1:13" ht="13.2">
      <c r="A47" s="48"/>
      <c r="B47" s="81" t="str">
        <f>HYPERLINK("https://codeforces.com/contest/1237/problem/C2","CF1237-D12-C2")</f>
        <v>CF1237-D12-C2</v>
      </c>
      <c r="C47" s="56"/>
      <c r="D47" s="56"/>
      <c r="E47" s="56"/>
      <c r="F47" s="56"/>
      <c r="G47" s="56"/>
      <c r="H47" s="56"/>
      <c r="I47" s="35">
        <f t="shared" si="0"/>
        <v>0</v>
      </c>
      <c r="J47" s="35"/>
      <c r="K47" s="35"/>
      <c r="L47" s="10"/>
      <c r="M47" s="10"/>
    </row>
    <row r="48" spans="1:13" ht="13.2">
      <c r="A48" s="129" t="s">
        <v>738</v>
      </c>
      <c r="B48" s="25" t="str">
        <f>HYPERLINK("http://codeforces.com/contest/426/problem/B","CF426-D2-B")</f>
        <v>CF426-D2-B</v>
      </c>
      <c r="C48" s="56"/>
      <c r="D48" s="56"/>
      <c r="E48" s="56"/>
      <c r="F48" s="56"/>
      <c r="G48" s="56"/>
      <c r="H48" s="56"/>
      <c r="I48" s="35">
        <f t="shared" si="0"/>
        <v>0</v>
      </c>
      <c r="J48" s="35"/>
      <c r="K48" s="35"/>
      <c r="L48" s="56"/>
      <c r="M48" s="48"/>
    </row>
    <row r="49" spans="1:13" ht="13.2">
      <c r="A49" s="129" t="s">
        <v>739</v>
      </c>
      <c r="B49" s="25" t="str">
        <f>HYPERLINK("http://codeforces.com/contest/675/problem/B","CF675-D2-B")</f>
        <v>CF675-D2-B</v>
      </c>
      <c r="C49" s="56"/>
      <c r="D49" s="56"/>
      <c r="E49" s="56"/>
      <c r="F49" s="56"/>
      <c r="G49" s="56"/>
      <c r="H49" s="56"/>
      <c r="I49" s="35">
        <f t="shared" si="0"/>
        <v>0</v>
      </c>
      <c r="J49" s="35"/>
      <c r="K49" s="35"/>
      <c r="L49" s="56"/>
      <c r="M49" s="48"/>
    </row>
    <row r="50" spans="1:13" ht="13.2">
      <c r="A50" s="48"/>
      <c r="B50" s="48"/>
      <c r="C50" s="56"/>
      <c r="D50" s="56"/>
      <c r="E50" s="56"/>
      <c r="F50" s="56"/>
      <c r="G50" s="56"/>
      <c r="H50" s="56"/>
      <c r="I50" s="35"/>
      <c r="J50" s="35"/>
      <c r="K50" s="35"/>
      <c r="L50" s="56"/>
      <c r="M50" s="92"/>
    </row>
    <row r="51" spans="1:13" ht="13.2">
      <c r="A51" s="48"/>
      <c r="B51" s="48"/>
      <c r="C51" s="56"/>
      <c r="D51" s="56"/>
      <c r="E51" s="56"/>
      <c r="F51" s="56"/>
      <c r="G51" s="56"/>
      <c r="H51" s="56"/>
      <c r="I51" s="35">
        <f t="shared" ref="I51:I154" si="1">SUM(E51:H51)</f>
        <v>0</v>
      </c>
      <c r="J51" s="35"/>
      <c r="K51" s="35"/>
      <c r="L51" s="56"/>
      <c r="M51" s="92" t="str">
        <f>HYPERLINK("https://www.youtube.com/watch?v=k5fDfC9vfWM","Watch - Computational Geometry - Lines Intersections")</f>
        <v>Watch - Computational Geometry - Lines Intersections</v>
      </c>
    </row>
    <row r="52" spans="1:13" ht="13.2">
      <c r="A52" s="62" t="s">
        <v>740</v>
      </c>
      <c r="B52" s="137" t="str">
        <f>HYPERLINK("https://uva.onlinejudge.org/index.php?option=onlinejudge&amp;page=show_problem&amp;problem=678","UVA 737")</f>
        <v>UVA 737</v>
      </c>
      <c r="C52" s="56"/>
      <c r="D52" s="56"/>
      <c r="E52" s="56"/>
      <c r="F52" s="56"/>
      <c r="G52" s="56"/>
      <c r="H52" s="56"/>
      <c r="I52" s="35">
        <f t="shared" si="1"/>
        <v>0</v>
      </c>
      <c r="J52" s="35"/>
      <c r="K52" s="35"/>
      <c r="L52" s="56"/>
      <c r="M52" s="126" t="str">
        <f>HYPERLINK("https://github.com/mostafa-saad/MyCompetitiveProgramming/blob/master/UVA/UVA_737.txt","Sol")</f>
        <v>Sol</v>
      </c>
    </row>
    <row r="53" spans="1:13" ht="13.2">
      <c r="A53" s="62" t="s">
        <v>741</v>
      </c>
      <c r="B53" s="137" t="str">
        <f>HYPERLINK("https://uva.onlinejudge.org/index.php?option=com_onlinejudge&amp;Itemid=8&amp;page=show_problem&amp;problem=807","UVA 866")</f>
        <v>UVA 866</v>
      </c>
      <c r="C53" s="56"/>
      <c r="D53" s="56"/>
      <c r="E53" s="56"/>
      <c r="F53" s="56"/>
      <c r="G53" s="56"/>
      <c r="H53" s="56"/>
      <c r="I53" s="35">
        <f t="shared" si="1"/>
        <v>0</v>
      </c>
      <c r="J53" s="35"/>
      <c r="K53" s="35"/>
      <c r="L53" s="56"/>
      <c r="M53" s="126" t="str">
        <f>HYPERLINK("https://github.com/MeGaCrazy/CompetitiveProgramming/blob/master/UVA/UVA_866.cpp","Sol")</f>
        <v>Sol</v>
      </c>
    </row>
    <row r="54" spans="1:13" ht="13.2">
      <c r="A54" s="48"/>
      <c r="B54" s="48"/>
      <c r="C54" s="56"/>
      <c r="D54" s="56"/>
      <c r="E54" s="56"/>
      <c r="F54" s="56"/>
      <c r="G54" s="56"/>
      <c r="H54" s="56"/>
      <c r="I54" s="35">
        <f t="shared" si="1"/>
        <v>0</v>
      </c>
      <c r="J54" s="35"/>
      <c r="K54" s="35"/>
      <c r="L54" s="56"/>
      <c r="M54" s="92" t="str">
        <f>HYPERLINK("https://www.youtube.com/watch?v=Fa69kqT9NPY","Watch - Computational Geometry - Circles")</f>
        <v>Watch - Computational Geometry - Circles</v>
      </c>
    </row>
    <row r="55" spans="1:13" ht="13.2">
      <c r="A55" s="62" t="s">
        <v>742</v>
      </c>
      <c r="B55" s="137" t="str">
        <f>HYPERLINK("https://uva.onlinejudge.org/index.php?option=onlinejudge&amp;page=show_problem&amp;problem=379","UVA 438")</f>
        <v>UVA 438</v>
      </c>
      <c r="C55" s="56"/>
      <c r="D55" s="56"/>
      <c r="E55" s="56"/>
      <c r="F55" s="56"/>
      <c r="G55" s="56"/>
      <c r="H55" s="56"/>
      <c r="I55" s="35">
        <f t="shared" si="1"/>
        <v>0</v>
      </c>
      <c r="J55" s="35"/>
      <c r="K55" s="35"/>
      <c r="L55" s="56"/>
      <c r="M55" s="126" t="str">
        <f>HYPERLINK("https://github.com/hosamk92/CompetitiveProgramming/blob/master/UVA/UVA%20438.cpp","Sol")</f>
        <v>Sol</v>
      </c>
    </row>
    <row r="56" spans="1:13" ht="13.2">
      <c r="A56" s="62" t="s">
        <v>743</v>
      </c>
      <c r="B56" s="137" t="str">
        <f>HYPERLINK("https://uva.onlinejudge.org/index.php?option=com_onlinejudge&amp;Itemid=8&amp;page=show_problem&amp;problem=418","UVA 477")</f>
        <v>UVA 477</v>
      </c>
      <c r="C56" s="56"/>
      <c r="D56" s="56"/>
      <c r="E56" s="56"/>
      <c r="F56" s="56"/>
      <c r="G56" s="56"/>
      <c r="H56" s="56"/>
      <c r="I56" s="35">
        <f t="shared" si="1"/>
        <v>0</v>
      </c>
      <c r="J56" s="35"/>
      <c r="K56" s="35"/>
      <c r="L56" s="56"/>
      <c r="M56" s="126" t="str">
        <f>HYPERLINK("https://github.com/MeGaCrazy/CompetitiveProgramming/blob/5343b4e1aabd67db25a4864de4eb81eb094709e3/UVA/UVA_477.cpp","Sol")</f>
        <v>Sol</v>
      </c>
    </row>
    <row r="57" spans="1:13" ht="13.2">
      <c r="A57" s="62" t="s">
        <v>744</v>
      </c>
      <c r="B57" s="137" t="str">
        <f>HYPERLINK("https://uva.onlinejudge.org/index.php?option=onlinejudge&amp;page=show_problem&amp;problem=292","UVA 356")</f>
        <v>UVA 356</v>
      </c>
      <c r="C57" s="56"/>
      <c r="D57" s="56"/>
      <c r="E57" s="56"/>
      <c r="F57" s="56"/>
      <c r="G57" s="56"/>
      <c r="H57" s="56"/>
      <c r="I57" s="35">
        <f t="shared" si="1"/>
        <v>0</v>
      </c>
      <c r="J57" s="35"/>
      <c r="K57" s="35"/>
      <c r="L57" s="56"/>
      <c r="M57" s="50" t="str">
        <f>HYPERLINK("https://github.com/AymanSalah96/CompetitiveProgramming/blob/master/UVA/356.cpp","Sol to read")</f>
        <v>Sol to read</v>
      </c>
    </row>
    <row r="58" spans="1:13" ht="13.2">
      <c r="A58" s="62"/>
      <c r="B58" s="156" t="s">
        <v>745</v>
      </c>
      <c r="C58" s="56"/>
      <c r="D58" s="56"/>
      <c r="E58" s="56"/>
      <c r="F58" s="56"/>
      <c r="G58" s="56"/>
      <c r="H58" s="56"/>
      <c r="I58" s="35">
        <f t="shared" si="1"/>
        <v>0</v>
      </c>
      <c r="J58" s="10"/>
      <c r="K58" s="10"/>
      <c r="L58" s="10"/>
      <c r="M58" s="59" t="str">
        <f>HYPERLINK("https://github.com/MeGaCrazy/CompetitiveProgramming/blob/c099628e643065a7bae09af22c4cbce1216e4db9/UVA/UVA_453.cpp","Learn Handling Precisions")</f>
        <v>Learn Handling Precisions</v>
      </c>
    </row>
    <row r="59" spans="1:13" ht="13.2">
      <c r="A59" s="66" t="s">
        <v>746</v>
      </c>
      <c r="B59" s="96" t="str">
        <f>HYPERLINK("https://uva.onlinejudge.org/index.php?option=onlinejudge&amp;page=show_problem&amp;problem=1425","UVA 10484")</f>
        <v>UVA 10484</v>
      </c>
      <c r="C59" s="56"/>
      <c r="D59" s="56"/>
      <c r="E59" s="56"/>
      <c r="F59" s="56"/>
      <c r="G59" s="56"/>
      <c r="H59" s="56"/>
      <c r="I59" s="35">
        <f t="shared" si="1"/>
        <v>0</v>
      </c>
      <c r="J59" s="35"/>
      <c r="K59" s="35"/>
      <c r="L59" s="56"/>
      <c r="M59" s="50" t="str">
        <f>HYPERLINK("https://github.com/mostafa-saad/MyCompetitiveProgramming/blob/master/UVA/UVA_10484.txt","Sol to read")</f>
        <v>Sol to read</v>
      </c>
    </row>
    <row r="60" spans="1:13" ht="13.2">
      <c r="A60" s="66"/>
      <c r="B60" s="66" t="s">
        <v>747</v>
      </c>
      <c r="C60" s="56"/>
      <c r="D60" s="56"/>
      <c r="E60" s="56"/>
      <c r="F60" s="56"/>
      <c r="G60" s="56"/>
      <c r="H60" s="56"/>
      <c r="I60" s="35">
        <f t="shared" si="1"/>
        <v>0</v>
      </c>
      <c r="J60" s="35"/>
      <c r="K60" s="35"/>
      <c r="L60" s="56"/>
      <c r="M60" s="48"/>
    </row>
    <row r="61" spans="1:13" ht="13.2">
      <c r="A61" s="66"/>
      <c r="B61" s="96" t="str">
        <f>HYPERLINK("http://codeforces.com/contest/975/problem/C","CF975-D2-C")</f>
        <v>CF975-D2-C</v>
      </c>
      <c r="C61" s="56"/>
      <c r="D61" s="56"/>
      <c r="E61" s="56"/>
      <c r="F61" s="56"/>
      <c r="G61" s="56"/>
      <c r="H61" s="56"/>
      <c r="I61" s="35">
        <f t="shared" si="1"/>
        <v>0</v>
      </c>
      <c r="J61" s="35"/>
      <c r="K61" s="35"/>
      <c r="L61" s="56"/>
      <c r="M61" s="48"/>
    </row>
    <row r="62" spans="1:13" ht="13.2">
      <c r="A62" s="66"/>
      <c r="B62" s="96" t="str">
        <f>HYPERLINK("http://codeforces.com/contest/1047/problem/C","CF1047-D2-C")</f>
        <v>CF1047-D2-C</v>
      </c>
      <c r="C62" s="56"/>
      <c r="D62" s="56"/>
      <c r="E62" s="56"/>
      <c r="F62" s="56"/>
      <c r="G62" s="56"/>
      <c r="H62" s="56"/>
      <c r="I62" s="35">
        <f t="shared" si="1"/>
        <v>0</v>
      </c>
      <c r="J62" s="35"/>
      <c r="K62" s="35"/>
      <c r="L62" s="56"/>
      <c r="M62" s="48"/>
    </row>
    <row r="63" spans="1:13" ht="13.2">
      <c r="A63" s="66"/>
      <c r="B63" s="96" t="str">
        <f>HYPERLINK("http://codeforces.com/contest/1075/problem/C","CF1075-D2-C")</f>
        <v>CF1075-D2-C</v>
      </c>
      <c r="C63" s="56"/>
      <c r="D63" s="56"/>
      <c r="E63" s="56"/>
      <c r="F63" s="56"/>
      <c r="G63" s="56"/>
      <c r="H63" s="56"/>
      <c r="I63" s="35">
        <f t="shared" si="1"/>
        <v>0</v>
      </c>
      <c r="J63" s="35"/>
      <c r="K63" s="35"/>
      <c r="L63" s="56"/>
      <c r="M63" s="48"/>
    </row>
    <row r="64" spans="1:13" ht="13.2">
      <c r="A64" s="66"/>
      <c r="B64" s="96" t="str">
        <f>HYPERLINK("http://codeforces.com/contest/758/problem/C","CF758-D2-C")</f>
        <v>CF758-D2-C</v>
      </c>
      <c r="C64" s="56"/>
      <c r="D64" s="56"/>
      <c r="E64" s="56"/>
      <c r="F64" s="56"/>
      <c r="G64" s="56"/>
      <c r="H64" s="56"/>
      <c r="I64" s="35">
        <f t="shared" si="1"/>
        <v>0</v>
      </c>
      <c r="J64" s="35"/>
      <c r="K64" s="35"/>
      <c r="L64" s="56"/>
      <c r="M64" s="48"/>
    </row>
    <row r="65" spans="1:13" ht="13.2">
      <c r="A65" s="66"/>
      <c r="B65" s="128" t="s">
        <v>748</v>
      </c>
      <c r="C65" s="56"/>
      <c r="D65" s="56"/>
      <c r="E65" s="56"/>
      <c r="F65" s="56"/>
      <c r="G65" s="56"/>
      <c r="H65" s="56"/>
      <c r="I65" s="35">
        <f t="shared" si="1"/>
        <v>0</v>
      </c>
      <c r="J65" s="35"/>
      <c r="K65" s="35"/>
      <c r="L65" s="56"/>
      <c r="M65" s="157" t="str">
        <f>HYPERLINK("https://www.youtube.com/watch?v=MR5APvYis-o&amp;feature=youtu.be","Video Sol. Also solvable in 2 other ways.")</f>
        <v>Video Sol. Also solvable in 2 other ways.</v>
      </c>
    </row>
    <row r="66" spans="1:13" ht="13.2">
      <c r="A66" s="48"/>
      <c r="B66" s="48"/>
      <c r="C66" s="56"/>
      <c r="D66" s="56"/>
      <c r="E66" s="56"/>
      <c r="F66" s="56"/>
      <c r="G66" s="56"/>
      <c r="H66" s="56"/>
      <c r="I66" s="35">
        <f t="shared" si="1"/>
        <v>0</v>
      </c>
      <c r="J66" s="35"/>
      <c r="K66" s="35"/>
      <c r="L66" s="56"/>
      <c r="M66" s="48"/>
    </row>
    <row r="67" spans="1:13" ht="13.2">
      <c r="A67" s="48" t="s">
        <v>749</v>
      </c>
      <c r="B67" s="71" t="str">
        <f>HYPERLINK("http://codeforces.com/contest/124/problem/C","CF124-D2-C")</f>
        <v>CF124-D2-C</v>
      </c>
      <c r="C67" s="56"/>
      <c r="D67" s="56"/>
      <c r="E67" s="56"/>
      <c r="F67" s="56"/>
      <c r="G67" s="56"/>
      <c r="H67" s="56"/>
      <c r="I67" s="35">
        <f t="shared" si="1"/>
        <v>0</v>
      </c>
      <c r="J67" s="10"/>
      <c r="K67" s="10"/>
      <c r="L67" s="10"/>
      <c r="M67" s="10"/>
    </row>
    <row r="68" spans="1:13" ht="13.2">
      <c r="A68" s="48" t="s">
        <v>750</v>
      </c>
      <c r="B68" s="71" t="str">
        <f>HYPERLINK("http://codeforces.com/contest/155/problem/C","CF155-D2-C")</f>
        <v>CF155-D2-C</v>
      </c>
      <c r="C68" s="56"/>
      <c r="D68" s="56"/>
      <c r="E68" s="56"/>
      <c r="F68" s="56"/>
      <c r="G68" s="56"/>
      <c r="H68" s="56"/>
      <c r="I68" s="35">
        <f t="shared" si="1"/>
        <v>0</v>
      </c>
      <c r="J68" s="10"/>
      <c r="K68" s="10"/>
      <c r="L68" s="10"/>
      <c r="M68" s="10"/>
    </row>
    <row r="69" spans="1:13" ht="13.2">
      <c r="A69" s="41" t="s">
        <v>751</v>
      </c>
      <c r="B69" s="126" t="str">
        <f>HYPERLINK("http://codeforces.com/contest/148/problem/C","CF148-D2-C")</f>
        <v>CF148-D2-C</v>
      </c>
      <c r="C69" s="56"/>
      <c r="D69" s="56"/>
      <c r="E69" s="56"/>
      <c r="F69" s="56"/>
      <c r="G69" s="56"/>
      <c r="H69" s="56"/>
      <c r="I69" s="35">
        <f t="shared" si="1"/>
        <v>0</v>
      </c>
      <c r="J69" s="35"/>
      <c r="K69" s="35"/>
      <c r="L69" s="56"/>
      <c r="M69" s="78" t="str">
        <f>HYPERLINK("https://www.youtube.com/watch?v=BX2HhPefv6g","Video Solution - Eng Mohamed Nasser")</f>
        <v>Video Solution - Eng Mohamed Nasser</v>
      </c>
    </row>
    <row r="70" spans="1:13" ht="13.2">
      <c r="A70" s="41" t="s">
        <v>752</v>
      </c>
      <c r="B70" s="126" t="str">
        <f>HYPERLINK("http://codeforces.com/contest/490/problem/C","CF490-D2-C")</f>
        <v>CF490-D2-C</v>
      </c>
      <c r="C70" s="56"/>
      <c r="D70" s="56"/>
      <c r="E70" s="56"/>
      <c r="F70" s="56"/>
      <c r="G70" s="56"/>
      <c r="H70" s="56"/>
      <c r="I70" s="35">
        <f t="shared" si="1"/>
        <v>0</v>
      </c>
      <c r="J70" s="35"/>
      <c r="K70" s="35"/>
      <c r="L70" s="56"/>
      <c r="M70" s="48"/>
    </row>
    <row r="71" spans="1:13" ht="13.2">
      <c r="A71" s="41" t="s">
        <v>753</v>
      </c>
      <c r="B71" s="126" t="str">
        <f>HYPERLINK("http://codeforces.com/contest/476/problem/C","CF476-D2-C")</f>
        <v>CF476-D2-C</v>
      </c>
      <c r="C71" s="56"/>
      <c r="D71" s="56"/>
      <c r="E71" s="56"/>
      <c r="F71" s="56"/>
      <c r="G71" s="56"/>
      <c r="H71" s="56"/>
      <c r="I71" s="35">
        <f t="shared" si="1"/>
        <v>0</v>
      </c>
      <c r="J71" s="35"/>
      <c r="K71" s="35"/>
      <c r="L71" s="56"/>
      <c r="M71" s="50" t="str">
        <f>HYPERLINK("https://www.youtube.com/watch?v=KS9POnQMfmY","Video Solution - Dr Mostafa Saad")</f>
        <v>Video Solution - Dr Mostafa Saad</v>
      </c>
    </row>
    <row r="72" spans="1:13" ht="13.2">
      <c r="A72" s="41" t="s">
        <v>754</v>
      </c>
      <c r="B72" s="126" t="str">
        <f>HYPERLINK("http://codeforces.com/contest/195/problem/C","CF195-D2-C")</f>
        <v>CF195-D2-C</v>
      </c>
      <c r="C72" s="56"/>
      <c r="D72" s="56"/>
      <c r="E72" s="56"/>
      <c r="F72" s="56"/>
      <c r="G72" s="56"/>
      <c r="H72" s="56"/>
      <c r="I72" s="35">
        <f t="shared" si="1"/>
        <v>0</v>
      </c>
      <c r="J72" s="35"/>
      <c r="K72" s="35"/>
      <c r="L72" s="56"/>
      <c r="M72" s="50" t="str">
        <f>HYPERLINK("https://github.com/mostafa-saad/MyCompetitiveProgramming/blob/master/Codeforces/CF195-D2-C-Ahmed%20Osama.pdf","Editorial - Eng Ahmed Osama")</f>
        <v>Editorial - Eng Ahmed Osama</v>
      </c>
    </row>
    <row r="73" spans="1:13" ht="13.2">
      <c r="A73" s="48" t="s">
        <v>755</v>
      </c>
      <c r="B73" s="71" t="str">
        <f>HYPERLINK("http://codeforces.com/contest/569/problem/C","CF569-D2-C")</f>
        <v>CF569-D2-C</v>
      </c>
      <c r="C73" s="56"/>
      <c r="D73" s="56"/>
      <c r="E73" s="56"/>
      <c r="F73" s="56"/>
      <c r="G73" s="56"/>
      <c r="H73" s="56"/>
      <c r="I73" s="35">
        <f t="shared" si="1"/>
        <v>0</v>
      </c>
      <c r="J73" s="35"/>
      <c r="K73" s="35"/>
      <c r="L73" s="10"/>
      <c r="M73" s="10"/>
    </row>
    <row r="74" spans="1:13" ht="13.2">
      <c r="A74" s="41" t="s">
        <v>756</v>
      </c>
      <c r="B74" s="126" t="str">
        <f>HYPERLINK("http://codeforces.com/contest/257/problem/C","CF257-D2-C")</f>
        <v>CF257-D2-C</v>
      </c>
      <c r="C74" s="56"/>
      <c r="D74" s="56"/>
      <c r="E74" s="56"/>
      <c r="F74" s="56"/>
      <c r="G74" s="56"/>
      <c r="H74" s="56"/>
      <c r="I74" s="35">
        <f t="shared" si="1"/>
        <v>0</v>
      </c>
      <c r="J74" s="35"/>
      <c r="K74" s="35"/>
      <c r="L74" s="56"/>
      <c r="M74" s="50" t="str">
        <f>HYPERLINK("https://github.com/mostafa-saad/MyCompetitiveProgramming/blob/master/Codeforces/CF257-D2-C-AhmedOsama.pdf","Editorial - Eng Ahmed Osama")</f>
        <v>Editorial - Eng Ahmed Osama</v>
      </c>
    </row>
    <row r="75" spans="1:13" ht="13.2">
      <c r="A75" s="129" t="s">
        <v>757</v>
      </c>
      <c r="B75" s="25" t="str">
        <f>HYPERLINK("http://codeforces.com/contest/454/problem/B","CF454-D2-B")</f>
        <v>CF454-D2-B</v>
      </c>
      <c r="C75" s="56"/>
      <c r="D75" s="56"/>
      <c r="E75" s="56"/>
      <c r="F75" s="56"/>
      <c r="G75" s="56"/>
      <c r="H75" s="56"/>
      <c r="I75" s="35">
        <f t="shared" si="1"/>
        <v>0</v>
      </c>
      <c r="J75" s="35"/>
      <c r="K75" s="35"/>
      <c r="L75" s="56"/>
      <c r="M75" s="48"/>
    </row>
    <row r="76" spans="1:13" ht="13.2">
      <c r="A76" s="48"/>
      <c r="B76" s="48"/>
      <c r="C76" s="56"/>
      <c r="D76" s="56"/>
      <c r="E76" s="56"/>
      <c r="F76" s="56"/>
      <c r="G76" s="56"/>
      <c r="H76" s="56"/>
      <c r="I76" s="35">
        <f t="shared" si="1"/>
        <v>0</v>
      </c>
      <c r="J76" s="35"/>
      <c r="K76" s="35"/>
      <c r="L76" s="56"/>
      <c r="M76" s="89" t="str">
        <f>HYPERLINK("https://www.youtube.com/watch?v=uKSLJw0ZUd8","Watch - Thinking - Error Inspection - History - Contest Strategy ")</f>
        <v xml:space="preserve">Watch - Thinking - Error Inspection - History - Contest Strategy </v>
      </c>
    </row>
    <row r="77" spans="1:13" ht="13.2">
      <c r="A77" s="48"/>
      <c r="B77" s="48"/>
      <c r="C77" s="56"/>
      <c r="D77" s="56"/>
      <c r="E77" s="56"/>
      <c r="F77" s="56"/>
      <c r="G77" s="56"/>
      <c r="H77" s="56"/>
      <c r="I77" s="35">
        <f t="shared" si="1"/>
        <v>0</v>
      </c>
      <c r="J77" s="35"/>
      <c r="K77" s="35"/>
      <c r="L77" s="56"/>
      <c r="M77" s="92" t="str">
        <f>HYPERLINK("https://www.youtube.com/watch?v=s3IGwpJwCTA","Watch - DP - Building Output")</f>
        <v>Watch - DP - Building Output</v>
      </c>
    </row>
    <row r="78" spans="1:13" ht="13.2">
      <c r="A78" s="62" t="s">
        <v>758</v>
      </c>
      <c r="B78" s="137" t="str">
        <f>HYPERLINK("https://uva.onlinejudge.org/index.php?option=com_onlinejudge&amp;Itemid=8&amp;page=show_problem&amp;problem=52","UVA 116")</f>
        <v>UVA 116</v>
      </c>
      <c r="C78" s="56"/>
      <c r="D78" s="56"/>
      <c r="E78" s="56"/>
      <c r="F78" s="56"/>
      <c r="G78" s="56"/>
      <c r="H78" s="56"/>
      <c r="I78" s="35">
        <f t="shared" si="1"/>
        <v>0</v>
      </c>
      <c r="J78" s="35"/>
      <c r="K78" s="35"/>
      <c r="L78" s="10"/>
      <c r="M78" s="48"/>
    </row>
    <row r="79" spans="1:13" ht="13.2">
      <c r="A79" s="62" t="s">
        <v>759</v>
      </c>
      <c r="B79" s="137" t="str">
        <f>HYPERLINK("https://uva.onlinejudge.org/index.php?option=com_onlinejudge&amp;Itemid=8&amp;page=show_problem&amp;problem=1394","UVA 10453")</f>
        <v>UVA 10453</v>
      </c>
      <c r="C79" s="56"/>
      <c r="D79" s="56"/>
      <c r="E79" s="56"/>
      <c r="F79" s="56"/>
      <c r="G79" s="56"/>
      <c r="H79" s="56"/>
      <c r="I79" s="35">
        <f t="shared" si="1"/>
        <v>0</v>
      </c>
      <c r="J79" s="35"/>
      <c r="K79" s="35"/>
      <c r="L79" s="56"/>
      <c r="M79" s="126" t="str">
        <f>HYPERLINK("https://github.com/ilyesG/Competitive-Programming/blob/master/UVA/UVA%2010453.cpp","Sol")</f>
        <v>Sol</v>
      </c>
    </row>
    <row r="80" spans="1:13" ht="13.2">
      <c r="A80" s="62" t="s">
        <v>760</v>
      </c>
      <c r="B80" s="137" t="str">
        <f>HYPERLINK("https://uva.onlinejudge.org/index.php?option=com_onlinejudge&amp;Itemid=8&amp;page=show_problem&amp;problem=603","UVA 662")</f>
        <v>UVA 662</v>
      </c>
      <c r="C80" s="56"/>
      <c r="D80" s="56"/>
      <c r="E80" s="56"/>
      <c r="F80" s="56"/>
      <c r="G80" s="56"/>
      <c r="H80" s="56"/>
      <c r="I80" s="35">
        <f t="shared" si="1"/>
        <v>0</v>
      </c>
      <c r="J80" s="35"/>
      <c r="K80" s="35"/>
      <c r="L80" s="56"/>
      <c r="M80" s="48"/>
    </row>
    <row r="81" spans="1:13" ht="13.2">
      <c r="A81" s="62" t="s">
        <v>761</v>
      </c>
      <c r="B81" s="137" t="str">
        <f>HYPERLINK("https://uva.onlinejudge.org/index.php?option=onlinejudge&amp;page=show_problem&amp;problem=2399","UVA 11404")</f>
        <v>UVA 11404</v>
      </c>
      <c r="C81" s="56"/>
      <c r="D81" s="56"/>
      <c r="E81" s="56"/>
      <c r="F81" s="56"/>
      <c r="G81" s="56"/>
      <c r="H81" s="56"/>
      <c r="I81" s="35">
        <f t="shared" si="1"/>
        <v>0</v>
      </c>
      <c r="J81" s="35"/>
      <c r="K81" s="35"/>
      <c r="L81" s="56"/>
      <c r="M81" s="48"/>
    </row>
    <row r="82" spans="1:13" ht="13.2">
      <c r="A82" s="62" t="s">
        <v>762</v>
      </c>
      <c r="B82" s="137" t="str">
        <f>HYPERLINK("https://uva.onlinejudge.org/index.php?option=com_onlinejudge&amp;Itemid=8&amp;page=show_problem&amp;problem=698","UVA 757")</f>
        <v>UVA 757</v>
      </c>
      <c r="C82" s="56"/>
      <c r="D82" s="56"/>
      <c r="E82" s="56"/>
      <c r="F82" s="56"/>
      <c r="G82" s="56"/>
      <c r="H82" s="56"/>
      <c r="I82" s="35">
        <f t="shared" si="1"/>
        <v>0</v>
      </c>
      <c r="J82" s="35"/>
      <c r="K82" s="35"/>
      <c r="L82" s="56"/>
      <c r="M82" s="50" t="str">
        <f>HYPERLINK("https://github.com/magdy-hasan/competitive-programming/blob/master/uva-/uva%20757%20-%20Gone%20Fishing.cpp","Sol to read")</f>
        <v>Sol to read</v>
      </c>
    </row>
    <row r="83" spans="1:13" ht="13.2">
      <c r="A83" s="66" t="s">
        <v>763</v>
      </c>
      <c r="B83" s="67" t="str">
        <f>HYPERLINK("http://codeforces.com/contest/199/problem/B","CF199-D2-B")</f>
        <v>CF199-D2-B</v>
      </c>
      <c r="C83" s="56"/>
      <c r="D83" s="56"/>
      <c r="E83" s="56"/>
      <c r="F83" s="56"/>
      <c r="G83" s="56"/>
      <c r="H83" s="56"/>
      <c r="I83" s="35">
        <f t="shared" si="1"/>
        <v>0</v>
      </c>
      <c r="J83" s="35"/>
      <c r="K83" s="35"/>
      <c r="L83" s="56"/>
      <c r="M83" s="48"/>
    </row>
    <row r="84" spans="1:13" ht="13.2">
      <c r="A84" s="66" t="s">
        <v>764</v>
      </c>
      <c r="B84" s="97" t="str">
        <f>HYPERLINK("https://uva.onlinejudge.org/index.php?option=onlinejudge&amp;page=show_problem&amp;problem=1242","UVA 10301")</f>
        <v>UVA 10301</v>
      </c>
      <c r="C84" s="56"/>
      <c r="D84" s="56"/>
      <c r="E84" s="56"/>
      <c r="F84" s="56"/>
      <c r="G84" s="56"/>
      <c r="H84" s="56"/>
      <c r="I84" s="35">
        <f t="shared" si="1"/>
        <v>0</v>
      </c>
      <c r="J84" s="35"/>
      <c r="K84" s="35"/>
      <c r="L84" s="56"/>
      <c r="M84" s="126" t="str">
        <f>HYPERLINK("https://github.com/MeGaCrazy/CompetitiveProgramming/blob/51252e18803855ed2eacedc50f53b90fe8d184e6/UVA/UVA_10301.cpp","Sol")</f>
        <v>Sol</v>
      </c>
    </row>
    <row r="85" spans="1:13" ht="13.2">
      <c r="A85" s="48"/>
      <c r="B85" s="48"/>
      <c r="C85" s="56"/>
      <c r="D85" s="56"/>
      <c r="E85" s="56"/>
      <c r="F85" s="56"/>
      <c r="G85" s="56"/>
      <c r="H85" s="56"/>
      <c r="I85" s="35">
        <f t="shared" si="1"/>
        <v>0</v>
      </c>
      <c r="J85" s="35"/>
      <c r="K85" s="35"/>
      <c r="L85" s="56"/>
      <c r="M85" s="92" t="str">
        <f>HYPERLINK("https://www.youtube.com/watch?v=lE09Ss_Sy0A","Watch - DP - Counting")</f>
        <v>Watch - DP - Counting</v>
      </c>
    </row>
    <row r="86" spans="1:13" ht="13.2">
      <c r="A86" s="62" t="s">
        <v>765</v>
      </c>
      <c r="B86" s="107" t="str">
        <f>HYPERLINK("http://codeforces.com/contest/431/problem/C","CF431-D2-C")</f>
        <v>CF431-D2-C</v>
      </c>
      <c r="C86" s="56"/>
      <c r="D86" s="56"/>
      <c r="E86" s="56"/>
      <c r="F86" s="56"/>
      <c r="G86" s="56"/>
      <c r="H86" s="56"/>
      <c r="I86" s="35">
        <f t="shared" si="1"/>
        <v>0</v>
      </c>
      <c r="J86" s="35"/>
      <c r="K86" s="35"/>
      <c r="L86" s="10"/>
      <c r="M86" s="50" t="str">
        <f>HYPERLINK("https://www.youtube.com/watch?v=M7UEOmsCxuQ","Video Solution - Solver to be (Java)")</f>
        <v>Video Solution - Solver to be (Java)</v>
      </c>
    </row>
    <row r="87" spans="1:13" ht="13.2">
      <c r="A87" s="158" t="s">
        <v>766</v>
      </c>
      <c r="B87" s="159" t="str">
        <f>HYPERLINK("http://codeforces.com/contest/118/problem/D","CF118-D2-D")</f>
        <v>CF118-D2-D</v>
      </c>
      <c r="C87" s="56"/>
      <c r="D87" s="56"/>
      <c r="E87" s="56"/>
      <c r="F87" s="56"/>
      <c r="G87" s="56"/>
      <c r="H87" s="56"/>
      <c r="I87" s="35">
        <f t="shared" si="1"/>
        <v>0</v>
      </c>
      <c r="J87" s="35"/>
      <c r="K87" s="35"/>
      <c r="L87" s="56"/>
      <c r="M87" s="160"/>
    </row>
    <row r="88" spans="1:13" ht="13.2">
      <c r="A88" s="161" t="str">
        <f>HYPERLINK("https://community.topcoder.com/stat?c=problem_statement&amp;pm=4471&amp;rd=10711","UnsealTheSafe")</f>
        <v>UnsealTheSafe</v>
      </c>
      <c r="B88" s="162" t="s">
        <v>767</v>
      </c>
      <c r="C88" s="56"/>
      <c r="D88" s="56"/>
      <c r="E88" s="56"/>
      <c r="F88" s="56"/>
      <c r="G88" s="56"/>
      <c r="H88" s="56"/>
      <c r="I88" s="35">
        <f t="shared" si="1"/>
        <v>0</v>
      </c>
      <c r="J88" s="35"/>
      <c r="K88" s="35"/>
      <c r="L88" s="56"/>
      <c r="M88" s="160"/>
    </row>
    <row r="89" spans="1:13" ht="13.2">
      <c r="A89" s="107" t="str">
        <f>HYPERLINK("https://community.topcoder.com/stat?c=problem_statement&amp;pm=7601&amp;rd=10673","DiceGames")</f>
        <v>DiceGames</v>
      </c>
      <c r="B89" s="62" t="s">
        <v>768</v>
      </c>
      <c r="C89" s="56"/>
      <c r="D89" s="56"/>
      <c r="E89" s="56"/>
      <c r="F89" s="56"/>
      <c r="G89" s="56"/>
      <c r="H89" s="56"/>
      <c r="I89" s="35">
        <f t="shared" si="1"/>
        <v>0</v>
      </c>
      <c r="J89" s="10"/>
      <c r="K89" s="10"/>
      <c r="L89" s="10"/>
      <c r="M89" s="10"/>
    </row>
    <row r="90" spans="1:13" ht="13.2">
      <c r="A90" s="96"/>
      <c r="B90" s="66" t="s">
        <v>769</v>
      </c>
      <c r="C90" s="56"/>
      <c r="D90" s="56"/>
      <c r="E90" s="56"/>
      <c r="F90" s="56"/>
      <c r="G90" s="56"/>
      <c r="H90" s="56"/>
      <c r="I90" s="35">
        <f t="shared" si="1"/>
        <v>0</v>
      </c>
      <c r="J90" s="35"/>
      <c r="K90" s="35"/>
      <c r="L90" s="56"/>
      <c r="M90" s="126" t="str">
        <f>HYPERLINK("https://github.com/mostafa-saad/MyCompetitiveProgramming/blob/master/SPOJ/SPOJ_TWINSNOW.txt","Sol - text clarification")</f>
        <v>Sol - text clarification</v>
      </c>
    </row>
    <row r="91" spans="1:13" ht="13.2">
      <c r="A91" s="96"/>
      <c r="B91" s="66" t="s">
        <v>770</v>
      </c>
      <c r="C91" s="56"/>
      <c r="D91" s="56"/>
      <c r="E91" s="56"/>
      <c r="F91" s="56"/>
      <c r="G91" s="56"/>
      <c r="H91" s="56"/>
      <c r="I91" s="35">
        <f t="shared" si="1"/>
        <v>0</v>
      </c>
      <c r="J91" s="35"/>
      <c r="K91" s="35"/>
      <c r="L91" s="56"/>
      <c r="M91" s="126" t="str">
        <f>HYPERLINK("https://github.com/mostafa-saad/MyCompetitiveProgramming/blob/master/SPOJ/SPOJ_FACENEMY.txt","Sol")</f>
        <v>Sol</v>
      </c>
    </row>
    <row r="92" spans="1:13" ht="13.2">
      <c r="A92" s="48"/>
      <c r="B92" s="48"/>
      <c r="C92" s="56"/>
      <c r="D92" s="56"/>
      <c r="E92" s="56"/>
      <c r="F92" s="56"/>
      <c r="G92" s="56"/>
      <c r="H92" s="56"/>
      <c r="I92" s="35">
        <f t="shared" si="1"/>
        <v>0</v>
      </c>
      <c r="J92" s="35"/>
      <c r="K92" s="35"/>
      <c r="L92" s="56"/>
      <c r="M92" s="160"/>
    </row>
    <row r="93" spans="1:13" ht="13.2">
      <c r="A93" s="48" t="s">
        <v>771</v>
      </c>
      <c r="B93" s="71" t="str">
        <f>HYPERLINK("http://codeforces.com/contest/465/problem/C","CF465-D2-C")</f>
        <v>CF465-D2-C</v>
      </c>
      <c r="C93" s="56"/>
      <c r="D93" s="56"/>
      <c r="E93" s="56"/>
      <c r="F93" s="56"/>
      <c r="G93" s="56"/>
      <c r="H93" s="56"/>
      <c r="I93" s="35">
        <f t="shared" si="1"/>
        <v>0</v>
      </c>
      <c r="J93" s="10"/>
      <c r="K93" s="10"/>
      <c r="L93" s="10"/>
      <c r="M93" s="10"/>
    </row>
    <row r="94" spans="1:13" ht="13.2">
      <c r="A94" s="48" t="s">
        <v>772</v>
      </c>
      <c r="B94" s="71" t="str">
        <f>HYPERLINK("http://codeforces.com/contest/408/problem/C","CF408-D2-C")</f>
        <v>CF408-D2-C</v>
      </c>
      <c r="C94" s="56"/>
      <c r="D94" s="56"/>
      <c r="E94" s="56"/>
      <c r="F94" s="56"/>
      <c r="G94" s="56"/>
      <c r="H94" s="56"/>
      <c r="I94" s="35">
        <f t="shared" si="1"/>
        <v>0</v>
      </c>
      <c r="J94" s="10"/>
      <c r="K94" s="10"/>
      <c r="L94" s="10"/>
      <c r="M94" s="10"/>
    </row>
    <row r="95" spans="1:13" ht="13.2">
      <c r="A95" s="48" t="s">
        <v>773</v>
      </c>
      <c r="B95" s="71" t="str">
        <f>HYPERLINK("http://codeforces.com/contest/231/problem/C","CF231-D2-C")</f>
        <v>CF231-D2-C</v>
      </c>
      <c r="C95" s="56"/>
      <c r="D95" s="56"/>
      <c r="E95" s="56"/>
      <c r="F95" s="56"/>
      <c r="G95" s="56"/>
      <c r="H95" s="56"/>
      <c r="I95" s="35">
        <f t="shared" si="1"/>
        <v>0</v>
      </c>
      <c r="J95" s="10"/>
      <c r="K95" s="10"/>
      <c r="L95" s="10"/>
      <c r="M95" s="10"/>
    </row>
    <row r="96" spans="1:13" ht="13.2">
      <c r="A96" s="51" t="s">
        <v>774</v>
      </c>
      <c r="B96" s="163" t="str">
        <f>HYPERLINK("http://codeforces.com/contest/466/problem/C","CF466-D2-C")</f>
        <v>CF466-D2-C</v>
      </c>
      <c r="C96" s="56"/>
      <c r="D96" s="56"/>
      <c r="E96" s="56"/>
      <c r="F96" s="56"/>
      <c r="G96" s="56"/>
      <c r="H96" s="56"/>
      <c r="I96" s="35">
        <f t="shared" si="1"/>
        <v>0</v>
      </c>
      <c r="J96" s="35"/>
      <c r="K96" s="35"/>
      <c r="L96" s="56"/>
      <c r="M96" s="50" t="str">
        <f>HYPERLINK("https://www.youtube.com/watch?v=8G06-YDc2-I","Video Solution - Solver to be (Java)")</f>
        <v>Video Solution - Solver to be (Java)</v>
      </c>
    </row>
    <row r="97" spans="1:13" ht="13.2">
      <c r="A97" s="41" t="s">
        <v>628</v>
      </c>
      <c r="B97" s="126" t="str">
        <f>HYPERLINK("http://codeforces.com/contest/141/problem/C","CF141-D2-C")</f>
        <v>CF141-D2-C</v>
      </c>
      <c r="C97" s="56"/>
      <c r="D97" s="56"/>
      <c r="E97" s="56"/>
      <c r="F97" s="56"/>
      <c r="G97" s="56"/>
      <c r="H97" s="56"/>
      <c r="I97" s="35">
        <f t="shared" si="1"/>
        <v>0</v>
      </c>
      <c r="J97" s="35"/>
      <c r="K97" s="35"/>
      <c r="L97" s="56"/>
      <c r="M97" s="48"/>
    </row>
    <row r="98" spans="1:13" ht="13.2">
      <c r="A98" s="41" t="s">
        <v>775</v>
      </c>
      <c r="B98" s="126" t="str">
        <f>HYPERLINK("http://codeforces.com/contest/270/problem/C","CF270-D2-C")</f>
        <v>CF270-D2-C</v>
      </c>
      <c r="C98" s="56"/>
      <c r="D98" s="56"/>
      <c r="E98" s="56"/>
      <c r="F98" s="56"/>
      <c r="G98" s="56"/>
      <c r="H98" s="56"/>
      <c r="I98" s="35">
        <f t="shared" si="1"/>
        <v>0</v>
      </c>
      <c r="J98" s="35"/>
      <c r="K98" s="35"/>
      <c r="L98" s="56"/>
      <c r="M98" s="48"/>
    </row>
    <row r="99" spans="1:13" ht="13.2">
      <c r="A99" s="41" t="s">
        <v>776</v>
      </c>
      <c r="B99" s="126" t="str">
        <f>HYPERLINK("http://codeforces.com/contest/160/problem/C","CF160-D2-C")</f>
        <v>CF160-D2-C</v>
      </c>
      <c r="C99" s="56"/>
      <c r="D99" s="56"/>
      <c r="E99" s="56"/>
      <c r="F99" s="56"/>
      <c r="G99" s="56"/>
      <c r="H99" s="56"/>
      <c r="I99" s="35">
        <f t="shared" si="1"/>
        <v>0</v>
      </c>
      <c r="J99" s="35"/>
      <c r="K99" s="35"/>
      <c r="L99" s="56"/>
      <c r="M99" s="48"/>
    </row>
    <row r="100" spans="1:13" ht="13.2">
      <c r="A100" s="129" t="s">
        <v>777</v>
      </c>
      <c r="B100" s="25" t="str">
        <f>HYPERLINK("http://codeforces.com/contest/384/problem/B","CF384-D2-B")</f>
        <v>CF384-D2-B</v>
      </c>
      <c r="C100" s="56"/>
      <c r="D100" s="56"/>
      <c r="E100" s="56"/>
      <c r="F100" s="56"/>
      <c r="G100" s="56"/>
      <c r="H100" s="56"/>
      <c r="I100" s="35">
        <f t="shared" si="1"/>
        <v>0</v>
      </c>
      <c r="J100" s="35"/>
      <c r="K100" s="35"/>
      <c r="L100" s="56"/>
      <c r="M100" s="48"/>
    </row>
    <row r="101" spans="1:13" ht="13.2">
      <c r="A101" s="129" t="s">
        <v>778</v>
      </c>
      <c r="B101" s="25" t="str">
        <f>HYPERLINK("http://codeforces.com/contest/233/problem/B","CF233-D2-B")</f>
        <v>CF233-D2-B</v>
      </c>
      <c r="C101" s="56"/>
      <c r="D101" s="56"/>
      <c r="E101" s="56"/>
      <c r="F101" s="56"/>
      <c r="G101" s="56"/>
      <c r="H101" s="56"/>
      <c r="I101" s="35">
        <f t="shared" si="1"/>
        <v>0</v>
      </c>
      <c r="J101" s="35"/>
      <c r="K101" s="35"/>
      <c r="L101" s="56"/>
      <c r="M101" s="48"/>
    </row>
    <row r="102" spans="1:13" ht="13.2">
      <c r="A102" s="48"/>
      <c r="B102" s="48"/>
      <c r="C102" s="56"/>
      <c r="D102" s="56"/>
      <c r="E102" s="56"/>
      <c r="F102" s="56"/>
      <c r="G102" s="56"/>
      <c r="H102" s="56"/>
      <c r="I102" s="35">
        <f t="shared" si="1"/>
        <v>0</v>
      </c>
      <c r="J102" s="35"/>
      <c r="K102" s="35"/>
      <c r="L102" s="56"/>
      <c r="M102" s="92" t="str">
        <f>HYPERLINK("https://www.youtube.com/watch?v=f_lt366qTZc","Watch - Thinking - Let's Put All Together ")</f>
        <v xml:space="preserve">Watch - Thinking - Let's Put All Together </v>
      </c>
    </row>
    <row r="103" spans="1:13" ht="13.2">
      <c r="A103" s="48"/>
      <c r="B103" s="48"/>
      <c r="C103" s="56"/>
      <c r="D103" s="56"/>
      <c r="E103" s="56"/>
      <c r="F103" s="56"/>
      <c r="G103" s="56"/>
      <c r="H103" s="56"/>
      <c r="I103" s="35">
        <f t="shared" si="1"/>
        <v>0</v>
      </c>
      <c r="J103" s="35"/>
      <c r="K103" s="35"/>
      <c r="L103" s="56"/>
      <c r="M103" s="92" t="str">
        <f>HYPERLINK("https://www.youtube.com/watch?v=PrXbn8-zw14","Watch - DP - Table Method")</f>
        <v>Watch - DP - Table Method</v>
      </c>
    </row>
    <row r="104" spans="1:13" ht="13.2">
      <c r="A104" s="48"/>
      <c r="B104" s="48"/>
      <c r="C104" s="56"/>
      <c r="D104" s="56"/>
      <c r="E104" s="56"/>
      <c r="F104" s="56"/>
      <c r="G104" s="56"/>
      <c r="H104" s="56"/>
      <c r="I104" s="35">
        <f t="shared" si="1"/>
        <v>0</v>
      </c>
      <c r="J104" s="35"/>
      <c r="K104" s="35"/>
      <c r="L104" s="56"/>
      <c r="M104" s="92" t="str">
        <f>HYPERLINK("https://www.youtube.com/watch?v=ZIJLCVn4KzQ","Watch - Graph Theory - Floyd Warshal")</f>
        <v>Watch - Graph Theory - Floyd Warshal</v>
      </c>
    </row>
    <row r="105" spans="1:13" ht="13.2">
      <c r="A105" s="62" t="s">
        <v>779</v>
      </c>
      <c r="B105" s="137" t="str">
        <f>HYPERLINK("https://uva.onlinejudge.org/index.php?option=com_onlinejudge&amp;Itemid=8&amp;page=show_problem&amp;problem=475","UVA 534")</f>
        <v>UVA 534</v>
      </c>
      <c r="C105" s="56"/>
      <c r="D105" s="56"/>
      <c r="E105" s="56"/>
      <c r="F105" s="56"/>
      <c r="G105" s="56"/>
      <c r="H105" s="56"/>
      <c r="I105" s="35">
        <f t="shared" si="1"/>
        <v>0</v>
      </c>
      <c r="J105" s="35"/>
      <c r="K105" s="35"/>
      <c r="L105" s="56"/>
      <c r="M105" s="126" t="str">
        <f>HYPERLINK("https://github.com/ilyesG/Competitive-Programming/blob/master/UVA/UVA%20534.cpp","Sol")</f>
        <v>Sol</v>
      </c>
    </row>
    <row r="106" spans="1:13" ht="13.2">
      <c r="A106" s="62" t="s">
        <v>780</v>
      </c>
      <c r="B106" s="137" t="str">
        <f>HYPERLINK("https://uva.onlinejudge.org/index.php?option=com_onlinejudge&amp;Itemid=8&amp;page=show_problem&amp;problem=270","UVA 334")</f>
        <v>UVA 334</v>
      </c>
      <c r="C106" s="56"/>
      <c r="D106" s="56"/>
      <c r="E106" s="56"/>
      <c r="F106" s="56"/>
      <c r="G106" s="56"/>
      <c r="H106" s="56"/>
      <c r="I106" s="35">
        <f t="shared" si="1"/>
        <v>0</v>
      </c>
      <c r="J106" s="35"/>
      <c r="K106" s="35"/>
      <c r="L106" s="56"/>
      <c r="M106" s="41"/>
    </row>
    <row r="107" spans="1:13" ht="13.2">
      <c r="A107" s="62" t="s">
        <v>781</v>
      </c>
      <c r="B107" s="137" t="str">
        <f>HYPERLINK("https://uva.onlinejudge.org/index.php?option=onlinejudge&amp;page=show_problem&amp;problem=61","UVA 125")</f>
        <v>UVA 125</v>
      </c>
      <c r="C107" s="56"/>
      <c r="D107" s="56"/>
      <c r="E107" s="56"/>
      <c r="F107" s="56"/>
      <c r="G107" s="56"/>
      <c r="H107" s="56"/>
      <c r="I107" s="35">
        <f t="shared" si="1"/>
        <v>0</v>
      </c>
      <c r="J107" s="35"/>
      <c r="K107" s="35"/>
      <c r="L107" s="56"/>
      <c r="M107" s="126" t="str">
        <f>HYPERLINK("https://github.com/mostafa-saad/MyCompetitiveProgramming/blob/master/UVA/UVA_125.txt","Sol")</f>
        <v>Sol</v>
      </c>
    </row>
    <row r="108" spans="1:13" ht="13.2">
      <c r="A108" s="66" t="s">
        <v>782</v>
      </c>
      <c r="B108" s="164" t="str">
        <f>HYPERLINK("https://uva.onlinejudge.org/index.php?option=com_onlinejudge&amp;Itemid=8&amp;page=show_problem&amp;problem=209","UVA 273")</f>
        <v>UVA 273</v>
      </c>
      <c r="C108" s="56"/>
      <c r="D108" s="56"/>
      <c r="E108" s="56"/>
      <c r="F108" s="56"/>
      <c r="G108" s="56"/>
      <c r="H108" s="56"/>
      <c r="I108" s="35">
        <f t="shared" si="1"/>
        <v>0</v>
      </c>
      <c r="J108" s="10"/>
      <c r="K108" s="10"/>
      <c r="L108" s="10"/>
      <c r="M108" s="126" t="str">
        <f>HYPERLINK("https://github.com/MeGaCrazy/CompetitiveProgramming/blob/6c8e6d79950bbe406f56e3b990159810fcca7431/UVA/UVA_273.cpp","Sol")</f>
        <v>Sol</v>
      </c>
    </row>
    <row r="109" spans="1:13" ht="13.2">
      <c r="A109" s="66" t="s">
        <v>783</v>
      </c>
      <c r="B109" s="96" t="str">
        <f>HYPERLINK("https://uva.onlinejudge.org/index.php?option=onlinejudge&amp;page=show_problem&amp;problem=1041","UVA 10100")</f>
        <v>UVA 10100</v>
      </c>
      <c r="C109" s="56"/>
      <c r="D109" s="56"/>
      <c r="E109" s="56"/>
      <c r="F109" s="56"/>
      <c r="G109" s="56"/>
      <c r="H109" s="56"/>
      <c r="I109" s="35">
        <f t="shared" si="1"/>
        <v>0</v>
      </c>
      <c r="J109" s="35"/>
      <c r="K109" s="35"/>
      <c r="L109" s="56"/>
      <c r="M109" s="139" t="s">
        <v>604</v>
      </c>
    </row>
    <row r="110" spans="1:13" ht="13.2">
      <c r="A110" s="66" t="s">
        <v>784</v>
      </c>
      <c r="B110" s="96" t="str">
        <f>HYPERLINK("https://uva.onlinejudge.org/index.php?option=com_onlinejudge&amp;Itemid=8&amp;page=show_problem&amp;problem=2318","UVA 11343")</f>
        <v>UVA 11343</v>
      </c>
      <c r="C110" s="56"/>
      <c r="D110" s="56"/>
      <c r="E110" s="56"/>
      <c r="F110" s="56"/>
      <c r="G110" s="56"/>
      <c r="H110" s="56"/>
      <c r="I110" s="35">
        <f t="shared" si="1"/>
        <v>0</v>
      </c>
      <c r="J110" s="35"/>
      <c r="K110" s="35"/>
      <c r="L110" s="56"/>
      <c r="M110" s="126" t="str">
        <f>HYPERLINK("https://github.com/hosamk92/CompetitiveProgramming/blob/master/UVA/UVA%2011343.cpp","Sol")</f>
        <v>Sol</v>
      </c>
    </row>
    <row r="111" spans="1:13" ht="13.2">
      <c r="A111" s="66" t="s">
        <v>785</v>
      </c>
      <c r="B111" s="96" t="str">
        <f>HYPERLINK("https://uva.onlinejudge.org/index.php?option=com_onlinejudge&amp;Itemid=8&amp;page=show_problem&amp;problem=1139","UVA 10198")</f>
        <v>UVA 10198</v>
      </c>
      <c r="C111" s="56"/>
      <c r="D111" s="56"/>
      <c r="E111" s="56"/>
      <c r="F111" s="56"/>
      <c r="G111" s="56"/>
      <c r="H111" s="56"/>
      <c r="I111" s="35">
        <f t="shared" si="1"/>
        <v>0</v>
      </c>
      <c r="J111" s="35"/>
      <c r="K111" s="35"/>
      <c r="L111" s="56"/>
      <c r="M111" s="165"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48"/>
      <c r="B112" s="48"/>
      <c r="C112" s="56"/>
      <c r="D112" s="56"/>
      <c r="E112" s="56"/>
      <c r="F112" s="56"/>
      <c r="G112" s="56"/>
      <c r="H112" s="56"/>
      <c r="I112" s="35">
        <f t="shared" si="1"/>
        <v>0</v>
      </c>
      <c r="J112" s="35"/>
      <c r="K112" s="35"/>
      <c r="L112" s="56"/>
      <c r="M112" s="48"/>
    </row>
    <row r="113" spans="1:13" ht="13.2">
      <c r="A113" s="48" t="s">
        <v>786</v>
      </c>
      <c r="B113" s="71" t="str">
        <f>HYPERLINK("http://codeforces.com/contest/349/problem/C","CF349-D2-C")</f>
        <v>CF349-D2-C</v>
      </c>
      <c r="C113" s="56"/>
      <c r="D113" s="56"/>
      <c r="E113" s="56"/>
      <c r="F113" s="56"/>
      <c r="G113" s="56"/>
      <c r="H113" s="56"/>
      <c r="I113" s="35">
        <f t="shared" si="1"/>
        <v>0</v>
      </c>
      <c r="J113" s="10"/>
      <c r="K113" s="10"/>
      <c r="L113" s="10"/>
      <c r="M113" s="10"/>
    </row>
    <row r="114" spans="1:13" ht="13.2">
      <c r="A114" s="48" t="s">
        <v>787</v>
      </c>
      <c r="B114" s="71" t="str">
        <f>HYPERLINK("http://codeforces.com/contest/381/problem/C","CF381-D2-C")</f>
        <v>CF381-D2-C</v>
      </c>
      <c r="C114" s="56"/>
      <c r="D114" s="56"/>
      <c r="E114" s="56"/>
      <c r="F114" s="56"/>
      <c r="G114" s="56"/>
      <c r="H114" s="56"/>
      <c r="I114" s="35">
        <f t="shared" si="1"/>
        <v>0</v>
      </c>
      <c r="J114" s="10"/>
      <c r="K114" s="10"/>
      <c r="L114" s="10"/>
      <c r="M114" s="10"/>
    </row>
    <row r="115" spans="1:13" ht="13.2">
      <c r="A115" s="48" t="s">
        <v>788</v>
      </c>
      <c r="B115" s="71" t="str">
        <f>HYPERLINK("http://codeforces.com/contest/199/problem/C","CF199-D2-C")</f>
        <v>CF199-D2-C</v>
      </c>
      <c r="C115" s="56"/>
      <c r="D115" s="56"/>
      <c r="E115" s="56"/>
      <c r="F115" s="56"/>
      <c r="G115" s="56"/>
      <c r="H115" s="56"/>
      <c r="I115" s="35">
        <f t="shared" si="1"/>
        <v>0</v>
      </c>
      <c r="J115" s="10"/>
      <c r="K115" s="10"/>
      <c r="L115" s="10"/>
      <c r="M115" s="10"/>
    </row>
    <row r="116" spans="1:13" ht="13.2">
      <c r="A116" s="48" t="s">
        <v>789</v>
      </c>
      <c r="B116" s="71" t="str">
        <f>HYPERLINK("http://codeforces.com/contest/520/problem/C","CF520-D2-C")</f>
        <v>CF520-D2-C</v>
      </c>
      <c r="C116" s="56"/>
      <c r="D116" s="56"/>
      <c r="E116" s="56"/>
      <c r="F116" s="56"/>
      <c r="G116" s="56"/>
      <c r="H116" s="56"/>
      <c r="I116" s="35">
        <f t="shared" si="1"/>
        <v>0</v>
      </c>
      <c r="J116" s="10"/>
      <c r="K116" s="10"/>
      <c r="L116" s="10"/>
      <c r="M116" s="10"/>
    </row>
    <row r="117" spans="1:13" ht="13.2">
      <c r="A117" s="48" t="s">
        <v>790</v>
      </c>
      <c r="B117" s="71" t="str">
        <f>HYPERLINK("http://codeforces.com/contest/567/problem/C","CF567-D2-C")</f>
        <v>CF567-D2-C</v>
      </c>
      <c r="C117" s="56"/>
      <c r="D117" s="56"/>
      <c r="E117" s="56"/>
      <c r="F117" s="56"/>
      <c r="G117" s="56"/>
      <c r="H117" s="56"/>
      <c r="I117" s="35">
        <f t="shared" si="1"/>
        <v>0</v>
      </c>
      <c r="J117" s="10"/>
      <c r="K117" s="10"/>
      <c r="L117" s="10"/>
      <c r="M117" s="10"/>
    </row>
    <row r="118" spans="1:13" ht="13.2">
      <c r="A118" s="41" t="s">
        <v>791</v>
      </c>
      <c r="B118" s="126" t="str">
        <f>HYPERLINK("http://codeforces.com/contest/617/problem/C","CF617-D2-C")</f>
        <v>CF617-D2-C</v>
      </c>
      <c r="C118" s="56"/>
      <c r="D118" s="56"/>
      <c r="E118" s="56"/>
      <c r="F118" s="56"/>
      <c r="G118" s="56"/>
      <c r="H118" s="56"/>
      <c r="I118" s="35">
        <f t="shared" si="1"/>
        <v>0</v>
      </c>
      <c r="J118" s="35"/>
      <c r="K118" s="35"/>
      <c r="L118" s="56"/>
      <c r="M118" s="48"/>
    </row>
    <row r="119" spans="1:13" ht="13.2">
      <c r="A119" s="41" t="s">
        <v>792</v>
      </c>
      <c r="B119" s="126" t="str">
        <f>HYPERLINK("http://codeforces.com/contest/337/problem/C","CF337-D2-C")</f>
        <v>CF337-D2-C</v>
      </c>
      <c r="C119" s="56"/>
      <c r="D119" s="56"/>
      <c r="E119" s="56"/>
      <c r="F119" s="56"/>
      <c r="G119" s="56"/>
      <c r="H119" s="56"/>
      <c r="I119" s="35">
        <f t="shared" si="1"/>
        <v>0</v>
      </c>
      <c r="J119" s="35"/>
      <c r="K119" s="35"/>
      <c r="L119" s="56"/>
      <c r="M119" s="48"/>
    </row>
    <row r="120" spans="1:13" ht="13.2">
      <c r="A120" s="129" t="s">
        <v>793</v>
      </c>
      <c r="B120" s="25" t="str">
        <f>HYPERLINK("http://codeforces.com/contest/496/problem/B","CF496-D2-B")</f>
        <v>CF496-D2-B</v>
      </c>
      <c r="C120" s="56"/>
      <c r="D120" s="56"/>
      <c r="E120" s="56"/>
      <c r="F120" s="56"/>
      <c r="G120" s="56"/>
      <c r="H120" s="56"/>
      <c r="I120" s="35">
        <f t="shared" si="1"/>
        <v>0</v>
      </c>
      <c r="J120" s="35"/>
      <c r="K120" s="35"/>
      <c r="L120" s="56"/>
      <c r="M120" s="48"/>
    </row>
    <row r="121" spans="1:13" ht="13.2">
      <c r="A121" s="129" t="s">
        <v>794</v>
      </c>
      <c r="B121" s="25" t="str">
        <f>HYPERLINK("http://codeforces.com/contest/471/problem/B","CF471-D2-B")</f>
        <v>CF471-D2-B</v>
      </c>
      <c r="C121" s="56"/>
      <c r="D121" s="56"/>
      <c r="E121" s="56"/>
      <c r="F121" s="56"/>
      <c r="G121" s="56"/>
      <c r="H121" s="56"/>
      <c r="I121" s="35">
        <f t="shared" si="1"/>
        <v>0</v>
      </c>
      <c r="J121" s="35"/>
      <c r="K121" s="35"/>
      <c r="L121" s="56"/>
      <c r="M121" s="48"/>
    </row>
    <row r="122" spans="1:13" ht="13.2">
      <c r="A122" s="129" t="s">
        <v>795</v>
      </c>
      <c r="B122" s="25" t="str">
        <f>HYPERLINK("http://codeforces.com/contest/146/problem/B","CF146-D2-B")</f>
        <v>CF146-D2-B</v>
      </c>
      <c r="C122" s="56"/>
      <c r="D122" s="56"/>
      <c r="E122" s="56"/>
      <c r="F122" s="56"/>
      <c r="G122" s="56"/>
      <c r="H122" s="56"/>
      <c r="I122" s="35">
        <f t="shared" si="1"/>
        <v>0</v>
      </c>
      <c r="J122" s="35"/>
      <c r="K122" s="35"/>
      <c r="L122" s="56"/>
      <c r="M122" s="48"/>
    </row>
    <row r="123" spans="1:13" ht="13.2">
      <c r="A123" s="41"/>
      <c r="B123" s="41"/>
      <c r="C123" s="56"/>
      <c r="D123" s="56"/>
      <c r="E123" s="56"/>
      <c r="F123" s="56"/>
      <c r="G123" s="56"/>
      <c r="H123" s="56"/>
      <c r="I123" s="35">
        <f t="shared" si="1"/>
        <v>0</v>
      </c>
      <c r="J123" s="35"/>
      <c r="K123" s="35"/>
      <c r="L123" s="56"/>
      <c r="M123" s="48"/>
    </row>
    <row r="124" spans="1:13" ht="13.2">
      <c r="A124" s="41"/>
      <c r="B124" s="41"/>
      <c r="C124" s="56"/>
      <c r="D124" s="56"/>
      <c r="E124" s="56"/>
      <c r="F124" s="56"/>
      <c r="G124" s="56"/>
      <c r="H124" s="56"/>
      <c r="I124" s="35">
        <f t="shared" si="1"/>
        <v>0</v>
      </c>
      <c r="J124" s="35"/>
      <c r="K124" s="35"/>
      <c r="L124" s="56"/>
      <c r="M124" s="92" t="str">
        <f>HYPERLINK("https://www.youtube.com/watch?v=ZNYQrKpR42g","Watch - Measuring Algorithms Perfromance - 2")</f>
        <v>Watch - Measuring Algorithms Perfromance - 2</v>
      </c>
    </row>
    <row r="125" spans="1:13" ht="13.2">
      <c r="A125" s="41"/>
      <c r="B125" s="41"/>
      <c r="C125" s="56"/>
      <c r="D125" s="56"/>
      <c r="E125" s="56"/>
      <c r="F125" s="56"/>
      <c r="G125" s="56"/>
      <c r="H125" s="56"/>
      <c r="I125" s="35">
        <f t="shared" si="1"/>
        <v>0</v>
      </c>
      <c r="J125" s="35"/>
      <c r="K125" s="35"/>
      <c r="L125" s="56"/>
      <c r="M125" s="98" t="str">
        <f>HYPERLINK("https://www.youtube.com/watch?v=RASvnfG2SSE","Watch - Graph Theory - Tree Diameter and Isomorphism")</f>
        <v>Watch - Graph Theory - Tree Diameter and Isomorphism</v>
      </c>
    </row>
    <row r="126" spans="1:13" ht="13.2">
      <c r="A126" s="62" t="s">
        <v>796</v>
      </c>
      <c r="B126" s="107" t="str">
        <f>HYPERLINK("http://www.spoj.com/problems/PT07Z/","SPOJ PT07Z")</f>
        <v>SPOJ PT07Z</v>
      </c>
      <c r="C126" s="56"/>
      <c r="D126" s="56"/>
      <c r="E126" s="56"/>
      <c r="F126" s="56"/>
      <c r="G126" s="56"/>
      <c r="H126" s="56"/>
      <c r="I126" s="35">
        <f t="shared" si="1"/>
        <v>0</v>
      </c>
      <c r="J126" s="35"/>
      <c r="K126" s="35"/>
      <c r="L126" s="56"/>
      <c r="M126" s="126" t="str">
        <f>HYPERLINK("https://github.com/abdullaAshraf/Problem-Solving/blob/master/SPOJ/PT07Z.cpp","Sol")</f>
        <v>Sol</v>
      </c>
    </row>
    <row r="127" spans="1:13" ht="13.2">
      <c r="A127" s="62" t="s">
        <v>797</v>
      </c>
      <c r="B127" s="107" t="str">
        <f>HYPERLINK("https://uva.onlinejudge.org/index.php?option=com_onlinejudge&amp;Itemid=8&amp;page=show_problem&amp;problem=1249","UVA 10308")</f>
        <v>UVA 10308</v>
      </c>
      <c r="C127" s="56"/>
      <c r="D127" s="56"/>
      <c r="E127" s="56"/>
      <c r="F127" s="56"/>
      <c r="G127" s="56"/>
      <c r="H127" s="56"/>
      <c r="I127" s="35">
        <f t="shared" si="1"/>
        <v>0</v>
      </c>
      <c r="J127" s="35"/>
      <c r="K127" s="35"/>
      <c r="L127" s="56"/>
      <c r="M127" s="126" t="str">
        <f>HYPERLINK("https://github.com/ilyesG/Competitive-Programming/blob/master/UVA/UVA%2010308.cpp","Sol")</f>
        <v>Sol</v>
      </c>
    </row>
    <row r="128" spans="1:13" ht="13.2">
      <c r="A128" s="62" t="s">
        <v>798</v>
      </c>
      <c r="B128" s="131" t="str">
        <f>HYPERLINK("https://icpcarchive.ecs.baylor.edu/index.php?option=com_onlinejudge&amp;Itemid=8&amp;page=show_problem&amp;problem=936","LIVEARCHIVE 2935")</f>
        <v>LIVEARCHIVE 2935</v>
      </c>
      <c r="C128" s="56"/>
      <c r="D128" s="56"/>
      <c r="E128" s="56"/>
      <c r="F128" s="56"/>
      <c r="G128" s="56"/>
      <c r="H128" s="56"/>
      <c r="I128" s="35">
        <f t="shared" si="1"/>
        <v>0</v>
      </c>
      <c r="J128" s="35"/>
      <c r="K128" s="35"/>
      <c r="L128" s="56"/>
      <c r="M128" s="126" t="str">
        <f>HYPERLINK("https://github.com/mostafa-saad/MyCompetitiveProgramming/blob/master/LiveArchive/LiveArchive_2935.txt","Sol")</f>
        <v>Sol</v>
      </c>
    </row>
    <row r="129" spans="1:13" ht="13.2">
      <c r="A129" s="41"/>
      <c r="B129" s="41"/>
      <c r="C129" s="56"/>
      <c r="D129" s="56"/>
      <c r="E129" s="56"/>
      <c r="F129" s="56"/>
      <c r="G129" s="56"/>
      <c r="H129" s="56"/>
      <c r="I129" s="35">
        <f t="shared" si="1"/>
        <v>0</v>
      </c>
      <c r="J129" s="35"/>
      <c r="K129" s="35"/>
      <c r="L129" s="56"/>
      <c r="M129" s="48"/>
    </row>
    <row r="130" spans="1:13" ht="13.2">
      <c r="A130" s="48" t="s">
        <v>799</v>
      </c>
      <c r="B130" s="71" t="str">
        <f>HYPERLINK("http://codeforces.com/contest/294/problem/C","CF294-D2-C")</f>
        <v>CF294-D2-C</v>
      </c>
      <c r="C130" s="56"/>
      <c r="D130" s="56"/>
      <c r="E130" s="56"/>
      <c r="F130" s="56"/>
      <c r="G130" s="56"/>
      <c r="H130" s="56"/>
      <c r="I130" s="35">
        <f t="shared" si="1"/>
        <v>0</v>
      </c>
      <c r="J130" s="10"/>
      <c r="K130" s="10"/>
      <c r="L130" s="10"/>
      <c r="M130" s="71" t="str">
        <f>HYPERLINK("https://www.youtube.com/watch?v=xB6St1GAKUg","Video Solution - Dr Mostafa Saad")</f>
        <v>Video Solution - Dr Mostafa Saad</v>
      </c>
    </row>
    <row r="131" spans="1:13" ht="13.2">
      <c r="A131" s="41" t="s">
        <v>800</v>
      </c>
      <c r="B131" s="126" t="str">
        <f>HYPERLINK("http://codeforces.com/contest/721/problem/C","CF721-D2-C")</f>
        <v>CF721-D2-C</v>
      </c>
      <c r="C131" s="56"/>
      <c r="D131" s="56"/>
      <c r="E131" s="56"/>
      <c r="F131" s="56"/>
      <c r="G131" s="56"/>
      <c r="H131" s="56"/>
      <c r="I131" s="35">
        <f t="shared" si="1"/>
        <v>0</v>
      </c>
      <c r="J131" s="35"/>
      <c r="K131" s="35"/>
      <c r="L131" s="56"/>
      <c r="M131" s="48"/>
    </row>
    <row r="132" spans="1:13" ht="13.2">
      <c r="A132" s="48" t="s">
        <v>801</v>
      </c>
      <c r="B132" s="71" t="str">
        <f>HYPERLINK("http://codeforces.com/contest/474/problem/C","CF474-D2-C")</f>
        <v>CF474-D2-C</v>
      </c>
      <c r="C132" s="56"/>
      <c r="D132" s="56"/>
      <c r="E132" s="56"/>
      <c r="F132" s="56"/>
      <c r="G132" s="56"/>
      <c r="H132" s="56"/>
      <c r="I132" s="35">
        <f t="shared" si="1"/>
        <v>0</v>
      </c>
      <c r="J132" s="35"/>
      <c r="K132" s="35"/>
      <c r="L132" s="10"/>
      <c r="M132" s="50" t="str">
        <f>HYPERLINK("https://www.youtube.com/watch?v=TpRObCQT9Lw","Video Solution - Dr Mostafa Saad")</f>
        <v>Video Solution - Dr Mostafa Saad</v>
      </c>
    </row>
    <row r="133" spans="1:13" ht="13.2">
      <c r="A133" s="48" t="s">
        <v>802</v>
      </c>
      <c r="B133" s="150" t="str">
        <f>HYPERLINK("http://codeforces.com/contest/592/problem/C","CF592-D2-C")</f>
        <v>CF592-D2-C</v>
      </c>
      <c r="C133" s="56"/>
      <c r="D133" s="56"/>
      <c r="E133" s="56"/>
      <c r="F133" s="56"/>
      <c r="G133" s="56"/>
      <c r="H133" s="56"/>
      <c r="I133" s="35">
        <f t="shared" si="1"/>
        <v>0</v>
      </c>
      <c r="J133" s="10"/>
      <c r="K133" s="10"/>
      <c r="L133" s="10"/>
      <c r="M133" s="10"/>
    </row>
    <row r="134" spans="1:13" ht="13.2">
      <c r="A134" s="48" t="s">
        <v>803</v>
      </c>
      <c r="B134" s="150" t="str">
        <f>HYPERLINK("http://codeforces.com/contest/776/problem/C","CF776-D2-C")</f>
        <v>CF776-D2-C</v>
      </c>
      <c r="C134" s="56"/>
      <c r="D134" s="56"/>
      <c r="E134" s="56"/>
      <c r="F134" s="56"/>
      <c r="G134" s="56"/>
      <c r="H134" s="56"/>
      <c r="I134" s="35">
        <f t="shared" si="1"/>
        <v>0</v>
      </c>
      <c r="J134" s="10"/>
      <c r="K134" s="10"/>
      <c r="L134" s="10"/>
      <c r="M134" s="59" t="str">
        <f>HYPERLINK("https://www.youtube.com/watch?v=5roeMaM3T3Y","Video Solution - Solver to be (Java)")</f>
        <v>Video Solution - Solver to be (Java)</v>
      </c>
    </row>
    <row r="135" spans="1:13" ht="13.2">
      <c r="A135" s="129" t="s">
        <v>804</v>
      </c>
      <c r="B135" s="154" t="str">
        <f>HYPERLINK("http://codeforces.com/contest/719/problem/B","CF719-D2-B")</f>
        <v>CF719-D2-B</v>
      </c>
      <c r="C135" s="56"/>
      <c r="D135" s="56"/>
      <c r="E135" s="56"/>
      <c r="F135" s="56"/>
      <c r="G135" s="56"/>
      <c r="H135" s="56"/>
      <c r="I135" s="35">
        <f t="shared" si="1"/>
        <v>0</v>
      </c>
      <c r="J135" s="10"/>
      <c r="K135" s="10"/>
      <c r="L135" s="10"/>
      <c r="M135" s="59"/>
    </row>
    <row r="136" spans="1:13" ht="13.2">
      <c r="A136" s="129" t="s">
        <v>805</v>
      </c>
      <c r="B136" s="154" t="str">
        <f>HYPERLINK("http://codeforces.com/contest/131/problem/B","CF131-D2-B")</f>
        <v>CF131-D2-B</v>
      </c>
      <c r="C136" s="56"/>
      <c r="D136" s="56"/>
      <c r="E136" s="56"/>
      <c r="F136" s="56"/>
      <c r="G136" s="56"/>
      <c r="H136" s="56"/>
      <c r="I136" s="35">
        <f t="shared" si="1"/>
        <v>0</v>
      </c>
      <c r="J136" s="10"/>
      <c r="K136" s="10"/>
      <c r="L136" s="10"/>
      <c r="M136" s="59"/>
    </row>
    <row r="137" spans="1:13" ht="13.2">
      <c r="A137" s="48"/>
      <c r="B137" s="48"/>
      <c r="C137" s="56"/>
      <c r="D137" s="56"/>
      <c r="E137" s="56"/>
      <c r="F137" s="56"/>
      <c r="G137" s="56"/>
      <c r="H137" s="56"/>
      <c r="I137" s="35">
        <f t="shared" si="1"/>
        <v>0</v>
      </c>
      <c r="J137" s="35"/>
      <c r="K137" s="35"/>
      <c r="L137" s="56"/>
      <c r="M137" s="48"/>
    </row>
    <row r="138" spans="1:13" ht="13.2">
      <c r="A138" s="66" t="s">
        <v>806</v>
      </c>
      <c r="B138" s="96" t="str">
        <f>HYPERLINK("https://uva.onlinejudge.org/index.php?option=onlinejudge&amp;page=show_problem&amp;problem=1204","UVA 10263")</f>
        <v>UVA 10263</v>
      </c>
      <c r="C138" s="56"/>
      <c r="D138" s="56"/>
      <c r="E138" s="56"/>
      <c r="F138" s="56"/>
      <c r="G138" s="56"/>
      <c r="H138" s="56"/>
      <c r="I138" s="35">
        <f t="shared" si="1"/>
        <v>0</v>
      </c>
      <c r="J138" s="35"/>
      <c r="K138" s="35"/>
      <c r="L138" s="56"/>
      <c r="M138" s="50" t="str">
        <f>HYPERLINK("https://github.com/MohamedNabil97/CompetitiveProgramming/blob/master/UVA/10263.cpp","Sol")</f>
        <v>Sol</v>
      </c>
    </row>
    <row r="139" spans="1:13" ht="13.2">
      <c r="A139" s="66" t="s">
        <v>807</v>
      </c>
      <c r="B139" s="96" t="str">
        <f>HYPERLINK("https://uva.onlinejudge.org/index.php?option=com_onlinejudge&amp;Itemid=8&amp;page=show_problem&amp;problem=825","UVA 884")</f>
        <v>UVA 884</v>
      </c>
      <c r="C139" s="56"/>
      <c r="D139" s="56"/>
      <c r="E139" s="56"/>
      <c r="F139" s="56"/>
      <c r="G139" s="56"/>
      <c r="H139" s="56"/>
      <c r="I139" s="35">
        <f t="shared" si="1"/>
        <v>0</v>
      </c>
      <c r="J139" s="35"/>
      <c r="K139" s="35"/>
      <c r="L139" s="56"/>
      <c r="M139" s="48"/>
    </row>
    <row r="140" spans="1:13" ht="13.2">
      <c r="A140" s="66" t="s">
        <v>808</v>
      </c>
      <c r="B140" s="166" t="str">
        <f>HYPERLINK("https://uva.onlinejudge.org/index.php?option=onlinejudge&amp;page=show_problem&amp;problem=4601","UVA 12748")</f>
        <v>UVA 12748</v>
      </c>
      <c r="C140" s="56"/>
      <c r="D140" s="56"/>
      <c r="E140" s="56"/>
      <c r="F140" s="56"/>
      <c r="G140" s="56"/>
      <c r="H140" s="56"/>
      <c r="I140" s="35">
        <f t="shared" si="1"/>
        <v>0</v>
      </c>
      <c r="J140" s="35"/>
      <c r="K140" s="35"/>
      <c r="L140" s="56"/>
      <c r="M140" s="126" t="str">
        <f>HYPERLINK("https://github.com/MeGaCrazy/CompetitiveProgramming/blob/29ebad1d90e70a17ac4e646e5f049b980fb777de/UVA/UVA_12748.cpp","Sol")</f>
        <v>Sol</v>
      </c>
    </row>
    <row r="141" spans="1:13" ht="13.2">
      <c r="A141" s="66" t="s">
        <v>809</v>
      </c>
      <c r="B141" s="97" t="str">
        <f>HYPERLINK("https://uva.onlinejudge.org/index.php?option=com_onlinejudge&amp;Itemid=8&amp;page=show_problem&amp;problem=206","UVA 270")</f>
        <v>UVA 270</v>
      </c>
      <c r="C141" s="56"/>
      <c r="D141" s="56"/>
      <c r="E141" s="56"/>
      <c r="F141" s="56"/>
      <c r="G141" s="56"/>
      <c r="H141" s="56"/>
      <c r="I141" s="35">
        <f t="shared" si="1"/>
        <v>0</v>
      </c>
      <c r="J141" s="35"/>
      <c r="K141" s="35"/>
      <c r="L141" s="56"/>
      <c r="M141" s="167" t="str">
        <f>HYPERLINK("https://www.youtube.com/watch?v=EbB6g4GuNrQ","Video Solution - Eng Mohamed Nasser. Don't Code O(N^3)")</f>
        <v>Video Solution - Eng Mohamed Nasser. Don't Code O(N^3)</v>
      </c>
    </row>
    <row r="142" spans="1:13" ht="13.2">
      <c r="A142" s="66" t="s">
        <v>810</v>
      </c>
      <c r="B142" s="67" t="str">
        <f>HYPERLINK("http://www.spoj.com/problems/POUR1/","SPOJ POUR1")</f>
        <v>SPOJ POUR1</v>
      </c>
      <c r="C142" s="56"/>
      <c r="D142" s="56"/>
      <c r="E142" s="56"/>
      <c r="F142" s="56"/>
      <c r="G142" s="56"/>
      <c r="H142" s="56"/>
      <c r="I142" s="35">
        <f t="shared" si="1"/>
        <v>0</v>
      </c>
      <c r="J142" s="10"/>
      <c r="K142" s="10"/>
      <c r="L142" s="10"/>
      <c r="M142" s="95" t="str">
        <f>HYPERLINK("https://www.youtube.com/watch?v=dMacXPeTyak&amp;feature=youtu.be","Video Solution - Eng Moaz Rashad")</f>
        <v>Video Solution - Eng Moaz Rashad</v>
      </c>
    </row>
    <row r="143" spans="1:13" ht="13.2">
      <c r="A143" s="66"/>
      <c r="B143" s="67" t="str">
        <f>HYPERLINK("http://codeforces.com/contest/23/problem/C","CF23-D12-C")</f>
        <v>CF23-D12-C</v>
      </c>
      <c r="C143" s="56"/>
      <c r="D143" s="56"/>
      <c r="E143" s="56"/>
      <c r="F143" s="56"/>
      <c r="G143" s="56"/>
      <c r="H143" s="56"/>
      <c r="I143" s="35">
        <f t="shared" si="1"/>
        <v>0</v>
      </c>
      <c r="J143" s="10"/>
      <c r="K143" s="10"/>
      <c r="L143" s="10"/>
      <c r="M143" s="95"/>
    </row>
    <row r="144" spans="1:13" ht="13.2">
      <c r="A144" s="66"/>
      <c r="B144" s="67" t="str">
        <f>HYPERLINK("http://codeforces.com/problemset/problem/869/C","CF869-D2-C")</f>
        <v>CF869-D2-C</v>
      </c>
      <c r="C144" s="56"/>
      <c r="D144" s="56"/>
      <c r="E144" s="56"/>
      <c r="F144" s="56"/>
      <c r="G144" s="56"/>
      <c r="H144" s="56"/>
      <c r="I144" s="35">
        <f t="shared" si="1"/>
        <v>0</v>
      </c>
      <c r="J144" s="10"/>
      <c r="K144" s="10"/>
      <c r="L144" s="10"/>
      <c r="M144" s="95"/>
    </row>
    <row r="145" spans="1:13" ht="13.2">
      <c r="A145" s="66"/>
      <c r="B145" s="66" t="s">
        <v>811</v>
      </c>
      <c r="C145" s="56"/>
      <c r="D145" s="56"/>
      <c r="E145" s="56"/>
      <c r="F145" s="56"/>
      <c r="G145" s="56"/>
      <c r="H145" s="56"/>
      <c r="I145" s="35">
        <f t="shared" si="1"/>
        <v>0</v>
      </c>
      <c r="J145" s="10"/>
      <c r="K145" s="10"/>
      <c r="L145" s="10"/>
      <c r="M145" s="41" t="s">
        <v>812</v>
      </c>
    </row>
    <row r="146" spans="1:13" ht="13.2">
      <c r="A146" s="48"/>
      <c r="B146" s="48"/>
      <c r="C146" s="56"/>
      <c r="D146" s="56"/>
      <c r="E146" s="56"/>
      <c r="F146" s="56"/>
      <c r="G146" s="56"/>
      <c r="H146" s="56"/>
      <c r="I146" s="35">
        <f t="shared" si="1"/>
        <v>0</v>
      </c>
      <c r="J146" s="35"/>
      <c r="K146" s="35"/>
      <c r="L146" s="56"/>
    </row>
    <row r="147" spans="1:13" ht="13.2">
      <c r="A147" s="48"/>
      <c r="B147" s="48"/>
      <c r="C147" s="56"/>
      <c r="D147" s="56"/>
      <c r="E147" s="56"/>
      <c r="F147" s="56"/>
      <c r="G147" s="56"/>
      <c r="H147" s="56"/>
      <c r="I147" s="35">
        <f t="shared" si="1"/>
        <v>0</v>
      </c>
      <c r="J147" s="35"/>
      <c r="K147" s="35"/>
      <c r="L147" s="56"/>
      <c r="M147" s="98" t="str">
        <f>HYPERLINK("https://www.youtube.com/watch?v=j__Kredt7vY","Watch Video - Expected Value")</f>
        <v>Watch Video - Expected Value</v>
      </c>
    </row>
    <row r="148" spans="1:13" ht="13.2">
      <c r="A148" s="62" t="s">
        <v>813</v>
      </c>
      <c r="B148" s="147" t="str">
        <f>HYPERLINK("https://uva.onlinejudge.org/index.php?option=com_onlinejudge&amp;Itemid=8&amp;page=show_problem&amp;problem=1718","UVA 10777")</f>
        <v>UVA 10777</v>
      </c>
      <c r="C148" s="56"/>
      <c r="D148" s="56"/>
      <c r="E148" s="56"/>
      <c r="F148" s="56"/>
      <c r="G148" s="56"/>
      <c r="H148" s="56"/>
      <c r="I148" s="35">
        <f t="shared" si="1"/>
        <v>0</v>
      </c>
      <c r="J148" s="35"/>
      <c r="K148" s="35"/>
      <c r="L148" s="56"/>
      <c r="M148" s="126" t="str">
        <f>HYPERLINK("https://github.com/ilyesG/Competitive-Programming/blob/master/UVA/UVA%2010777.cpp","Sol")</f>
        <v>Sol</v>
      </c>
    </row>
    <row r="149" spans="1:13" ht="13.2">
      <c r="A149" s="62"/>
      <c r="B149" s="147" t="str">
        <f>HYPERLINK("http://codeforces.com/contest/839/problem/C","CF839-D2-C")</f>
        <v>CF839-D2-C</v>
      </c>
      <c r="C149" s="56"/>
      <c r="D149" s="56"/>
      <c r="E149" s="56"/>
      <c r="F149" s="56"/>
      <c r="G149" s="56"/>
      <c r="H149" s="56"/>
      <c r="I149" s="35">
        <f t="shared" si="1"/>
        <v>0</v>
      </c>
      <c r="J149" s="35"/>
      <c r="K149" s="35"/>
      <c r="L149" s="56"/>
      <c r="M149" s="48"/>
    </row>
    <row r="150" spans="1:13" ht="13.2">
      <c r="A150" s="62"/>
      <c r="B150" s="147" t="str">
        <f>HYPERLINK("http://codeforces.com/contest/454/problem/C","CF454-D2-C")</f>
        <v>CF454-D2-C</v>
      </c>
      <c r="C150" s="56"/>
      <c r="D150" s="56"/>
      <c r="E150" s="56"/>
      <c r="F150" s="56"/>
      <c r="G150" s="56"/>
      <c r="H150" s="56"/>
      <c r="I150" s="35">
        <f t="shared" si="1"/>
        <v>0</v>
      </c>
      <c r="J150" s="35"/>
      <c r="K150" s="35"/>
      <c r="L150" s="56"/>
      <c r="M150" s="48"/>
    </row>
    <row r="151" spans="1:13" ht="13.2">
      <c r="A151" s="62"/>
      <c r="B151" s="62" t="s">
        <v>814</v>
      </c>
      <c r="C151" s="56"/>
      <c r="D151" s="56"/>
      <c r="E151" s="56"/>
      <c r="F151" s="56"/>
      <c r="G151" s="56"/>
      <c r="H151" s="56"/>
      <c r="I151" s="35">
        <f t="shared" si="1"/>
        <v>0</v>
      </c>
      <c r="J151" s="35"/>
      <c r="K151" s="35"/>
      <c r="L151" s="56"/>
      <c r="M151" s="157" t="str">
        <f>HYPERLINK("https://apps.topcoder.com/wiki/display/tc/Algorithm+Problem+Set+Analysis","Editorial")</f>
        <v>Editorial</v>
      </c>
    </row>
    <row r="152" spans="1:13" ht="13.2">
      <c r="A152" s="62"/>
      <c r="B152" s="147" t="str">
        <f>HYPERLINK("https://www.hackerrank.com/challenges/lazy-sorting","HACKR lazy-sorting")</f>
        <v>HACKR lazy-sorting</v>
      </c>
      <c r="C152" s="56"/>
      <c r="D152" s="56"/>
      <c r="E152" s="56"/>
      <c r="F152" s="56"/>
      <c r="G152" s="56"/>
      <c r="H152" s="56"/>
      <c r="I152" s="35">
        <f t="shared" si="1"/>
        <v>0</v>
      </c>
      <c r="J152" s="35"/>
      <c r="K152" s="35"/>
      <c r="L152" s="56"/>
      <c r="M152" s="126" t="str">
        <f>HYPERLINK("https://www.youtube.com/watch?v=j__Kredt7vY","Revise Expected Value")</f>
        <v>Revise Expected Value</v>
      </c>
    </row>
    <row r="153" spans="1:13" ht="13.2">
      <c r="A153" s="66"/>
      <c r="B153" s="67" t="str">
        <f>HYPERLINK("http://www.spoj.com/problems/ALIENS/","SPOJ ALIENS")</f>
        <v>SPOJ ALIENS</v>
      </c>
      <c r="C153" s="56"/>
      <c r="D153" s="56"/>
      <c r="E153" s="56"/>
      <c r="F153" s="56"/>
      <c r="G153" s="56"/>
      <c r="H153" s="56"/>
      <c r="I153" s="35">
        <f t="shared" si="1"/>
        <v>0</v>
      </c>
      <c r="J153" s="35"/>
      <c r="K153" s="35"/>
      <c r="L153" s="56"/>
      <c r="M153" s="126" t="str">
        <f>HYPERLINK("https://github.com/mostafa-saad/MyCompetitiveProgramming/blob/master/SPOJ/SPOJ_ALIENS.txt","Sol - Practice on min enclosing circle")</f>
        <v>Sol - Practice on min enclosing circle</v>
      </c>
    </row>
    <row r="154" spans="1:13" ht="13.2">
      <c r="A154" s="66"/>
      <c r="B154" s="67" t="str">
        <f>HYPERLINK("http://codeforces.com/contest/340/problem/B","CF340-D2-B")</f>
        <v>CF340-D2-B</v>
      </c>
      <c r="C154" s="56"/>
      <c r="D154" s="56"/>
      <c r="E154" s="56"/>
      <c r="F154" s="56"/>
      <c r="G154" s="56"/>
      <c r="H154" s="56"/>
      <c r="I154" s="35">
        <f t="shared" si="1"/>
        <v>0</v>
      </c>
      <c r="J154" s="35"/>
      <c r="K154" s="35"/>
      <c r="L154" s="56"/>
      <c r="M154" s="48"/>
    </row>
    <row r="155" spans="1:13" ht="13.2">
      <c r="A155" s="121"/>
      <c r="B155" s="121"/>
      <c r="C155" s="123"/>
      <c r="D155" s="123"/>
      <c r="E155" s="123"/>
      <c r="F155" s="123"/>
      <c r="G155" s="123"/>
      <c r="H155" s="123"/>
      <c r="I155" s="123">
        <f t="shared" ref="I155:I157" si="2">SUM(E155:G155)</f>
        <v>0</v>
      </c>
      <c r="J155" s="123"/>
      <c r="K155" s="123"/>
      <c r="L155" s="123"/>
      <c r="M155" s="121"/>
    </row>
    <row r="156" spans="1:13" ht="13.2">
      <c r="A156" s="48"/>
      <c r="B156" s="48"/>
      <c r="C156" s="56"/>
      <c r="D156" s="308" t="s">
        <v>248</v>
      </c>
      <c r="E156" s="286"/>
      <c r="F156" s="286"/>
      <c r="G156" s="286"/>
      <c r="H156" s="56"/>
      <c r="I156" s="56">
        <f t="shared" si="2"/>
        <v>0</v>
      </c>
      <c r="J156" s="309" t="s">
        <v>249</v>
      </c>
      <c r="K156" s="286"/>
      <c r="L156" s="286"/>
      <c r="M156" s="286"/>
    </row>
    <row r="157" spans="1:13" ht="13.2">
      <c r="A157" s="121"/>
      <c r="B157" s="121"/>
      <c r="C157" s="123"/>
      <c r="D157" s="123"/>
      <c r="E157" s="123"/>
      <c r="F157" s="123"/>
      <c r="G157" s="123"/>
      <c r="H157" s="123"/>
      <c r="I157" s="123">
        <f t="shared" si="2"/>
        <v>0</v>
      </c>
      <c r="J157" s="123"/>
      <c r="K157" s="123"/>
      <c r="L157" s="123"/>
      <c r="M157" s="121"/>
    </row>
    <row r="158" spans="1:13" ht="13.2">
      <c r="A158" s="41" t="s">
        <v>815</v>
      </c>
      <c r="B158" s="126" t="str">
        <f>HYPERLINK("http://codeforces.com/contest/427/problem/C","CF427-D2-C")</f>
        <v>CF427-D2-C</v>
      </c>
      <c r="C158" s="56"/>
      <c r="D158" s="56"/>
      <c r="E158" s="56"/>
      <c r="F158" s="56"/>
      <c r="G158" s="56"/>
      <c r="H158" s="56"/>
      <c r="I158" s="35">
        <f t="shared" ref="I158:I201" si="3">SUM(E158:H158)</f>
        <v>0</v>
      </c>
      <c r="J158" s="35"/>
      <c r="K158" s="35"/>
      <c r="L158" s="56"/>
      <c r="M158" s="48"/>
    </row>
    <row r="159" spans="1:13" ht="13.2">
      <c r="A159" s="41" t="s">
        <v>816</v>
      </c>
      <c r="B159" s="126" t="str">
        <f>HYPERLINK("http://codeforces.com/contest/139/problem/C","CF139-D2-C")</f>
        <v>CF139-D2-C</v>
      </c>
      <c r="C159" s="56"/>
      <c r="D159" s="56"/>
      <c r="E159" s="56"/>
      <c r="F159" s="56"/>
      <c r="G159" s="56"/>
      <c r="H159" s="56"/>
      <c r="I159" s="35">
        <f t="shared" si="3"/>
        <v>0</v>
      </c>
      <c r="J159" s="35"/>
      <c r="K159" s="35"/>
      <c r="L159" s="56"/>
      <c r="M159" s="48"/>
    </row>
    <row r="160" spans="1:13" ht="13.2">
      <c r="A160" s="41" t="s">
        <v>817</v>
      </c>
      <c r="B160" s="126" t="str">
        <f>HYPERLINK("http://codeforces.com/contest/742/problem/C","CF742-D2-C")</f>
        <v>CF742-D2-C</v>
      </c>
      <c r="C160" s="56"/>
      <c r="D160" s="56"/>
      <c r="E160" s="56"/>
      <c r="F160" s="56"/>
      <c r="G160" s="56"/>
      <c r="H160" s="56"/>
      <c r="I160" s="35">
        <f t="shared" si="3"/>
        <v>0</v>
      </c>
      <c r="J160" s="35"/>
      <c r="K160" s="35"/>
      <c r="L160" s="56"/>
      <c r="M160" s="48"/>
    </row>
    <row r="161" spans="1:13" ht="13.2">
      <c r="A161" s="41" t="s">
        <v>818</v>
      </c>
      <c r="B161" s="126" t="str">
        <f>HYPERLINK("http://codeforces.com/contest/298/problem/C","CF298-D2-C")</f>
        <v>CF298-D2-C</v>
      </c>
      <c r="C161" s="56"/>
      <c r="D161" s="56"/>
      <c r="E161" s="56"/>
      <c r="F161" s="56"/>
      <c r="G161" s="56"/>
      <c r="H161" s="56"/>
      <c r="I161" s="35">
        <f t="shared" si="3"/>
        <v>0</v>
      </c>
      <c r="J161" s="35"/>
      <c r="K161" s="35"/>
      <c r="L161" s="56"/>
      <c r="M161" s="48"/>
    </row>
    <row r="162" spans="1:13" ht="13.2">
      <c r="A162" s="41" t="s">
        <v>819</v>
      </c>
      <c r="B162" s="126" t="str">
        <f>HYPERLINK("http://codeforces.com/contest/246/problem/C","CF246-D2-C")</f>
        <v>CF246-D2-C</v>
      </c>
      <c r="C162" s="56"/>
      <c r="D162" s="56"/>
      <c r="E162" s="56"/>
      <c r="F162" s="56"/>
      <c r="G162" s="56"/>
      <c r="H162" s="56"/>
      <c r="I162" s="35">
        <f t="shared" si="3"/>
        <v>0</v>
      </c>
      <c r="J162" s="35"/>
      <c r="K162" s="35"/>
      <c r="L162" s="56"/>
      <c r="M162" s="48"/>
    </row>
    <row r="163" spans="1:13" ht="13.2">
      <c r="A163" s="41" t="s">
        <v>820</v>
      </c>
      <c r="B163" s="126" t="str">
        <f>HYPERLINK("http://codeforces.com/contest/80/problem/C","CF80-D2-C")</f>
        <v>CF80-D2-C</v>
      </c>
      <c r="C163" s="56"/>
      <c r="D163" s="56"/>
      <c r="E163" s="56"/>
      <c r="F163" s="56"/>
      <c r="G163" s="56"/>
      <c r="H163" s="56"/>
      <c r="I163" s="35">
        <f t="shared" si="3"/>
        <v>0</v>
      </c>
      <c r="J163" s="35"/>
      <c r="K163" s="35"/>
      <c r="L163" s="56"/>
      <c r="M163" s="48"/>
    </row>
    <row r="164" spans="1:13" ht="13.2">
      <c r="A164" s="41" t="s">
        <v>821</v>
      </c>
      <c r="B164" s="126" t="str">
        <f>HYPERLINK("http://codeforces.com/contest/192/problem/C","CF192-D2-C")</f>
        <v>CF192-D2-C</v>
      </c>
      <c r="C164" s="56"/>
      <c r="D164" s="56"/>
      <c r="E164" s="56"/>
      <c r="F164" s="56"/>
      <c r="G164" s="56"/>
      <c r="H164" s="56"/>
      <c r="I164" s="35">
        <f t="shared" si="3"/>
        <v>0</v>
      </c>
      <c r="J164" s="35"/>
      <c r="K164" s="35"/>
      <c r="L164" s="56"/>
      <c r="M164" s="48"/>
    </row>
    <row r="165" spans="1:13" ht="13.2">
      <c r="A165" s="41" t="s">
        <v>822</v>
      </c>
      <c r="B165" s="126" t="str">
        <f>HYPERLINK("http://codeforces.com/contest/106/problem/C","CF106-D2-C")</f>
        <v>CF106-D2-C</v>
      </c>
      <c r="C165" s="56"/>
      <c r="D165" s="56"/>
      <c r="E165" s="56"/>
      <c r="F165" s="56"/>
      <c r="G165" s="56"/>
      <c r="H165" s="56"/>
      <c r="I165" s="35">
        <f t="shared" si="3"/>
        <v>0</v>
      </c>
      <c r="J165" s="35"/>
      <c r="K165" s="35"/>
      <c r="L165" s="56"/>
      <c r="M165" s="48"/>
    </row>
    <row r="166" spans="1:13" ht="13.2">
      <c r="A166" s="41" t="s">
        <v>823</v>
      </c>
      <c r="B166" s="126" t="str">
        <f>HYPERLINK("http://codeforces.com/contest/373/problem/C","CF373-D2-C")</f>
        <v>CF373-D2-C</v>
      </c>
      <c r="C166" s="56"/>
      <c r="D166" s="56"/>
      <c r="E166" s="56"/>
      <c r="F166" s="56"/>
      <c r="G166" s="56"/>
      <c r="H166" s="56"/>
      <c r="I166" s="35">
        <f t="shared" si="3"/>
        <v>0</v>
      </c>
      <c r="J166" s="35"/>
      <c r="K166" s="35"/>
      <c r="L166" s="56"/>
      <c r="M166" s="48"/>
    </row>
    <row r="167" spans="1:13" ht="13.2">
      <c r="A167" s="41" t="s">
        <v>824</v>
      </c>
      <c r="B167" s="126" t="str">
        <f>HYPERLINK("http://codeforces.com/contest/56/problem/C","CF56-D2-C")</f>
        <v>CF56-D2-C</v>
      </c>
      <c r="C167" s="56"/>
      <c r="D167" s="56"/>
      <c r="E167" s="56"/>
      <c r="F167" s="56"/>
      <c r="G167" s="56"/>
      <c r="H167" s="56"/>
      <c r="I167" s="35">
        <f t="shared" si="3"/>
        <v>0</v>
      </c>
      <c r="J167" s="35"/>
      <c r="K167" s="35"/>
      <c r="L167" s="56"/>
      <c r="M167" s="48"/>
    </row>
    <row r="168" spans="1:13" ht="13.2">
      <c r="A168" s="48" t="s">
        <v>825</v>
      </c>
      <c r="B168" s="71" t="str">
        <f>HYPERLINK("http://codeforces.com/contest/365/problem/C","CF365-D2-C")</f>
        <v>CF365-D2-C</v>
      </c>
      <c r="C168" s="10"/>
      <c r="D168" s="10"/>
      <c r="E168" s="10"/>
      <c r="F168" s="10"/>
      <c r="G168" s="10"/>
      <c r="H168" s="10"/>
      <c r="I168" s="56">
        <f t="shared" si="3"/>
        <v>0</v>
      </c>
      <c r="J168" s="10"/>
      <c r="K168" s="10"/>
      <c r="L168" s="10"/>
      <c r="M168" s="10"/>
    </row>
    <row r="169" spans="1:13" ht="13.2">
      <c r="A169" s="168" t="s">
        <v>826</v>
      </c>
      <c r="B169" s="169" t="str">
        <f>HYPERLINK("https://uva.onlinejudge.org/index.php?option=com_onlinejudge&amp;Itemid=8&amp;page=show_problem&amp;problem=2733","UVA 11686")</f>
        <v>UVA 11686</v>
      </c>
      <c r="C169" s="10"/>
      <c r="D169" s="10"/>
      <c r="E169" s="10"/>
      <c r="F169" s="10"/>
      <c r="G169" s="10"/>
      <c r="H169" s="10"/>
      <c r="I169" s="56">
        <f t="shared" si="3"/>
        <v>0</v>
      </c>
      <c r="J169" s="10"/>
      <c r="K169" s="10"/>
      <c r="L169" s="10"/>
      <c r="M169" s="71" t="str">
        <f>HYPERLINK("https://github.com/VAMPIER000001/CompetitiveProgramming/blob/master/UVA/V-116/UVA%2011686.Cpp","Sol")</f>
        <v>Sol</v>
      </c>
    </row>
    <row r="170" spans="1:13" ht="13.2">
      <c r="A170" s="41"/>
      <c r="B170" s="41"/>
      <c r="C170" s="56"/>
      <c r="D170" s="56"/>
      <c r="E170" s="56"/>
      <c r="F170" s="56"/>
      <c r="G170" s="56"/>
      <c r="H170" s="56"/>
      <c r="I170" s="35">
        <f t="shared" si="3"/>
        <v>0</v>
      </c>
      <c r="J170" s="35"/>
      <c r="K170" s="35"/>
      <c r="L170" s="56"/>
      <c r="M170" s="48"/>
    </row>
    <row r="171" spans="1:13" ht="13.2">
      <c r="A171" s="41" t="s">
        <v>827</v>
      </c>
      <c r="B171" s="126" t="str">
        <f>HYPERLINK("http://codeforces.com/contest/205/problem/C","CF205-D2-C")</f>
        <v>CF205-D2-C</v>
      </c>
      <c r="C171" s="56"/>
      <c r="D171" s="56"/>
      <c r="E171" s="56"/>
      <c r="F171" s="56"/>
      <c r="G171" s="56"/>
      <c r="H171" s="56"/>
      <c r="I171" s="35">
        <f t="shared" si="3"/>
        <v>0</v>
      </c>
      <c r="J171" s="35"/>
      <c r="K171" s="35"/>
      <c r="L171" s="56"/>
      <c r="M171" s="48"/>
    </row>
    <row r="172" spans="1:13" ht="13.2">
      <c r="A172" s="41" t="s">
        <v>828</v>
      </c>
      <c r="B172" s="126" t="str">
        <f>HYPERLINK("http://codeforces.com/contest/315/problem/C","CF315-D2-C")</f>
        <v>CF315-D2-C</v>
      </c>
      <c r="C172" s="56"/>
      <c r="D172" s="56"/>
      <c r="E172" s="56"/>
      <c r="F172" s="56"/>
      <c r="G172" s="56"/>
      <c r="H172" s="56"/>
      <c r="I172" s="35">
        <f t="shared" si="3"/>
        <v>0</v>
      </c>
      <c r="J172" s="35"/>
      <c r="K172" s="35"/>
      <c r="L172" s="56"/>
      <c r="M172" s="48"/>
    </row>
    <row r="173" spans="1:13" ht="13.2">
      <c r="A173" s="41" t="s">
        <v>829</v>
      </c>
      <c r="B173" s="126" t="str">
        <f>HYPERLINK("http://codeforces.com/contest/355/problem/C","CF355-D2-C")</f>
        <v>CF355-D2-C</v>
      </c>
      <c r="C173" s="56"/>
      <c r="D173" s="56"/>
      <c r="E173" s="56"/>
      <c r="F173" s="56"/>
      <c r="G173" s="56"/>
      <c r="H173" s="56"/>
      <c r="I173" s="35">
        <f t="shared" si="3"/>
        <v>0</v>
      </c>
      <c r="J173" s="35"/>
      <c r="K173" s="35"/>
      <c r="L173" s="56"/>
      <c r="M173" s="48"/>
    </row>
    <row r="174" spans="1:13" ht="13.2">
      <c r="A174" s="41" t="s">
        <v>830</v>
      </c>
      <c r="B174" s="126" t="str">
        <f>HYPERLINK("http://codeforces.com/contest/96/problem/C","CF96-D2-C")</f>
        <v>CF96-D2-C</v>
      </c>
      <c r="C174" s="56"/>
      <c r="D174" s="56"/>
      <c r="E174" s="56"/>
      <c r="F174" s="56"/>
      <c r="G174" s="56"/>
      <c r="H174" s="56"/>
      <c r="I174" s="35">
        <f t="shared" si="3"/>
        <v>0</v>
      </c>
      <c r="J174" s="35"/>
      <c r="K174" s="35"/>
      <c r="L174" s="56"/>
      <c r="M174" s="48"/>
    </row>
    <row r="175" spans="1:13" ht="13.2">
      <c r="A175" s="41" t="s">
        <v>831</v>
      </c>
      <c r="B175" s="126" t="str">
        <f>HYPERLINK("http://codeforces.com/contest/66/problem/C","CF66-D2-C")</f>
        <v>CF66-D2-C</v>
      </c>
      <c r="C175" s="56"/>
      <c r="D175" s="56"/>
      <c r="E175" s="56"/>
      <c r="F175" s="56"/>
      <c r="G175" s="56"/>
      <c r="H175" s="56"/>
      <c r="I175" s="35">
        <f t="shared" si="3"/>
        <v>0</v>
      </c>
      <c r="J175" s="35"/>
      <c r="K175" s="35"/>
      <c r="L175" s="56"/>
      <c r="M175" s="48"/>
    </row>
    <row r="176" spans="1:13" ht="13.2">
      <c r="A176" s="41" t="s">
        <v>832</v>
      </c>
      <c r="B176" s="126" t="str">
        <f>HYPERLINK("http://codeforces.com/contest/554/problem/C","CF554-D2-C")</f>
        <v>CF554-D2-C</v>
      </c>
      <c r="C176" s="56"/>
      <c r="D176" s="56"/>
      <c r="E176" s="56"/>
      <c r="F176" s="56"/>
      <c r="G176" s="56"/>
      <c r="H176" s="56"/>
      <c r="I176" s="35">
        <f t="shared" si="3"/>
        <v>0</v>
      </c>
      <c r="J176" s="35"/>
      <c r="K176" s="35"/>
      <c r="L176" s="56"/>
      <c r="M176" s="48"/>
    </row>
    <row r="177" spans="1:13" ht="13.2">
      <c r="A177" s="41" t="s">
        <v>833</v>
      </c>
      <c r="B177" s="126" t="str">
        <f>HYPERLINK("http://codeforces.com/contest/467/problem/C","CF467-D2-C")</f>
        <v>CF467-D2-C</v>
      </c>
      <c r="C177" s="56"/>
      <c r="D177" s="56"/>
      <c r="E177" s="56"/>
      <c r="F177" s="56"/>
      <c r="G177" s="56"/>
      <c r="H177" s="56"/>
      <c r="I177" s="35">
        <f t="shared" si="3"/>
        <v>0</v>
      </c>
      <c r="J177" s="35"/>
      <c r="K177" s="35"/>
      <c r="L177" s="56"/>
      <c r="M177" s="48"/>
    </row>
    <row r="178" spans="1:13" ht="13.2">
      <c r="A178" s="41" t="s">
        <v>834</v>
      </c>
      <c r="B178" s="126" t="str">
        <f>HYPERLINK("http://codeforces.com/contest/610/problem/C","CF610-D2-C")</f>
        <v>CF610-D2-C</v>
      </c>
      <c r="C178" s="56"/>
      <c r="D178" s="56"/>
      <c r="E178" s="56"/>
      <c r="F178" s="56"/>
      <c r="G178" s="56"/>
      <c r="H178" s="56"/>
      <c r="I178" s="35">
        <f t="shared" si="3"/>
        <v>0</v>
      </c>
      <c r="J178" s="35"/>
      <c r="K178" s="35"/>
      <c r="L178" s="56"/>
      <c r="M178" s="48"/>
    </row>
    <row r="179" spans="1:13" ht="13.2">
      <c r="A179" s="41" t="s">
        <v>835</v>
      </c>
      <c r="B179" s="126" t="str">
        <f>HYPERLINK("http://codeforces.com/contest/734/problem/C","CF734-D2-C")</f>
        <v>CF734-D2-C</v>
      </c>
      <c r="C179" s="56"/>
      <c r="D179" s="56"/>
      <c r="E179" s="56"/>
      <c r="F179" s="56"/>
      <c r="G179" s="56"/>
      <c r="H179" s="56"/>
      <c r="I179" s="35">
        <f t="shared" si="3"/>
        <v>0</v>
      </c>
      <c r="J179" s="35"/>
      <c r="K179" s="35"/>
      <c r="L179" s="56"/>
      <c r="M179" s="48"/>
    </row>
    <row r="180" spans="1:13" ht="13.2">
      <c r="A180" s="41" t="s">
        <v>836</v>
      </c>
      <c r="B180" s="126" t="str">
        <f>HYPERLINK("http://codeforces.com/contest/478/problem/C","CF478-D2-C")</f>
        <v>CF478-D2-C</v>
      </c>
      <c r="C180" s="56"/>
      <c r="D180" s="56"/>
      <c r="E180" s="56"/>
      <c r="F180" s="56"/>
      <c r="G180" s="56"/>
      <c r="H180" s="56"/>
      <c r="I180" s="35">
        <f t="shared" si="3"/>
        <v>0</v>
      </c>
      <c r="J180" s="35"/>
      <c r="K180" s="35"/>
      <c r="L180" s="56"/>
      <c r="M180" s="48"/>
    </row>
    <row r="181" spans="1:13" ht="13.2">
      <c r="A181" s="48" t="s">
        <v>837</v>
      </c>
      <c r="B181" s="71" t="str">
        <f>HYPERLINK("http://codeforces.com/contest/672/problem/C","CF672-D2-C")</f>
        <v>CF672-D2-C</v>
      </c>
      <c r="C181" s="10"/>
      <c r="D181" s="10"/>
      <c r="E181" s="10"/>
      <c r="F181" s="10"/>
      <c r="G181" s="10"/>
      <c r="H181" s="10"/>
      <c r="I181" s="56">
        <f t="shared" si="3"/>
        <v>0</v>
      </c>
      <c r="J181" s="10"/>
      <c r="K181" s="10"/>
      <c r="L181" s="10"/>
      <c r="M181" s="10"/>
    </row>
    <row r="182" spans="1:13" ht="13.2">
      <c r="A182" s="41"/>
      <c r="B182" s="41"/>
      <c r="C182" s="56"/>
      <c r="D182" s="56"/>
      <c r="E182" s="56"/>
      <c r="F182" s="56"/>
      <c r="G182" s="56"/>
      <c r="H182" s="56"/>
      <c r="I182" s="35">
        <f t="shared" si="3"/>
        <v>0</v>
      </c>
      <c r="J182" s="35"/>
      <c r="K182" s="35"/>
      <c r="L182" s="56"/>
      <c r="M182" s="48"/>
    </row>
    <row r="183" spans="1:13" ht="13.2">
      <c r="A183" s="41" t="s">
        <v>838</v>
      </c>
      <c r="B183" s="126" t="str">
        <f>HYPERLINK("http://codeforces.com/contest/157/problem/C","CF157-D2-C")</f>
        <v>CF157-D2-C</v>
      </c>
      <c r="C183" s="56"/>
      <c r="D183" s="56"/>
      <c r="E183" s="56"/>
      <c r="F183" s="56"/>
      <c r="G183" s="56"/>
      <c r="H183" s="56"/>
      <c r="I183" s="35">
        <f t="shared" si="3"/>
        <v>0</v>
      </c>
      <c r="J183" s="35"/>
      <c r="K183" s="35"/>
      <c r="L183" s="56"/>
      <c r="M183" s="48"/>
    </row>
    <row r="184" spans="1:13" ht="13.2">
      <c r="A184" s="41" t="s">
        <v>839</v>
      </c>
      <c r="B184" s="126" t="str">
        <f>HYPERLINK("http://codeforces.com/contest/596/problem/C","CF596-D2-C")</f>
        <v>CF596-D2-C</v>
      </c>
      <c r="C184" s="56"/>
      <c r="D184" s="56"/>
      <c r="E184" s="56"/>
      <c r="F184" s="56"/>
      <c r="G184" s="56"/>
      <c r="H184" s="56"/>
      <c r="I184" s="35">
        <f t="shared" si="3"/>
        <v>0</v>
      </c>
      <c r="J184" s="35"/>
      <c r="K184" s="35"/>
      <c r="L184" s="56"/>
      <c r="M184" s="48"/>
    </row>
    <row r="185" spans="1:13" ht="13.2">
      <c r="A185" s="41" t="s">
        <v>840</v>
      </c>
      <c r="B185" s="126" t="str">
        <f>HYPERLINK("http://codeforces.com/contest/284/problem/C","CF284-D2-C")</f>
        <v>CF284-D2-C</v>
      </c>
      <c r="C185" s="56"/>
      <c r="D185" s="56"/>
      <c r="E185" s="56"/>
      <c r="F185" s="56"/>
      <c r="G185" s="56"/>
      <c r="H185" s="56"/>
      <c r="I185" s="35">
        <f t="shared" si="3"/>
        <v>0</v>
      </c>
      <c r="J185" s="35"/>
      <c r="K185" s="35"/>
      <c r="L185" s="56"/>
      <c r="M185" s="48"/>
    </row>
    <row r="186" spans="1:13" ht="13.2">
      <c r="A186" s="41" t="s">
        <v>841</v>
      </c>
      <c r="B186" s="126" t="str">
        <f>HYPERLINK("http://codeforces.com/contest/279/problem/C","CF279-D2-C")</f>
        <v>CF279-D2-C</v>
      </c>
      <c r="C186" s="56"/>
      <c r="D186" s="56"/>
      <c r="E186" s="56"/>
      <c r="F186" s="56"/>
      <c r="G186" s="56"/>
      <c r="H186" s="56"/>
      <c r="I186" s="35">
        <f t="shared" si="3"/>
        <v>0</v>
      </c>
      <c r="J186" s="35"/>
      <c r="K186" s="35"/>
      <c r="L186" s="56"/>
      <c r="M186" s="48"/>
    </row>
    <row r="187" spans="1:13" ht="13.2">
      <c r="A187" s="41" t="s">
        <v>842</v>
      </c>
      <c r="B187" s="126" t="str">
        <f>HYPERLINK("http://codeforces.com/contest/239/problem/C","CF239-D2-C")</f>
        <v>CF239-D2-C</v>
      </c>
      <c r="C187" s="56"/>
      <c r="D187" s="56"/>
      <c r="E187" s="56"/>
      <c r="F187" s="56"/>
      <c r="G187" s="56"/>
      <c r="H187" s="56"/>
      <c r="I187" s="35">
        <f t="shared" si="3"/>
        <v>0</v>
      </c>
      <c r="J187" s="35"/>
      <c r="K187" s="35"/>
      <c r="L187" s="56"/>
      <c r="M187" s="48"/>
    </row>
    <row r="188" spans="1:13" ht="13.2">
      <c r="A188" s="41" t="s">
        <v>843</v>
      </c>
      <c r="B188" s="126" t="str">
        <f>HYPERLINK("http://codeforces.com/contest/254/problem/C","CF254-D2-C")</f>
        <v>CF254-D2-C</v>
      </c>
      <c r="C188" s="56"/>
      <c r="D188" s="56"/>
      <c r="E188" s="56"/>
      <c r="F188" s="56"/>
      <c r="G188" s="56"/>
      <c r="H188" s="56"/>
      <c r="I188" s="35">
        <f t="shared" si="3"/>
        <v>0</v>
      </c>
      <c r="J188" s="35"/>
      <c r="K188" s="35"/>
      <c r="L188" s="56"/>
      <c r="M188" s="48"/>
    </row>
    <row r="189" spans="1:13" ht="13.2">
      <c r="A189" s="41" t="s">
        <v>844</v>
      </c>
      <c r="B189" s="126" t="str">
        <f>HYPERLINK("http://codeforces.com/contest/447/problem/C","CF447-D2-C")</f>
        <v>CF447-D2-C</v>
      </c>
      <c r="C189" s="56"/>
      <c r="D189" s="56"/>
      <c r="E189" s="56"/>
      <c r="F189" s="56"/>
      <c r="G189" s="56"/>
      <c r="H189" s="56"/>
      <c r="I189" s="35">
        <f t="shared" si="3"/>
        <v>0</v>
      </c>
      <c r="J189" s="35"/>
      <c r="K189" s="35"/>
      <c r="L189" s="56"/>
      <c r="M189" s="48"/>
    </row>
    <row r="190" spans="1:13" ht="13.2">
      <c r="A190" s="41" t="s">
        <v>845</v>
      </c>
      <c r="B190" s="126" t="str">
        <f>HYPERLINK("http://codeforces.com/contest/445/problem/C","CF445-D2-C")</f>
        <v>CF445-D2-C</v>
      </c>
      <c r="C190" s="56"/>
      <c r="D190" s="56"/>
      <c r="E190" s="56"/>
      <c r="F190" s="56"/>
      <c r="G190" s="56"/>
      <c r="H190" s="56"/>
      <c r="I190" s="35">
        <f t="shared" si="3"/>
        <v>0</v>
      </c>
      <c r="J190" s="35"/>
      <c r="K190" s="35"/>
      <c r="L190" s="56"/>
      <c r="M190" s="48"/>
    </row>
    <row r="191" spans="1:13" ht="13.2">
      <c r="A191" s="41" t="s">
        <v>846</v>
      </c>
      <c r="B191" s="126" t="str">
        <f>HYPERLINK("http://codeforces.com/contest/501/problem/C","CF501-D2-C")</f>
        <v>CF501-D2-C</v>
      </c>
      <c r="C191" s="56"/>
      <c r="D191" s="56"/>
      <c r="E191" s="56"/>
      <c r="F191" s="56"/>
      <c r="G191" s="56"/>
      <c r="H191" s="56"/>
      <c r="I191" s="35">
        <f t="shared" si="3"/>
        <v>0</v>
      </c>
      <c r="J191" s="35"/>
      <c r="K191" s="35"/>
      <c r="L191" s="56"/>
      <c r="M191" s="48"/>
    </row>
    <row r="192" spans="1:13" ht="13.2">
      <c r="A192" s="41" t="s">
        <v>847</v>
      </c>
      <c r="B192" s="126" t="str">
        <f>HYPERLINK("http://codeforces.com/contest/450/problem/C","CF450-D2-C")</f>
        <v>CF450-D2-C</v>
      </c>
      <c r="C192" s="56"/>
      <c r="D192" s="56"/>
      <c r="E192" s="56"/>
      <c r="F192" s="56"/>
      <c r="G192" s="56"/>
      <c r="H192" s="56"/>
      <c r="I192" s="35">
        <f t="shared" si="3"/>
        <v>0</v>
      </c>
      <c r="J192" s="35"/>
      <c r="K192" s="35"/>
      <c r="L192" s="56"/>
      <c r="M192" s="48"/>
    </row>
    <row r="193" spans="1:13" ht="13.2">
      <c r="A193" s="41" t="s">
        <v>848</v>
      </c>
      <c r="B193" s="148" t="str">
        <f>HYPERLINK("http://codeforces.com/contest/670/problem/C","CF670-D2-C")</f>
        <v>CF670-D2-C</v>
      </c>
      <c r="C193" s="10"/>
      <c r="D193" s="10"/>
      <c r="E193" s="10"/>
      <c r="F193" s="10"/>
      <c r="G193" s="10"/>
      <c r="H193" s="10"/>
      <c r="I193" s="56">
        <f t="shared" si="3"/>
        <v>0</v>
      </c>
      <c r="J193" s="10"/>
      <c r="K193" s="10"/>
      <c r="L193" s="10"/>
      <c r="M193" s="10"/>
    </row>
    <row r="194" spans="1:13" ht="13.2">
      <c r="A194" s="41"/>
      <c r="B194" s="41"/>
      <c r="C194" s="56"/>
      <c r="D194" s="56"/>
      <c r="E194" s="56"/>
      <c r="F194" s="56"/>
      <c r="G194" s="56"/>
      <c r="H194" s="56"/>
      <c r="I194" s="35">
        <f t="shared" si="3"/>
        <v>0</v>
      </c>
      <c r="J194" s="35"/>
      <c r="K194" s="35"/>
      <c r="L194" s="56"/>
      <c r="M194" s="48"/>
    </row>
    <row r="195" spans="1:13" ht="13.2">
      <c r="A195" s="41" t="s">
        <v>849</v>
      </c>
      <c r="B195" s="126" t="str">
        <f>HYPERLINK("http://codeforces.com/contest/631/problem/C","CF631-D2-C")</f>
        <v>CF631-D2-C</v>
      </c>
      <c r="C195" s="56"/>
      <c r="D195" s="56"/>
      <c r="E195" s="56"/>
      <c r="F195" s="56"/>
      <c r="G195" s="56"/>
      <c r="H195" s="56"/>
      <c r="I195" s="35">
        <f t="shared" si="3"/>
        <v>0</v>
      </c>
      <c r="J195" s="35"/>
      <c r="K195" s="35"/>
      <c r="L195" s="56"/>
      <c r="M195" s="48"/>
    </row>
    <row r="196" spans="1:13" ht="13.2">
      <c r="A196" s="41" t="s">
        <v>850</v>
      </c>
      <c r="B196" s="126" t="str">
        <f>HYPERLINK("http://codeforces.com/contest/385/problem/C","CF385-D2-C")</f>
        <v>CF385-D2-C</v>
      </c>
      <c r="C196" s="56"/>
      <c r="D196" s="56"/>
      <c r="E196" s="56"/>
      <c r="F196" s="56"/>
      <c r="G196" s="56"/>
      <c r="H196" s="56"/>
      <c r="I196" s="35">
        <f t="shared" si="3"/>
        <v>0</v>
      </c>
      <c r="J196" s="35"/>
      <c r="K196" s="35"/>
      <c r="L196" s="56"/>
      <c r="M196" s="48"/>
    </row>
    <row r="197" spans="1:13" ht="13.2">
      <c r="A197" s="41" t="s">
        <v>851</v>
      </c>
      <c r="B197" s="126" t="str">
        <f>HYPERLINK("http://codeforces.com/contest/90/problem/C","CF90-D2-C")</f>
        <v>CF90-D2-C</v>
      </c>
      <c r="C197" s="56"/>
      <c r="D197" s="56"/>
      <c r="E197" s="56"/>
      <c r="F197" s="56"/>
      <c r="G197" s="56"/>
      <c r="H197" s="56"/>
      <c r="I197" s="35">
        <f t="shared" si="3"/>
        <v>0</v>
      </c>
      <c r="J197" s="35"/>
      <c r="K197" s="35"/>
      <c r="L197" s="56"/>
      <c r="M197" s="48"/>
    </row>
    <row r="198" spans="1:13" ht="13.2">
      <c r="A198" s="41" t="s">
        <v>852</v>
      </c>
      <c r="B198" s="126" t="str">
        <f>HYPERLINK("http://codeforces.com/contest/493/problem/C","CF493-D2-C")</f>
        <v>CF493-D2-C</v>
      </c>
      <c r="C198" s="56"/>
      <c r="D198" s="56"/>
      <c r="E198" s="56"/>
      <c r="F198" s="56"/>
      <c r="G198" s="56"/>
      <c r="H198" s="56"/>
      <c r="I198" s="35">
        <f t="shared" si="3"/>
        <v>0</v>
      </c>
      <c r="J198" s="35"/>
      <c r="K198" s="35"/>
      <c r="L198" s="56"/>
      <c r="M198" s="48"/>
    </row>
    <row r="199" spans="1:13" ht="13.2">
      <c r="A199" s="41" t="s">
        <v>853</v>
      </c>
      <c r="B199" s="126" t="str">
        <f>HYPERLINK("http://codeforces.com/contest/552/problem/C","CF552-D2-C")</f>
        <v>CF552-D2-C</v>
      </c>
      <c r="C199" s="56"/>
      <c r="D199" s="56"/>
      <c r="E199" s="56"/>
      <c r="F199" s="56"/>
      <c r="G199" s="56"/>
      <c r="H199" s="56"/>
      <c r="I199" s="35">
        <f t="shared" si="3"/>
        <v>0</v>
      </c>
      <c r="J199" s="35"/>
      <c r="K199" s="35"/>
      <c r="L199" s="56"/>
      <c r="M199" s="48"/>
    </row>
    <row r="200" spans="1:13" ht="13.2">
      <c r="A200" s="41" t="s">
        <v>854</v>
      </c>
      <c r="B200" s="126" t="str">
        <f>HYPERLINK("http://codeforces.com/contest/459/problem/C","CF459-D2-C")</f>
        <v>CF459-D2-C</v>
      </c>
      <c r="C200" s="56"/>
      <c r="D200" s="56"/>
      <c r="E200" s="56"/>
      <c r="F200" s="56"/>
      <c r="G200" s="56"/>
      <c r="H200" s="56"/>
      <c r="I200" s="35">
        <f t="shared" si="3"/>
        <v>0</v>
      </c>
      <c r="J200" s="35"/>
      <c r="K200" s="35"/>
      <c r="L200" s="56"/>
      <c r="M200" s="48"/>
    </row>
    <row r="201" spans="1:13" ht="13.2">
      <c r="A201" s="48" t="s">
        <v>855</v>
      </c>
      <c r="B201" s="71" t="str">
        <f>HYPERLINK("http://codeforces.com/contest/118/problem/C","CF118-D2-C")</f>
        <v>CF118-D2-C</v>
      </c>
      <c r="C201" s="10"/>
      <c r="D201" s="10"/>
      <c r="E201" s="10"/>
      <c r="F201" s="10"/>
      <c r="G201" s="10"/>
      <c r="H201" s="10"/>
      <c r="I201" s="56">
        <f t="shared" si="3"/>
        <v>0</v>
      </c>
      <c r="J201" s="10"/>
      <c r="K201" s="10"/>
      <c r="L201" s="10"/>
      <c r="M201" s="10"/>
    </row>
  </sheetData>
  <mergeCells count="2">
    <mergeCell ref="D156:G156"/>
    <mergeCell ref="J156:M156"/>
  </mergeCells>
  <conditionalFormatting sqref="C3:C201">
    <cfRule type="cellIs" dxfId="43" priority="4" operator="equal">
      <formula>"AC"</formula>
    </cfRule>
    <cfRule type="containsText" dxfId="42" priority="5" operator="containsText" text="WA">
      <formula>NOT(ISERROR(SEARCH(("WA"),(C3))))</formula>
    </cfRule>
    <cfRule type="containsText" dxfId="41" priority="7" operator="containsText" text="TLE">
      <formula>NOT(ISERROR(SEARCH(("TLE"),(C3))))</formula>
    </cfRule>
    <cfRule type="containsText" dxfId="40" priority="9" operator="containsText" text="RTE">
      <formula>NOT(ISERROR(SEARCH(("RTE"),(C3))))</formula>
    </cfRule>
    <cfRule type="containsText" dxfId="39" priority="11" operator="containsText" text="CS">
      <formula>NOT(ISERROR(SEARCH(("CS"),(C3))))</formula>
    </cfRule>
  </conditionalFormatting>
  <conditionalFormatting sqref="K3:K154 K158:K201">
    <cfRule type="cellIs" dxfId="38" priority="1" operator="equal">
      <formula>"No"</formula>
    </cfRule>
    <cfRule type="cellIs" dxfId="37" priority="2" operator="equal">
      <formula>"no"</formula>
    </cfRule>
    <cfRule type="cellIs" dxfId="36" priority="3" operator="equal">
      <formula>"NO"</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87"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88"/>
      <c r="B2" s="10" t="s">
        <v>159</v>
      </c>
      <c r="C2" s="36">
        <f>COUNTIF(C23:C10545, "AC")</f>
        <v>0</v>
      </c>
      <c r="D2" s="36" t="e">
        <f ca="1">ROUND(SUMPRODUCT(D23:D10545,INT(EQ(C23:C10545, "AC")))/MAX(1, C2),1)</f>
        <v>#NAME?</v>
      </c>
      <c r="E2" s="36" t="e">
        <f ca="1">ROUND(SUMPRODUCT(E23:E10567,INT(EQ(C23:C10567, "AC")))/MAX(1, C2),0)</f>
        <v>#NAME?</v>
      </c>
      <c r="F2" s="36" t="e">
        <f ca="1">ROUND(SUMPRODUCT(F23:F10570,INT(EQ(C23:C10570, "AC")))/MAX(1, C2),0)</f>
        <v>#NAME?</v>
      </c>
      <c r="G2" s="36" t="e">
        <f ca="1">ROUND(SUMPRODUCT(G23:G10570,INT(EQ(C23:C10570, "AC")))/MAX(1, C2),0)</f>
        <v>#NAME?</v>
      </c>
      <c r="H2" s="36" t="e">
        <f ca="1">ROUND(SUMPRODUCT(H23:H10570,INT(EQ(C23:C10570, "AC")))/MAX(1, C2),0)</f>
        <v>#NAME?</v>
      </c>
      <c r="I2" s="36" t="e">
        <f ca="1">ROUND(SUMPRODUCT(I23:I10542,INT(EQ(C23:C10542, "AC")))/MAX(1, C2),0)</f>
        <v>#NAME?</v>
      </c>
      <c r="J2" s="36" t="e">
        <f ca="1">ROUND(SUMPRODUCT(J23:J10540,INT(EQ(C23:C10540, "AC")))/MAX(1, C2),1)</f>
        <v>#NAME?</v>
      </c>
      <c r="K2" s="36" t="e">
        <f ca="1">SUMPRODUCT(EQ(K23:K10545, "YES"),INT(EQ(C23:C10570, "AC")))</f>
        <v>#NAME?</v>
      </c>
      <c r="L2" s="37">
        <f ca="1">IFERROR(__xludf.DUMMYFUNCTION("COUNTA(FILTER(C23:C10037, NOT(REGEXMATCH(C23:C10037, ""AC""))))"),0)</f>
        <v>0</v>
      </c>
      <c r="M2" s="38">
        <f ca="1">IFERROR(__xludf.DUMMYFUNCTION("COUNTA(FILTER(C23:C10031, NOT(REGEXMATCH(C23:C10031, ""AC""))))"),0)</f>
        <v>0</v>
      </c>
    </row>
    <row r="3" spans="1:13" ht="13.2">
      <c r="A3" s="48" t="s">
        <v>856</v>
      </c>
      <c r="B3" s="110" t="str">
        <f>HYPERLINK("http://codeforces.com/contest/63/problem/D","CF63-D2-D")</f>
        <v>CF63-D2-D</v>
      </c>
      <c r="C3" s="10"/>
      <c r="D3" s="170"/>
      <c r="E3" s="170"/>
      <c r="F3" s="10"/>
      <c r="G3" s="10"/>
      <c r="H3" s="10"/>
      <c r="I3" s="56">
        <f t="shared" ref="I3:I160" si="0">SUM(E3:H3)</f>
        <v>0</v>
      </c>
      <c r="J3" s="10"/>
      <c r="K3" s="10"/>
      <c r="L3" s="10"/>
      <c r="M3" s="10"/>
    </row>
    <row r="4" spans="1:13" ht="13.2">
      <c r="A4" s="48" t="s">
        <v>857</v>
      </c>
      <c r="B4" s="110" t="str">
        <f>HYPERLINK("http://codeforces.com/contest/474/problem/D","CF474-D2-D")</f>
        <v>CF474-D2-D</v>
      </c>
      <c r="C4" s="10"/>
      <c r="D4" s="170"/>
      <c r="E4" s="170"/>
      <c r="F4" s="10"/>
      <c r="G4" s="10"/>
      <c r="H4" s="10"/>
      <c r="I4" s="56">
        <f t="shared" si="0"/>
        <v>0</v>
      </c>
      <c r="J4" s="10"/>
      <c r="K4" s="10"/>
      <c r="L4" s="10"/>
      <c r="M4" s="59" t="str">
        <f>HYPERLINK("https://www.youtube.com/watch?v=uRCruqJOQXw","Video Solution - Solver to be (Java)")</f>
        <v>Video Solution - Solver to be (Java)</v>
      </c>
    </row>
    <row r="5" spans="1:13" ht="13.2">
      <c r="A5" s="48" t="s">
        <v>858</v>
      </c>
      <c r="B5" s="110" t="str">
        <f>HYPERLINK("http://codeforces.com/contest/400/problem/D","CF400-D2-D")</f>
        <v>CF400-D2-D</v>
      </c>
      <c r="C5" s="10"/>
      <c r="D5" s="170"/>
      <c r="E5" s="170"/>
      <c r="F5" s="10"/>
      <c r="G5" s="10"/>
      <c r="H5" s="10"/>
      <c r="I5" s="56">
        <f t="shared" si="0"/>
        <v>0</v>
      </c>
      <c r="J5" s="10"/>
      <c r="K5" s="10"/>
      <c r="L5" s="10"/>
      <c r="M5" s="48"/>
    </row>
    <row r="6" spans="1:13" ht="13.2">
      <c r="A6" s="48"/>
      <c r="B6" s="110" t="str">
        <f>HYPERLINK("http://codeforces.com/contest/1043/problem/C","CF1043-D12-C")</f>
        <v>CF1043-D12-C</v>
      </c>
      <c r="C6" s="10"/>
      <c r="D6" s="170"/>
      <c r="E6" s="170"/>
      <c r="F6" s="10"/>
      <c r="G6" s="10"/>
      <c r="H6" s="10"/>
      <c r="I6" s="56">
        <f t="shared" si="0"/>
        <v>0</v>
      </c>
      <c r="J6" s="10"/>
      <c r="K6" s="10"/>
      <c r="L6" s="10"/>
      <c r="M6" s="48"/>
    </row>
    <row r="7" spans="1:13" ht="13.2">
      <c r="A7" s="48"/>
      <c r="B7" s="110" t="str">
        <f>HYPERLINK("https://codeforces.com/contest/1033/problem/C","CF1033-D12-C")</f>
        <v>CF1033-D12-C</v>
      </c>
      <c r="C7" s="10"/>
      <c r="D7" s="170"/>
      <c r="E7" s="170"/>
      <c r="F7" s="10"/>
      <c r="G7" s="10"/>
      <c r="H7" s="10"/>
      <c r="I7" s="56">
        <f t="shared" si="0"/>
        <v>0</v>
      </c>
      <c r="J7" s="10"/>
      <c r="K7" s="10"/>
      <c r="L7" s="10"/>
      <c r="M7" s="48"/>
    </row>
    <row r="8" spans="1:13" ht="13.2">
      <c r="A8" s="48"/>
      <c r="B8" s="110" t="str">
        <f>HYPERLINK("https://codeforces.com/contest/1066/problem/E","CF1066-D3-E")</f>
        <v>CF1066-D3-E</v>
      </c>
      <c r="C8" s="10"/>
      <c r="D8" s="170"/>
      <c r="E8" s="170"/>
      <c r="F8" s="10"/>
      <c r="G8" s="10"/>
      <c r="H8" s="10"/>
      <c r="I8" s="56">
        <f t="shared" si="0"/>
        <v>0</v>
      </c>
      <c r="J8" s="10"/>
      <c r="K8" s="10"/>
      <c r="L8" s="10"/>
      <c r="M8" s="48"/>
    </row>
    <row r="9" spans="1:13" ht="13.2">
      <c r="A9" s="48"/>
      <c r="B9" s="110" t="str">
        <f>HYPERLINK("http://codeforces.com/contest/534/problem/D","CF534-D2-D")</f>
        <v>CF534-D2-D</v>
      </c>
      <c r="C9" s="10"/>
      <c r="D9" s="170"/>
      <c r="E9" s="170"/>
      <c r="F9" s="10"/>
      <c r="G9" s="10"/>
      <c r="H9" s="10"/>
      <c r="I9" s="56">
        <f t="shared" si="0"/>
        <v>0</v>
      </c>
      <c r="J9" s="10"/>
      <c r="K9" s="10"/>
      <c r="L9" s="10"/>
      <c r="M9" s="48"/>
    </row>
    <row r="10" spans="1:13" ht="13.2">
      <c r="A10" s="48"/>
      <c r="B10" s="110" t="str">
        <f>HYPERLINK("http://codeforces.com/problemset/problem/899/E","CF899-D2-E")</f>
        <v>CF899-D2-E</v>
      </c>
      <c r="C10" s="10"/>
      <c r="D10" s="170"/>
      <c r="E10" s="170"/>
      <c r="F10" s="10"/>
      <c r="G10" s="10"/>
      <c r="H10" s="10"/>
      <c r="I10" s="56">
        <f t="shared" si="0"/>
        <v>0</v>
      </c>
      <c r="J10" s="10"/>
      <c r="K10" s="10"/>
      <c r="L10" s="10"/>
      <c r="M10" s="48"/>
    </row>
    <row r="11" spans="1:13" ht="13.2">
      <c r="A11" s="48"/>
      <c r="B11" s="110" t="str">
        <f>HYPERLINK("http://codeforces.com/contest/729/problem/D","CF729-D12-D")</f>
        <v>CF729-D12-D</v>
      </c>
      <c r="C11" s="10"/>
      <c r="D11" s="170"/>
      <c r="E11" s="170"/>
      <c r="F11" s="10"/>
      <c r="G11" s="10"/>
      <c r="H11" s="10"/>
      <c r="I11" s="56">
        <f t="shared" si="0"/>
        <v>0</v>
      </c>
      <c r="J11" s="10"/>
      <c r="K11" s="10"/>
      <c r="L11" s="10"/>
      <c r="M11" s="48"/>
    </row>
    <row r="12" spans="1:13" ht="13.2">
      <c r="A12" s="129" t="s">
        <v>859</v>
      </c>
      <c r="B12" s="171" t="str">
        <f>HYPERLINK("http://codeforces.com/contest/340/problem/C","CF340-D2-C")</f>
        <v>CF340-D2-C</v>
      </c>
      <c r="C12" s="10"/>
      <c r="D12" s="170"/>
      <c r="E12" s="170"/>
      <c r="F12" s="10"/>
      <c r="G12" s="10"/>
      <c r="H12" s="10"/>
      <c r="I12" s="56">
        <f t="shared" si="0"/>
        <v>0</v>
      </c>
      <c r="J12" s="10"/>
      <c r="K12" s="10"/>
      <c r="L12" s="10"/>
      <c r="M12" s="48"/>
    </row>
    <row r="13" spans="1:13" ht="13.2">
      <c r="A13" s="129" t="s">
        <v>860</v>
      </c>
      <c r="B13" s="171" t="str">
        <f>HYPERLINK("http://codeforces.com/contest/697/problem/C","CF697-D2-C")</f>
        <v>CF697-D2-C</v>
      </c>
      <c r="C13" s="10"/>
      <c r="D13" s="170"/>
      <c r="E13" s="170"/>
      <c r="F13" s="10"/>
      <c r="G13" s="10"/>
      <c r="H13" s="10"/>
      <c r="I13" s="56">
        <f t="shared" si="0"/>
        <v>0</v>
      </c>
      <c r="J13" s="10"/>
      <c r="K13" s="10"/>
      <c r="L13" s="10"/>
      <c r="M13" s="48"/>
    </row>
    <row r="14" spans="1:13" ht="13.2">
      <c r="A14" s="129" t="s">
        <v>861</v>
      </c>
      <c r="B14" s="171" t="str">
        <f>HYPERLINK("http://codeforces.com/contest/404/problem/C","CF404-D2-C")</f>
        <v>CF404-D2-C</v>
      </c>
      <c r="C14" s="10"/>
      <c r="D14" s="170"/>
      <c r="E14" s="170"/>
      <c r="F14" s="10"/>
      <c r="G14" s="10"/>
      <c r="H14" s="10"/>
      <c r="I14" s="56">
        <f t="shared" si="0"/>
        <v>0</v>
      </c>
      <c r="J14" s="10"/>
      <c r="K14" s="10"/>
      <c r="L14" s="10"/>
      <c r="M14" s="48"/>
    </row>
    <row r="15" spans="1:13" ht="13.2">
      <c r="A15" s="168"/>
      <c r="B15" s="172" t="str">
        <f>HYPERLINK("http://codeforces.com/contest/309/problem/C","CF309-D1-C")</f>
        <v>CF309-D1-C</v>
      </c>
      <c r="C15" s="10"/>
      <c r="D15" s="170"/>
      <c r="E15" s="170"/>
      <c r="F15" s="10"/>
      <c r="G15" s="10"/>
      <c r="H15" s="10"/>
      <c r="I15" s="56">
        <f t="shared" si="0"/>
        <v>0</v>
      </c>
      <c r="J15" s="35"/>
      <c r="K15" s="35"/>
      <c r="L15" s="10"/>
      <c r="M15" s="173"/>
    </row>
    <row r="16" spans="1:13" ht="13.2">
      <c r="A16" s="66"/>
      <c r="B16" s="174" t="str">
        <f>HYPERLINK("http://codeforces.com/contest/101/problem/B","CF101-D1-B")</f>
        <v>CF101-D1-B</v>
      </c>
      <c r="C16" s="10"/>
      <c r="D16" s="170"/>
      <c r="E16" s="170"/>
      <c r="F16" s="10"/>
      <c r="G16" s="10"/>
      <c r="H16" s="10"/>
      <c r="I16" s="56">
        <f t="shared" si="0"/>
        <v>0</v>
      </c>
      <c r="J16" s="35"/>
      <c r="K16" s="35"/>
      <c r="L16" s="10"/>
      <c r="M16" s="126" t="str">
        <f>HYPERLINK("https://github.com/Huvok/CompetitiveProgramming/blob/master/Codeforces/CF101-D1-B.cpp","Sol")</f>
        <v>Sol</v>
      </c>
    </row>
    <row r="17" spans="1:13" ht="13.2">
      <c r="A17" s="66"/>
      <c r="B17" s="66" t="s">
        <v>862</v>
      </c>
      <c r="C17" s="10"/>
      <c r="D17" s="170"/>
      <c r="E17" s="170"/>
      <c r="F17" s="10"/>
      <c r="G17" s="10"/>
      <c r="H17" s="10"/>
      <c r="I17" s="56">
        <f t="shared" si="0"/>
        <v>0</v>
      </c>
      <c r="J17" s="35"/>
      <c r="K17" s="35"/>
      <c r="L17" s="10"/>
      <c r="M17" s="41"/>
    </row>
    <row r="18" spans="1:13" ht="13.2">
      <c r="A18" s="66"/>
      <c r="B18" s="174" t="str">
        <f>HYPERLINK("http://codeforces.com/problemset/problem/961/D","CF961-D12-D")</f>
        <v>CF961-D12-D</v>
      </c>
      <c r="C18" s="10"/>
      <c r="D18" s="170"/>
      <c r="E18" s="170"/>
      <c r="F18" s="10"/>
      <c r="G18" s="10"/>
      <c r="H18" s="10"/>
      <c r="I18" s="56">
        <f t="shared" si="0"/>
        <v>0</v>
      </c>
      <c r="J18" s="35"/>
      <c r="K18" s="35"/>
      <c r="L18" s="10"/>
      <c r="M18" s="41"/>
    </row>
    <row r="19" spans="1:13" ht="13.2">
      <c r="A19" s="66"/>
      <c r="B19" s="174" t="str">
        <f>HYPERLINK("http://codeforces.com/problemset/problem/955/C","CF955-D2-C")</f>
        <v>CF955-D2-C</v>
      </c>
      <c r="C19" s="10"/>
      <c r="D19" s="170"/>
      <c r="E19" s="170"/>
      <c r="F19" s="10"/>
      <c r="G19" s="10"/>
      <c r="H19" s="10"/>
      <c r="I19" s="56">
        <f t="shared" si="0"/>
        <v>0</v>
      </c>
      <c r="J19" s="35"/>
      <c r="K19" s="35"/>
      <c r="L19" s="10"/>
      <c r="M19" s="41"/>
    </row>
    <row r="20" spans="1:13" ht="13.2">
      <c r="A20" s="66"/>
      <c r="B20" s="66" t="s">
        <v>863</v>
      </c>
      <c r="C20" s="10"/>
      <c r="D20" s="170"/>
      <c r="E20" s="170"/>
      <c r="F20" s="10"/>
      <c r="G20" s="10"/>
      <c r="H20" s="10"/>
      <c r="I20" s="56">
        <f t="shared" si="0"/>
        <v>0</v>
      </c>
      <c r="J20" s="35"/>
      <c r="K20" s="35"/>
      <c r="L20" s="10"/>
      <c r="M20" s="126" t="str">
        <f>HYPERLINK("https://pastebin.com/WHzEMUew","Sol")</f>
        <v>Sol</v>
      </c>
    </row>
    <row r="21" spans="1:13" ht="13.2">
      <c r="A21" s="66"/>
      <c r="B21" s="174" t="str">
        <f>HYPERLINK("http://codeforces.com/contest/372/problem/B","CF372-D1-B")</f>
        <v>CF372-D1-B</v>
      </c>
      <c r="C21" s="10"/>
      <c r="D21" s="170"/>
      <c r="E21" s="170"/>
      <c r="F21" s="10"/>
      <c r="G21" s="10"/>
      <c r="H21" s="10"/>
      <c r="I21" s="56">
        <f t="shared" si="0"/>
        <v>0</v>
      </c>
      <c r="J21" s="35"/>
      <c r="K21" s="35"/>
      <c r="L21" s="10"/>
      <c r="M21" s="41"/>
    </row>
    <row r="22" spans="1:13" ht="13.2">
      <c r="A22" s="48"/>
      <c r="B22" s="10"/>
      <c r="C22" s="10"/>
      <c r="D22" s="170"/>
      <c r="E22" s="170"/>
      <c r="F22" s="10"/>
      <c r="G22" s="10"/>
      <c r="H22" s="10"/>
      <c r="I22" s="56">
        <f t="shared" si="0"/>
        <v>0</v>
      </c>
      <c r="J22" s="35"/>
      <c r="K22" s="35"/>
      <c r="L22" s="10"/>
      <c r="M22" s="173" t="str">
        <f>HYPERLINK("https://www.youtube.com/watch?v=OLu5oskGGqw&amp;list=PLPt2dINI2MIZX2EtY81WI-lDkvhKziLKM&amp;index=11","Watch - Data Structures - Segment Tree (2 vid)")</f>
        <v>Watch - Data Structures - Segment Tree (2 vid)</v>
      </c>
    </row>
    <row r="23" spans="1:13" ht="13.2">
      <c r="A23" s="175" t="s">
        <v>864</v>
      </c>
      <c r="B23" s="176" t="str">
        <f>HYPERLINK("https://uva.onlinejudge.org/index.php?option=com_onlinejudge&amp;Itemid=8&amp;page=show_problem&amp;problem=3977","UVA 12532")</f>
        <v>UVA 12532</v>
      </c>
      <c r="C23" s="10"/>
      <c r="D23" s="170"/>
      <c r="E23" s="170"/>
      <c r="F23" s="10"/>
      <c r="G23" s="10"/>
      <c r="H23" s="10"/>
      <c r="I23" s="56">
        <f t="shared" si="0"/>
        <v>0</v>
      </c>
      <c r="J23" s="35"/>
      <c r="K23" s="35"/>
      <c r="L23" s="10"/>
      <c r="M23" s="48"/>
    </row>
    <row r="24" spans="1:13" ht="13.2">
      <c r="A24" s="177" t="s">
        <v>865</v>
      </c>
      <c r="B24" s="178" t="str">
        <f>HYPERLINK("https://icpcarchive.ecs.baylor.edu/index.php?option=com_onlinejudge&amp;Itemid=8&amp;page=show_problem&amp;problem=192","LIVEARCHIVE 2191")</f>
        <v>LIVEARCHIVE 2191</v>
      </c>
      <c r="C24" s="10"/>
      <c r="D24" s="170"/>
      <c r="E24" s="170"/>
      <c r="F24" s="10"/>
      <c r="G24" s="10"/>
      <c r="H24" s="10"/>
      <c r="I24" s="56">
        <f t="shared" si="0"/>
        <v>0</v>
      </c>
      <c r="J24" s="35"/>
      <c r="K24" s="35"/>
      <c r="L24" s="10"/>
      <c r="M24" s="48"/>
    </row>
    <row r="25" spans="1:13" ht="13.2">
      <c r="A25" s="179" t="s">
        <v>866</v>
      </c>
      <c r="B25" s="178" t="str">
        <f>HYPERLINK("http://www.spoj.com/problems/CDC12_H","SPOJ CDC12_H")</f>
        <v>SPOJ CDC12_H</v>
      </c>
      <c r="C25" s="10"/>
      <c r="D25" s="170"/>
      <c r="E25" s="170"/>
      <c r="F25" s="10"/>
      <c r="G25" s="10"/>
      <c r="H25" s="10"/>
      <c r="I25" s="56">
        <f t="shared" si="0"/>
        <v>0</v>
      </c>
      <c r="J25" s="10"/>
      <c r="K25" s="10"/>
      <c r="L25" s="10"/>
      <c r="M25" s="10"/>
    </row>
    <row r="26" spans="1:13" ht="13.2">
      <c r="A26" s="177" t="s">
        <v>867</v>
      </c>
      <c r="B26" s="178" t="str">
        <f>HYPERLINK("http://www.spoj.com/problems/CNTPRIME","SPOJ CNTPRIME")</f>
        <v>SPOJ CNTPRIME</v>
      </c>
      <c r="C26" s="10"/>
      <c r="D26" s="170"/>
      <c r="E26" s="170"/>
      <c r="F26" s="10"/>
      <c r="G26" s="10"/>
      <c r="H26" s="10"/>
      <c r="I26" s="56">
        <f t="shared" si="0"/>
        <v>0</v>
      </c>
      <c r="J26" s="10"/>
      <c r="K26" s="10"/>
      <c r="L26" s="10"/>
      <c r="M26" s="10"/>
    </row>
    <row r="27" spans="1:13" ht="13.2">
      <c r="A27" s="177" t="s">
        <v>868</v>
      </c>
      <c r="B27" s="178" t="str">
        <f>HYPERLINK("http://www.spoj.com/problems/HORRIBLE","SPOJ HORRIBLE")</f>
        <v>SPOJ HORRIBLE</v>
      </c>
      <c r="C27" s="10"/>
      <c r="D27" s="170"/>
      <c r="E27" s="170"/>
      <c r="F27" s="10"/>
      <c r="G27" s="10"/>
      <c r="H27" s="10"/>
      <c r="I27" s="56">
        <f t="shared" si="0"/>
        <v>0</v>
      </c>
      <c r="J27" s="10"/>
      <c r="K27" s="10"/>
      <c r="L27" s="10"/>
      <c r="M27" s="10"/>
    </row>
    <row r="28" spans="1:13" ht="13.2">
      <c r="A28" s="177" t="s">
        <v>869</v>
      </c>
      <c r="B28" s="178" t="str">
        <f>HYPERLINK("http://www.spoj.com/problems/LITE/","SPOJ LITE")</f>
        <v>SPOJ LITE</v>
      </c>
      <c r="C28" s="10"/>
      <c r="D28" s="170"/>
      <c r="E28" s="170"/>
      <c r="F28" s="10"/>
      <c r="G28" s="10"/>
      <c r="H28" s="10"/>
      <c r="I28" s="56">
        <f t="shared" si="0"/>
        <v>0</v>
      </c>
      <c r="J28" s="35"/>
      <c r="K28" s="35"/>
      <c r="L28" s="10"/>
      <c r="M28" s="48"/>
    </row>
    <row r="29" spans="1:13" ht="13.2">
      <c r="A29" s="177" t="s">
        <v>870</v>
      </c>
      <c r="B29" s="180" t="str">
        <f>HYPERLINK("http://codeforces.com/contest/52/problem/C","CF52-D12-C")</f>
        <v>CF52-D12-C</v>
      </c>
      <c r="C29" s="10"/>
      <c r="D29" s="170"/>
      <c r="E29" s="170"/>
      <c r="F29" s="10"/>
      <c r="G29" s="10"/>
      <c r="H29" s="10"/>
      <c r="I29" s="56">
        <f t="shared" si="0"/>
        <v>0</v>
      </c>
      <c r="J29" s="10"/>
      <c r="K29" s="10"/>
      <c r="L29" s="10"/>
      <c r="M29" s="41"/>
    </row>
    <row r="30" spans="1:13" ht="13.2">
      <c r="A30" s="177" t="s">
        <v>871</v>
      </c>
      <c r="B30" s="178" t="str">
        <f>HYPERLINK("http://www.spoj.com/problems/CITY2/","SPOJ CITY2")</f>
        <v>SPOJ CITY2</v>
      </c>
      <c r="C30" s="10"/>
      <c r="D30" s="170"/>
      <c r="E30" s="170"/>
      <c r="F30" s="10"/>
      <c r="G30" s="10"/>
      <c r="H30" s="10"/>
      <c r="I30" s="56">
        <f t="shared" si="0"/>
        <v>0</v>
      </c>
      <c r="J30" s="35"/>
      <c r="K30" s="35"/>
      <c r="M30" s="126" t="str">
        <f>HYPERLINK("https://github.com/mostafa-saad/MyCompetitiveProgramming/blob/master/SPOJ/SPOJ_CITY2.txt","Sol")</f>
        <v>Sol</v>
      </c>
    </row>
    <row r="31" spans="1:13" ht="13.2">
      <c r="A31" s="175" t="s">
        <v>872</v>
      </c>
      <c r="B31" s="178" t="str">
        <f>HYPERLINK("https://uva.onlinejudge.org/index.php?option=com_onlinejudge&amp;Itemid=8&amp;page=show_problem&amp;problem=3720","UVA 12299")</f>
        <v>UVA 12299</v>
      </c>
      <c r="C31" s="10"/>
      <c r="D31" s="170"/>
      <c r="E31" s="170"/>
      <c r="F31" s="10"/>
      <c r="G31" s="10"/>
      <c r="H31" s="10"/>
      <c r="I31" s="56">
        <f t="shared" si="0"/>
        <v>0</v>
      </c>
      <c r="J31" s="35"/>
      <c r="K31" s="35"/>
      <c r="M31" s="126" t="str">
        <f>HYPERLINK("https://github.com/Emsawy/CompetitiveProgramming/blob/master/UVA/12299.cpp","See sscanf and sprintf usage")</f>
        <v>See sscanf and sprintf usage</v>
      </c>
    </row>
    <row r="32" spans="1:13" ht="16.5" customHeight="1">
      <c r="A32" s="175" t="s">
        <v>873</v>
      </c>
      <c r="B32" s="176" t="str">
        <f>HYPERLINK("http://codeforces.com/problemset/problem/514/D","CF514-D2-D")</f>
        <v>CF514-D2-D</v>
      </c>
      <c r="C32" s="10"/>
      <c r="D32" s="170"/>
      <c r="E32" s="170"/>
      <c r="F32" s="10"/>
      <c r="G32" s="10"/>
      <c r="H32" s="10"/>
      <c r="I32" s="56">
        <f t="shared" si="0"/>
        <v>0</v>
      </c>
      <c r="L32" s="10"/>
      <c r="M32" s="41" t="s">
        <v>874</v>
      </c>
    </row>
    <row r="33" spans="1:13" ht="13.2">
      <c r="A33" s="175" t="s">
        <v>875</v>
      </c>
      <c r="B33" s="181" t="str">
        <f>HYPERLINK("https://uva.onlinejudge.org/index.php?option=com_onlinejudge&amp;Itemid=8&amp;page=show_problem&amp;problem=2397","UVA 11402")</f>
        <v>UVA 11402</v>
      </c>
      <c r="C33" s="10"/>
      <c r="D33" s="170"/>
      <c r="E33" s="170"/>
      <c r="F33" s="10"/>
      <c r="G33" s="10"/>
      <c r="H33" s="10"/>
      <c r="I33" s="56">
        <f t="shared" si="0"/>
        <v>0</v>
      </c>
      <c r="J33" s="10"/>
      <c r="K33" s="10"/>
      <c r="L33" s="10"/>
      <c r="M33" s="126" t="str">
        <f>HYPERLINK("https://github.com/hosamk92/CompetitiveProgramming/blob/master/UVA/UVA%2011402.cpp","Sol")</f>
        <v>Sol</v>
      </c>
    </row>
    <row r="34" spans="1:13" ht="13.2">
      <c r="A34" s="158" t="s">
        <v>876</v>
      </c>
      <c r="B34" s="182" t="str">
        <f>HYPERLINK("http://www.spoj.com/problems/BRCKTS","SPOJ BRCKTS")</f>
        <v>SPOJ BRCKTS</v>
      </c>
      <c r="C34" s="10"/>
      <c r="D34" s="170"/>
      <c r="E34" s="170"/>
      <c r="F34" s="10"/>
      <c r="G34" s="10"/>
      <c r="H34" s="10"/>
      <c r="I34" s="56">
        <f t="shared" si="0"/>
        <v>0</v>
      </c>
      <c r="J34" s="10"/>
      <c r="K34" s="10"/>
      <c r="L34" s="10"/>
      <c r="M34" s="126" t="str">
        <f>HYPERLINK("https://github.com/AliOsm/CompetitiveProgramming/blob/master/SPOJ/BRCKTS%20-%20Brackets.cpp","Sol")</f>
        <v>Sol</v>
      </c>
    </row>
    <row r="35" spans="1:13" ht="13.2">
      <c r="A35" s="175" t="s">
        <v>877</v>
      </c>
      <c r="B35" s="181" t="str">
        <f>HYPERLINK("http://codeforces.com/contest/460/problem/C","CF460-D2-C")</f>
        <v>CF460-D2-C</v>
      </c>
      <c r="C35" s="10"/>
      <c r="D35" s="170"/>
      <c r="E35" s="170"/>
      <c r="F35" s="10"/>
      <c r="G35" s="10"/>
      <c r="H35" s="10"/>
      <c r="I35" s="56">
        <f t="shared" si="0"/>
        <v>0</v>
      </c>
      <c r="J35" s="10"/>
      <c r="K35" s="10"/>
      <c r="L35" s="10"/>
      <c r="M35" s="41"/>
    </row>
    <row r="36" spans="1:13" ht="13.2">
      <c r="A36" s="183" t="str">
        <f>HYPERLINK("https://community.topcoder.com/stat?c=problem_statement&amp;pm=1331&amp;rd=4550","MessageMess")</f>
        <v>MessageMess</v>
      </c>
      <c r="B36" s="184" t="s">
        <v>601</v>
      </c>
      <c r="C36" s="10"/>
      <c r="D36" s="170"/>
      <c r="E36" s="170"/>
      <c r="F36" s="10"/>
      <c r="G36" s="10"/>
      <c r="H36" s="10"/>
      <c r="I36" s="56">
        <f t="shared" si="0"/>
        <v>0</v>
      </c>
      <c r="J36" s="10"/>
      <c r="K36" s="10"/>
      <c r="L36" s="10"/>
      <c r="M36" s="41"/>
    </row>
    <row r="37" spans="1:13" ht="13.2">
      <c r="A37" s="172" t="str">
        <f>HYPERLINK("https://community.topcoder.com/stat?c=problem_statement&amp;pm=7601&amp;rd=10673","DiceGames")</f>
        <v>DiceGames</v>
      </c>
      <c r="B37" s="185" t="s">
        <v>768</v>
      </c>
      <c r="C37" s="10"/>
      <c r="D37" s="170"/>
      <c r="E37" s="170"/>
      <c r="F37" s="10"/>
      <c r="G37" s="10"/>
      <c r="H37" s="10"/>
      <c r="I37" s="56">
        <f t="shared" si="0"/>
        <v>0</v>
      </c>
      <c r="J37" s="10"/>
      <c r="K37" s="10"/>
      <c r="L37" s="10"/>
      <c r="M37" s="41"/>
    </row>
    <row r="38" spans="1:13" ht="13.2">
      <c r="A38" s="168" t="s">
        <v>878</v>
      </c>
      <c r="B38" s="186" t="str">
        <f>HYPERLINK("https://uva.onlinejudge.org/index.php?option=com_onlinejudge&amp;Itemid=8&amp;page=show_problem&amp;problem=407","UVA 466")</f>
        <v>UVA 466</v>
      </c>
      <c r="C38" s="10"/>
      <c r="D38" s="170"/>
      <c r="E38" s="170"/>
      <c r="F38" s="10"/>
      <c r="G38" s="10"/>
      <c r="H38" s="10"/>
      <c r="I38" s="56">
        <f t="shared" si="0"/>
        <v>0</v>
      </c>
      <c r="J38" s="10"/>
      <c r="K38" s="10"/>
      <c r="L38" s="10"/>
      <c r="M38" s="41"/>
    </row>
    <row r="39" spans="1:13" ht="13.2">
      <c r="A39" s="66" t="s">
        <v>879</v>
      </c>
      <c r="B39" s="187" t="str">
        <f>HYPERLINK("http://www.spoj.com/problems/KGSS/","SPOJ KGSS")</f>
        <v>SPOJ KGSS</v>
      </c>
      <c r="C39" s="10"/>
      <c r="D39" s="170"/>
      <c r="E39" s="170"/>
      <c r="F39" s="10"/>
      <c r="G39" s="10"/>
      <c r="H39" s="10"/>
      <c r="I39" s="56">
        <f t="shared" si="0"/>
        <v>0</v>
      </c>
      <c r="J39" s="35"/>
      <c r="K39" s="35"/>
      <c r="L39" s="10"/>
      <c r="M39" s="48"/>
    </row>
    <row r="40" spans="1:13" ht="13.2">
      <c r="A40" s="66"/>
      <c r="B40" s="66" t="s">
        <v>880</v>
      </c>
      <c r="C40" s="10"/>
      <c r="D40" s="170"/>
      <c r="E40" s="170"/>
      <c r="F40" s="10"/>
      <c r="G40" s="10"/>
      <c r="H40" s="10"/>
      <c r="I40" s="56">
        <f t="shared" si="0"/>
        <v>0</v>
      </c>
      <c r="J40" s="35"/>
      <c r="K40" s="35"/>
      <c r="L40" s="10"/>
      <c r="M40" s="48"/>
    </row>
    <row r="41" spans="1:13" ht="13.2">
      <c r="A41" s="66"/>
      <c r="B41" s="66" t="s">
        <v>881</v>
      </c>
      <c r="C41" s="10"/>
      <c r="D41" s="170"/>
      <c r="E41" s="170"/>
      <c r="F41" s="10"/>
      <c r="G41" s="10"/>
      <c r="H41" s="10"/>
      <c r="I41" s="56">
        <f t="shared" si="0"/>
        <v>0</v>
      </c>
      <c r="J41" s="35"/>
      <c r="K41" s="35"/>
      <c r="L41" s="10"/>
      <c r="M41" s="48"/>
    </row>
    <row r="42" spans="1:13" ht="13.2">
      <c r="A42" s="66"/>
      <c r="B42" s="187" t="str">
        <f>HYPERLINK("http://codeforces.com/contest/201/problem/B","CF201-D1-B")</f>
        <v>CF201-D1-B</v>
      </c>
      <c r="C42" s="10"/>
      <c r="D42" s="170"/>
      <c r="E42" s="170"/>
      <c r="F42" s="10"/>
      <c r="G42" s="10"/>
      <c r="H42" s="10"/>
      <c r="I42" s="56">
        <f t="shared" si="0"/>
        <v>0</v>
      </c>
      <c r="J42" s="35"/>
      <c r="K42" s="35"/>
      <c r="L42" s="10"/>
      <c r="M42" s="48"/>
    </row>
    <row r="43" spans="1:13" ht="13.2">
      <c r="A43" s="66"/>
      <c r="B43" s="187" t="str">
        <f>HYPERLINK("http://codeforces.com/contest/380/problem/C","CF380-D1-C")</f>
        <v>CF380-D1-C</v>
      </c>
      <c r="C43" s="10"/>
      <c r="D43" s="170"/>
      <c r="E43" s="170"/>
      <c r="F43" s="10"/>
      <c r="G43" s="10"/>
      <c r="H43" s="10"/>
      <c r="I43" s="56">
        <f t="shared" si="0"/>
        <v>0</v>
      </c>
      <c r="J43" s="35"/>
      <c r="K43" s="35"/>
      <c r="L43" s="10"/>
      <c r="M43" s="48"/>
    </row>
    <row r="44" spans="1:13" ht="13.2">
      <c r="A44" s="66"/>
      <c r="B44" s="187" t="str">
        <f>HYPERLINK("http://codeforces.com/contest/161/problem/D","CF161-D12-D")</f>
        <v>CF161-D12-D</v>
      </c>
      <c r="C44" s="10"/>
      <c r="D44" s="170"/>
      <c r="E44" s="170"/>
      <c r="F44" s="10"/>
      <c r="G44" s="10"/>
      <c r="H44" s="10"/>
      <c r="I44" s="56">
        <f t="shared" si="0"/>
        <v>0</v>
      </c>
      <c r="J44" s="35"/>
      <c r="K44" s="35"/>
      <c r="L44" s="10"/>
      <c r="M44" s="188" t="str">
        <f>HYPERLINK("https://codeforces.com/blog/entry/20935","Reading: DP on Trees")</f>
        <v>Reading: DP on Trees</v>
      </c>
    </row>
    <row r="45" spans="1:13" ht="13.2">
      <c r="A45" s="66"/>
      <c r="B45" s="187" t="str">
        <f>HYPERLINK("https://codeforces.com/problemset/problem/61/E","CF61-D2-E")</f>
        <v>CF61-D2-E</v>
      </c>
      <c r="C45" s="10"/>
      <c r="D45" s="10"/>
      <c r="E45" s="10"/>
      <c r="F45" s="10"/>
      <c r="G45" s="10"/>
      <c r="H45" s="10"/>
      <c r="I45" s="56">
        <f t="shared" si="0"/>
        <v>0</v>
      </c>
      <c r="J45" s="35"/>
      <c r="K45" s="35"/>
      <c r="L45" s="10"/>
      <c r="M45" s="189"/>
    </row>
    <row r="46" spans="1:13" ht="13.2">
      <c r="A46" s="66"/>
      <c r="B46" s="66" t="s">
        <v>882</v>
      </c>
      <c r="C46" s="10"/>
      <c r="D46" s="10"/>
      <c r="E46" s="10"/>
      <c r="F46" s="10"/>
      <c r="G46" s="10"/>
      <c r="H46" s="10"/>
      <c r="I46" s="56">
        <f t="shared" si="0"/>
        <v>0</v>
      </c>
      <c r="J46" s="35"/>
      <c r="K46" s="35"/>
      <c r="L46" s="10"/>
      <c r="M46" s="48"/>
    </row>
    <row r="47" spans="1:13" ht="13.2">
      <c r="A47" s="41"/>
      <c r="B47" s="52"/>
      <c r="C47" s="10"/>
      <c r="D47" s="170"/>
      <c r="E47" s="170"/>
      <c r="F47" s="10"/>
      <c r="G47" s="10"/>
      <c r="H47" s="10"/>
      <c r="I47" s="56">
        <f t="shared" si="0"/>
        <v>0</v>
      </c>
      <c r="J47" s="35"/>
      <c r="K47" s="35"/>
      <c r="L47" s="10"/>
      <c r="M47" s="48"/>
    </row>
    <row r="48" spans="1:13" ht="13.2">
      <c r="A48" s="41" t="s">
        <v>883</v>
      </c>
      <c r="B48" s="52" t="str">
        <f>HYPERLINK("http://codeforces.com/contest/151/problem/D","CF151-D2-D")</f>
        <v>CF151-D2-D</v>
      </c>
      <c r="C48" s="10"/>
      <c r="D48" s="170"/>
      <c r="E48" s="170"/>
      <c r="F48" s="10"/>
      <c r="G48" s="10"/>
      <c r="H48" s="10"/>
      <c r="I48" s="56">
        <f t="shared" si="0"/>
        <v>0</v>
      </c>
      <c r="J48" s="35"/>
      <c r="K48" s="35"/>
      <c r="L48" s="10"/>
      <c r="M48" s="48"/>
    </row>
    <row r="49" spans="1:13" ht="13.2">
      <c r="A49" s="41" t="s">
        <v>884</v>
      </c>
      <c r="B49" s="52" t="str">
        <f>HYPERLINK("http://codeforces.com/contest/61/problem/D","CF61-D2-D")</f>
        <v>CF61-D2-D</v>
      </c>
      <c r="C49" s="10"/>
      <c r="D49" s="170"/>
      <c r="E49" s="170"/>
      <c r="F49" s="10"/>
      <c r="G49" s="10"/>
      <c r="H49" s="10"/>
      <c r="I49" s="56">
        <f t="shared" si="0"/>
        <v>0</v>
      </c>
      <c r="J49" s="35"/>
      <c r="K49" s="35"/>
      <c r="L49" s="10"/>
      <c r="M49" s="48"/>
    </row>
    <row r="50" spans="1:13" ht="13.2">
      <c r="A50" s="41" t="s">
        <v>885</v>
      </c>
      <c r="B50" s="148" t="str">
        <f>HYPERLINK("http://codeforces.com/contest/808/problem/D","CF808-D2-D")</f>
        <v>CF808-D2-D</v>
      </c>
      <c r="C50" s="10"/>
      <c r="D50" s="170"/>
      <c r="E50" s="170"/>
      <c r="F50" s="10"/>
      <c r="G50" s="10"/>
      <c r="H50" s="10"/>
      <c r="I50" s="56">
        <f t="shared" si="0"/>
        <v>0</v>
      </c>
      <c r="J50" s="35"/>
      <c r="K50" s="35"/>
      <c r="L50" s="10"/>
      <c r="M50" s="50" t="str">
        <f>HYPERLINK("https://www.youtube.com/watch?v=wL0s8xIQYbk","Video Solution - Solver to be (Java)")</f>
        <v>Video Solution - Solver to be (Java)</v>
      </c>
    </row>
    <row r="51" spans="1:13" ht="13.2">
      <c r="A51" s="41"/>
      <c r="B51" s="148" t="str">
        <f>HYPERLINK("http://codeforces.com/contest/45/problem/D","CF45-D12-D")</f>
        <v>CF45-D12-D</v>
      </c>
      <c r="C51" s="10"/>
      <c r="D51" s="170"/>
      <c r="E51" s="170"/>
      <c r="F51" s="10"/>
      <c r="G51" s="10"/>
      <c r="H51" s="10"/>
      <c r="I51" s="56">
        <f t="shared" si="0"/>
        <v>0</v>
      </c>
      <c r="J51" s="35"/>
      <c r="K51" s="35"/>
      <c r="L51" s="10"/>
      <c r="M51" s="48"/>
    </row>
    <row r="52" spans="1:13" ht="13.2">
      <c r="A52" s="41"/>
      <c r="B52" s="41" t="s">
        <v>886</v>
      </c>
      <c r="C52" s="10"/>
      <c r="D52" s="170"/>
      <c r="E52" s="170"/>
      <c r="F52" s="10"/>
      <c r="G52" s="10"/>
      <c r="H52" s="10"/>
      <c r="I52" s="56">
        <f t="shared" si="0"/>
        <v>0</v>
      </c>
      <c r="J52" s="35"/>
      <c r="K52" s="35"/>
      <c r="L52" s="10"/>
      <c r="M52" s="48"/>
    </row>
    <row r="53" spans="1:13" ht="13.2">
      <c r="A53" s="41"/>
      <c r="B53" s="148" t="str">
        <f>HYPERLINK("http://codeforces.com/problemsets/acmsguru/problem/99999/321","SGU 321")</f>
        <v>SGU 321</v>
      </c>
      <c r="C53" s="10"/>
      <c r="D53" s="170"/>
      <c r="E53" s="170"/>
      <c r="F53" s="10"/>
      <c r="G53" s="10"/>
      <c r="H53" s="10"/>
      <c r="I53" s="56">
        <f t="shared" si="0"/>
        <v>0</v>
      </c>
      <c r="J53" s="35"/>
      <c r="K53" s="35"/>
      <c r="L53" s="10"/>
      <c r="M53" s="50" t="str">
        <f>HYPERLINK("https://github.com/mostafa-saad/MyCompetitiveProgramming/blob/master/SGU/SGU_321.txt","Sol")</f>
        <v>Sol</v>
      </c>
    </row>
    <row r="54" spans="1:13" ht="13.2">
      <c r="A54" s="41"/>
      <c r="B54" s="148" t="str">
        <f>HYPERLINK("https://www.codechef.com/LTIME64B/problems/OPPOSITE", "CODECHEF OPPOSITE")</f>
        <v>CODECHEF OPPOSITE</v>
      </c>
      <c r="C54" s="10"/>
      <c r="D54" s="170"/>
      <c r="E54" s="170"/>
      <c r="F54" s="10"/>
      <c r="G54" s="10"/>
      <c r="H54" s="10"/>
      <c r="I54" s="56">
        <f t="shared" si="0"/>
        <v>0</v>
      </c>
      <c r="J54" s="35"/>
      <c r="K54" s="35"/>
      <c r="L54" s="10"/>
      <c r="M54" s="48"/>
    </row>
    <row r="55" spans="1:13" ht="13.2">
      <c r="A55" s="41"/>
      <c r="B55" s="41" t="s">
        <v>887</v>
      </c>
      <c r="C55" s="10"/>
      <c r="D55" s="170"/>
      <c r="E55" s="170"/>
      <c r="F55" s="10"/>
      <c r="G55" s="10"/>
      <c r="H55" s="10"/>
      <c r="I55" s="56">
        <f t="shared" si="0"/>
        <v>0</v>
      </c>
      <c r="J55" s="35"/>
      <c r="K55" s="35"/>
      <c r="L55" s="10"/>
      <c r="M55" s="48"/>
    </row>
    <row r="56" spans="1:13" ht="13.2">
      <c r="A56" s="41"/>
      <c r="B56" s="41" t="s">
        <v>888</v>
      </c>
      <c r="C56" s="10"/>
      <c r="D56" s="170"/>
      <c r="E56" s="170"/>
      <c r="F56" s="10"/>
      <c r="G56" s="10"/>
      <c r="H56" s="10"/>
      <c r="I56" s="56">
        <f t="shared" si="0"/>
        <v>0</v>
      </c>
      <c r="J56" s="35"/>
      <c r="K56" s="35"/>
      <c r="L56" s="10"/>
      <c r="M56" s="48"/>
    </row>
    <row r="57" spans="1:13" ht="13.2">
      <c r="A57" s="41"/>
      <c r="B57" s="41" t="s">
        <v>889</v>
      </c>
      <c r="C57" s="10"/>
      <c r="D57" s="170"/>
      <c r="E57" s="170"/>
      <c r="F57" s="10"/>
      <c r="G57" s="10"/>
      <c r="H57" s="10"/>
      <c r="I57" s="56">
        <f t="shared" si="0"/>
        <v>0</v>
      </c>
      <c r="J57" s="35"/>
      <c r="K57" s="35"/>
      <c r="L57" s="10"/>
      <c r="M57" s="48"/>
    </row>
    <row r="58" spans="1:13" ht="13.2">
      <c r="A58" s="129" t="s">
        <v>890</v>
      </c>
      <c r="B58" s="190" t="str">
        <f>HYPERLINK("http://codeforces.com/contest/216/problem/C","CF216-D2-C")</f>
        <v>CF216-D2-C</v>
      </c>
      <c r="C58" s="10"/>
      <c r="D58" s="170"/>
      <c r="E58" s="170"/>
      <c r="F58" s="10"/>
      <c r="G58" s="10"/>
      <c r="H58" s="10"/>
      <c r="I58" s="56">
        <f t="shared" si="0"/>
        <v>0</v>
      </c>
      <c r="J58" s="35"/>
      <c r="K58" s="35"/>
      <c r="L58" s="10"/>
      <c r="M58" s="48"/>
    </row>
    <row r="59" spans="1:13" ht="13.2">
      <c r="A59" s="129" t="s">
        <v>891</v>
      </c>
      <c r="B59" s="190" t="str">
        <f>HYPERLINK("http://codeforces.com/contest/535/problem/C","CF535-D2-C")</f>
        <v>CF535-D2-C</v>
      </c>
      <c r="C59" s="10"/>
      <c r="D59" s="170"/>
      <c r="E59" s="170"/>
      <c r="F59" s="10"/>
      <c r="G59" s="10"/>
      <c r="H59" s="10"/>
      <c r="I59" s="56">
        <f t="shared" si="0"/>
        <v>0</v>
      </c>
      <c r="J59" s="35"/>
      <c r="K59" s="35"/>
      <c r="L59" s="10"/>
      <c r="M59" s="48"/>
    </row>
    <row r="60" spans="1:13" ht="13.2">
      <c r="A60" s="129" t="s">
        <v>892</v>
      </c>
      <c r="B60" s="190" t="str">
        <f>HYPERLINK("http://codeforces.com/contest/189/problem/C","CF189-D2-C")</f>
        <v>CF189-D2-C</v>
      </c>
      <c r="C60" s="10"/>
      <c r="D60" s="170"/>
      <c r="E60" s="170"/>
      <c r="F60" s="10"/>
      <c r="G60" s="10"/>
      <c r="H60" s="10"/>
      <c r="I60" s="56">
        <f t="shared" si="0"/>
        <v>0</v>
      </c>
      <c r="J60" s="35"/>
      <c r="K60" s="35"/>
      <c r="M60" s="109" t="str">
        <f>HYPERLINK("https://github.com/MedoN11/CompetitiveProgramming/blob/master/CodeForces/CF189-D1-C.cpp","Sol")</f>
        <v>Sol</v>
      </c>
    </row>
    <row r="61" spans="1:13" ht="13.2">
      <c r="A61" s="10"/>
      <c r="B61" s="10"/>
      <c r="C61" s="10"/>
      <c r="D61" s="170"/>
      <c r="E61" s="170"/>
      <c r="F61" s="10"/>
      <c r="G61" s="10"/>
      <c r="H61" s="10"/>
      <c r="I61" s="56">
        <f t="shared" si="0"/>
        <v>0</v>
      </c>
      <c r="J61" s="10"/>
      <c r="K61" s="10"/>
      <c r="L61" s="10"/>
      <c r="M61" s="191" t="str">
        <f>HYPERLINK("https://www.youtube.com/watch?v=n-Xwrr8RFQ0","Watch - Two pointers technique")</f>
        <v>Watch - Two pointers technique</v>
      </c>
    </row>
    <row r="62" spans="1:13" ht="13.2">
      <c r="A62" s="62" t="s">
        <v>893</v>
      </c>
      <c r="B62" s="192" t="str">
        <f>HYPERLINK("http://codeforces.com/contest/216/problem/D","CF216-D2-D")</f>
        <v>CF216-D2-D</v>
      </c>
      <c r="C62" s="10"/>
      <c r="D62" s="170"/>
      <c r="E62" s="170"/>
      <c r="F62" s="10"/>
      <c r="G62" s="10"/>
      <c r="H62" s="10"/>
      <c r="I62" s="56">
        <f t="shared" si="0"/>
        <v>0</v>
      </c>
      <c r="J62" s="10"/>
      <c r="K62" s="10"/>
      <c r="L62" s="10"/>
      <c r="M62" s="10"/>
    </row>
    <row r="63" spans="1:13" ht="13.2">
      <c r="A63" s="62" t="s">
        <v>894</v>
      </c>
      <c r="B63" s="193" t="str">
        <f>HYPERLINK("http://codeforces.com/contest/334/problem/D","CF334-D2-D")</f>
        <v>CF334-D2-D</v>
      </c>
      <c r="C63" s="10"/>
      <c r="D63" s="170"/>
      <c r="E63" s="170"/>
      <c r="F63" s="10"/>
      <c r="G63" s="10"/>
      <c r="H63" s="10"/>
      <c r="I63" s="56">
        <f t="shared" si="0"/>
        <v>0</v>
      </c>
      <c r="J63" s="10"/>
      <c r="K63" s="10"/>
      <c r="L63" s="10"/>
      <c r="M63" s="10"/>
    </row>
    <row r="64" spans="1:13" ht="13.2">
      <c r="A64" s="62" t="s">
        <v>895</v>
      </c>
      <c r="B64" s="193" t="str">
        <f>HYPERLINK("http://codeforces.com/contest/676/problem/C","CF676-D2-C")</f>
        <v>CF676-D2-C</v>
      </c>
      <c r="C64" s="10"/>
      <c r="D64" s="170"/>
      <c r="E64" s="170"/>
      <c r="F64" s="10"/>
      <c r="G64" s="10"/>
      <c r="H64" s="10"/>
      <c r="I64" s="56">
        <f t="shared" si="0"/>
        <v>0</v>
      </c>
      <c r="J64" s="10"/>
      <c r="K64" s="10"/>
      <c r="L64" s="10"/>
      <c r="M64" s="10"/>
    </row>
    <row r="65" spans="1:13" ht="13.2">
      <c r="A65" s="66" t="s">
        <v>896</v>
      </c>
      <c r="B65" s="127" t="str">
        <f>HYPERLINK("https://icpcarchive.ecs.baylor.edu/index.php?option=com_onlinejudge&amp;Itemid=8&amp;category=19&amp;page=show_problem&amp;problem=1635","LiveArchive 3634")</f>
        <v>LiveArchive 3634</v>
      </c>
      <c r="C65" s="10"/>
      <c r="D65" s="170"/>
      <c r="E65" s="170"/>
      <c r="F65" s="10"/>
      <c r="G65" s="10"/>
      <c r="H65" s="10"/>
      <c r="I65" s="56">
        <f t="shared" si="0"/>
        <v>0</v>
      </c>
      <c r="J65" s="10"/>
      <c r="K65" s="10"/>
      <c r="L65" s="10"/>
      <c r="M65" s="109" t="str">
        <f>HYPERLINK("https://github.com/SaraElkadi/competitive-programming-/blob/master/LiveArchive/3634.cpp","Sol")</f>
        <v>Sol</v>
      </c>
    </row>
    <row r="66" spans="1:13" ht="13.2">
      <c r="A66" s="66" t="s">
        <v>897</v>
      </c>
      <c r="B66" s="127" t="str">
        <f>HYPERLINK("https://uva.onlinejudge.org/index.php?option=com_onlinejudge&amp;Itemid=8&amp;page=show_problem&amp;problem=4467","UVA 1592")</f>
        <v>UVA 1592</v>
      </c>
      <c r="C66" s="10"/>
      <c r="D66" s="170"/>
      <c r="E66" s="170"/>
      <c r="F66" s="10"/>
      <c r="G66" s="10"/>
      <c r="H66" s="10"/>
      <c r="I66" s="56">
        <f t="shared" si="0"/>
        <v>0</v>
      </c>
      <c r="J66" s="10"/>
      <c r="K66" s="10"/>
      <c r="L66" s="10"/>
    </row>
    <row r="67" spans="1:13" ht="13.2">
      <c r="A67" s="66" t="s">
        <v>898</v>
      </c>
      <c r="B67" s="127" t="str">
        <f>HYPERLINK("http://www.spoj.com/problems/GSS1/","SPOJ GSS1")</f>
        <v>SPOJ GSS1</v>
      </c>
      <c r="C67" s="10"/>
      <c r="D67" s="170"/>
      <c r="E67" s="170"/>
      <c r="F67" s="10"/>
      <c r="G67" s="10"/>
      <c r="H67" s="10"/>
      <c r="I67" s="56">
        <f t="shared" si="0"/>
        <v>0</v>
      </c>
      <c r="J67" s="10"/>
      <c r="K67" s="10"/>
      <c r="L67" s="110"/>
      <c r="M67" s="109" t="str">
        <f>HYPERLINK("https://github.com/AliOsm/CompetitiveProgramming/blob/master/SPOJ/GSS1%20-%20Can%20you%20answer%20these%20queries%20I.cpp","Sol")</f>
        <v>Sol</v>
      </c>
    </row>
    <row r="68" spans="1:13" ht="13.2">
      <c r="A68" s="66"/>
      <c r="B68" s="143" t="str">
        <f>HYPERLINK("https://www.spoj.com/problems/BILLIARD/","SPOJ BILLIARD")</f>
        <v>SPOJ BILLIARD</v>
      </c>
      <c r="C68" s="10"/>
      <c r="D68" s="170"/>
      <c r="E68" s="170"/>
      <c r="F68" s="10"/>
      <c r="G68" s="10"/>
      <c r="H68" s="10"/>
      <c r="I68" s="56">
        <f t="shared" si="0"/>
        <v>0</v>
      </c>
      <c r="J68" s="10"/>
      <c r="K68" s="10"/>
      <c r="L68" s="110"/>
      <c r="M68" s="109" t="str">
        <f>HYPERLINK("https://github.com/osamahatem/CompetitiveProgramming/blob/master/SPOJ/BILLIARD.cpp","Sol")</f>
        <v>Sol</v>
      </c>
    </row>
    <row r="69" spans="1:13" ht="13.2">
      <c r="A69" s="66" t="s">
        <v>899</v>
      </c>
      <c r="B69" s="127" t="str">
        <f>HYPERLINK("http://www.spoj.com/problems/GSS3/","SPOJ GSS3")</f>
        <v>SPOJ GSS3</v>
      </c>
      <c r="C69" s="10"/>
      <c r="D69" s="170"/>
      <c r="E69" s="170"/>
      <c r="F69" s="10"/>
      <c r="G69" s="10"/>
      <c r="H69" s="10"/>
      <c r="I69" s="56">
        <f t="shared" si="0"/>
        <v>0</v>
      </c>
      <c r="J69" s="10"/>
      <c r="K69" s="10"/>
      <c r="L69" s="10"/>
    </row>
    <row r="70" spans="1:13" ht="13.2">
      <c r="A70" s="66"/>
      <c r="B70" s="66" t="s">
        <v>900</v>
      </c>
      <c r="C70" s="10"/>
      <c r="D70" s="170"/>
      <c r="E70" s="170"/>
      <c r="F70" s="10"/>
      <c r="G70" s="10"/>
      <c r="H70" s="10"/>
      <c r="I70" s="56">
        <f t="shared" si="0"/>
        <v>0</v>
      </c>
      <c r="J70" s="10"/>
      <c r="K70" s="10"/>
      <c r="L70" s="10"/>
      <c r="M70" s="109" t="str">
        <f>HYPERLINK("https://github.com/mostafa-saad/MyCompetitiveProgramming/blob/master/SPOJ/SPOJ_ABA12E.txt","Sol")</f>
        <v>Sol</v>
      </c>
    </row>
    <row r="71" spans="1:13" ht="13.2">
      <c r="A71" s="66"/>
      <c r="B71" s="66" t="s">
        <v>901</v>
      </c>
      <c r="C71" s="10"/>
      <c r="D71" s="170"/>
      <c r="E71" s="170"/>
      <c r="F71" s="10"/>
      <c r="G71" s="10"/>
      <c r="H71" s="10"/>
      <c r="I71" s="56">
        <f t="shared" si="0"/>
        <v>0</v>
      </c>
      <c r="J71" s="10"/>
      <c r="K71" s="10"/>
      <c r="L71" s="10"/>
      <c r="M71" s="109" t="str">
        <f>HYPERLINK("https://github.com/ilyesG/Competitive-Programming/blob/master/UVA/UVA%2011825.cpp","Sol")</f>
        <v>Sol</v>
      </c>
    </row>
    <row r="72" spans="1:13" ht="13.2">
      <c r="A72" s="66"/>
      <c r="B72" s="194" t="str">
        <f>HYPERLINK("http://codeforces.com/contest/472/problem/D","CF472-D12-D")</f>
        <v>CF472-D12-D</v>
      </c>
      <c r="C72" s="10"/>
      <c r="D72" s="170"/>
      <c r="E72" s="170"/>
      <c r="F72" s="10"/>
      <c r="G72" s="10"/>
      <c r="H72" s="10"/>
      <c r="I72" s="56">
        <f t="shared" si="0"/>
        <v>0</v>
      </c>
      <c r="J72" s="10"/>
      <c r="K72" s="10"/>
      <c r="L72" s="10"/>
    </row>
    <row r="73" spans="1:13" ht="13.2">
      <c r="A73" s="66"/>
      <c r="B73" s="66" t="s">
        <v>902</v>
      </c>
      <c r="C73" s="10"/>
      <c r="D73" s="170"/>
      <c r="E73" s="170"/>
      <c r="F73" s="10"/>
      <c r="G73" s="10"/>
      <c r="H73" s="10"/>
      <c r="I73" s="56">
        <f t="shared" si="0"/>
        <v>0</v>
      </c>
      <c r="J73" s="10"/>
      <c r="K73" s="10"/>
      <c r="L73" s="10"/>
      <c r="M73" s="109" t="str">
        <f>HYPERLINK("https://github.com/yazanKabbany/CompetitiveProgramming/blob/master/UVA/UVA%2012325.cpp","Prove your Solution")</f>
        <v>Prove your Solution</v>
      </c>
    </row>
    <row r="74" spans="1:13" ht="13.2">
      <c r="A74" s="66"/>
      <c r="B74" s="66" t="s">
        <v>903</v>
      </c>
      <c r="C74" s="10"/>
      <c r="D74" s="170"/>
      <c r="E74" s="170"/>
      <c r="F74" s="10"/>
      <c r="G74" s="10"/>
      <c r="H74" s="10"/>
      <c r="I74" s="56">
        <f t="shared" si="0"/>
        <v>0</v>
      </c>
      <c r="J74" s="10"/>
      <c r="K74" s="10"/>
      <c r="L74" s="10"/>
      <c r="M74" s="109" t="str">
        <f>HYPERLINK("https://github.com/ilyesG/Competitive-Programming/blob/master/UVA/UVA%2012047.cpp","Sol")</f>
        <v>Sol</v>
      </c>
    </row>
    <row r="75" spans="1:13" ht="13.2">
      <c r="A75" s="66"/>
      <c r="B75" s="66" t="s">
        <v>904</v>
      </c>
      <c r="C75" s="10"/>
      <c r="D75" s="170"/>
      <c r="E75" s="170"/>
      <c r="F75" s="10"/>
      <c r="G75" s="10"/>
      <c r="H75" s="10"/>
      <c r="I75" s="56">
        <f t="shared" si="0"/>
        <v>0</v>
      </c>
      <c r="J75" s="10"/>
      <c r="K75" s="10"/>
      <c r="L75" s="10"/>
      <c r="M75" s="109" t="str">
        <f>HYPERLINK("https://github.com/ilyesG/Competitive-Programming/blob/master/UVA/UVA%2010705.cpp","Sol")</f>
        <v>Sol</v>
      </c>
    </row>
    <row r="76" spans="1:13" ht="13.2">
      <c r="A76" s="66"/>
      <c r="B76" s="194" t="str">
        <f>HYPERLINK("https://uva.onlinejudge.org/index.php?option=onlinejudge&amp;page=show_problem&amp;problem=4330","UVA 1555")</f>
        <v>UVA 1555</v>
      </c>
      <c r="C76" s="10"/>
      <c r="D76" s="170"/>
      <c r="E76" s="170"/>
      <c r="F76" s="10"/>
      <c r="G76" s="10"/>
      <c r="H76" s="10"/>
      <c r="I76" s="56">
        <f t="shared" si="0"/>
        <v>0</v>
      </c>
      <c r="J76" s="10"/>
      <c r="K76" s="10"/>
      <c r="L76" s="10"/>
      <c r="M76" s="195" t="str">
        <f>HYPERLINK("https://github.com/mostafa-saad/MyCompetitiveProgramming/blob/master/UVA/UVA_1555.txt","Sol")</f>
        <v>Sol</v>
      </c>
    </row>
    <row r="77" spans="1:13" ht="13.2">
      <c r="A77" s="66"/>
      <c r="B77" s="194" t="str">
        <f>HYPERLINK("http://codeforces.com/contest/80/problem/D","CF80-D2-D")</f>
        <v>CF80-D2-D</v>
      </c>
      <c r="C77" s="10"/>
      <c r="D77" s="170"/>
      <c r="E77" s="170"/>
      <c r="F77" s="10"/>
      <c r="G77" s="10"/>
      <c r="H77" s="10"/>
      <c r="I77" s="56">
        <f t="shared" si="0"/>
        <v>0</v>
      </c>
      <c r="J77" s="10"/>
      <c r="K77" s="10"/>
      <c r="L77" s="10"/>
    </row>
    <row r="78" spans="1:13" ht="13.2">
      <c r="A78" s="51"/>
      <c r="B78" s="52"/>
      <c r="C78" s="10"/>
      <c r="D78" s="170"/>
      <c r="E78" s="170"/>
      <c r="F78" s="10"/>
      <c r="G78" s="10"/>
      <c r="H78" s="10"/>
      <c r="I78" s="56">
        <f t="shared" si="0"/>
        <v>0</v>
      </c>
      <c r="J78" s="35"/>
      <c r="K78" s="35"/>
      <c r="L78" s="10"/>
      <c r="M78" s="48"/>
    </row>
    <row r="79" spans="1:13" ht="13.2">
      <c r="A79" s="51" t="s">
        <v>905</v>
      </c>
      <c r="B79" s="196" t="str">
        <f>HYPERLINK("http://codeforces.com/contest/766/problem/D","CF766-D2-D")</f>
        <v>CF766-D2-D</v>
      </c>
      <c r="C79" s="10"/>
      <c r="D79" s="170"/>
      <c r="E79" s="170"/>
      <c r="F79" s="10"/>
      <c r="G79" s="10"/>
      <c r="H79" s="10"/>
      <c r="I79" s="56">
        <f t="shared" si="0"/>
        <v>0</v>
      </c>
      <c r="J79" s="35"/>
      <c r="K79" s="35"/>
      <c r="L79" s="10"/>
      <c r="M79" s="50" t="str">
        <f>HYPERLINK("https://www.youtube.com/watch?v=W0O3QNh0-DU","Video Solution - Solver to be (Java)")</f>
        <v>Video Solution - Solver to be (Java)</v>
      </c>
    </row>
    <row r="80" spans="1:13" ht="13.2">
      <c r="A80" s="51" t="s">
        <v>906</v>
      </c>
      <c r="B80" s="196" t="str">
        <f>HYPERLINK("http://codeforces.com/contest/814/problem/D","CF814-D2-D")</f>
        <v>CF814-D2-D</v>
      </c>
      <c r="C80" s="10"/>
      <c r="D80" s="170"/>
      <c r="E80" s="170"/>
      <c r="F80" s="10"/>
      <c r="G80" s="10"/>
      <c r="H80" s="10"/>
      <c r="I80" s="56">
        <f t="shared" si="0"/>
        <v>0</v>
      </c>
      <c r="J80" s="35"/>
      <c r="K80" s="35"/>
      <c r="L80" s="10"/>
      <c r="M80" s="50" t="str">
        <f>HYPERLINK("https://www.youtube.com/watch?v=UWtHck3a4SA","Video Solution - Solver to be (Java)")</f>
        <v>Video Solution - Solver to be (Java)</v>
      </c>
    </row>
    <row r="81" spans="1:13" ht="13.2">
      <c r="A81" s="48" t="s">
        <v>907</v>
      </c>
      <c r="B81" s="197" t="str">
        <f>HYPERLINK("http://codeforces.com/contest/617/problem/D","CF617-D2-D")</f>
        <v>CF617-D2-D</v>
      </c>
      <c r="C81" s="10"/>
      <c r="D81" s="170"/>
      <c r="E81" s="170"/>
      <c r="F81" s="10"/>
      <c r="G81" s="10"/>
      <c r="H81" s="10"/>
      <c r="I81" s="56">
        <f t="shared" si="0"/>
        <v>0</v>
      </c>
      <c r="J81" s="10"/>
      <c r="K81" s="10"/>
      <c r="L81" s="10"/>
      <c r="M81" s="10"/>
    </row>
    <row r="82" spans="1:13" ht="13.2">
      <c r="A82" s="48" t="s">
        <v>628</v>
      </c>
      <c r="B82" s="197" t="str">
        <f>HYPERLINK("http://codeforces.com/contest/92/problem/D","CF92-D2-D")</f>
        <v>CF92-D2-D</v>
      </c>
      <c r="C82" s="10"/>
      <c r="D82" s="170"/>
      <c r="E82" s="170"/>
      <c r="F82" s="10"/>
      <c r="G82" s="10"/>
      <c r="H82" s="10"/>
      <c r="I82" s="56">
        <f t="shared" si="0"/>
        <v>0</v>
      </c>
      <c r="J82" s="10"/>
      <c r="K82" s="10"/>
      <c r="L82" s="10"/>
      <c r="M82" s="10"/>
    </row>
    <row r="83" spans="1:13" ht="13.2">
      <c r="A83" s="48"/>
      <c r="B83" s="197" t="str">
        <f>HYPERLINK("http://codeforces.com/contest/1038/problem/D","CF1038-D2-D")</f>
        <v>CF1038-D2-D</v>
      </c>
      <c r="C83" s="10"/>
      <c r="D83" s="170"/>
      <c r="E83" s="170"/>
      <c r="F83" s="10"/>
      <c r="G83" s="10"/>
      <c r="H83" s="10"/>
      <c r="I83" s="56">
        <f t="shared" si="0"/>
        <v>0</v>
      </c>
      <c r="J83" s="10"/>
      <c r="K83" s="10"/>
      <c r="L83" s="10"/>
      <c r="M83" s="10"/>
    </row>
    <row r="84" spans="1:13" ht="13.2">
      <c r="A84" s="48"/>
      <c r="B84" s="197" t="str">
        <f>HYPERLINK("http://codeforces.com/contest/552/problem/D","CF552-D2-D")</f>
        <v>CF552-D2-D</v>
      </c>
      <c r="C84" s="10"/>
      <c r="D84" s="170"/>
      <c r="E84" s="170"/>
      <c r="F84" s="10"/>
      <c r="G84" s="10"/>
      <c r="H84" s="10"/>
      <c r="I84" s="56">
        <f t="shared" si="0"/>
        <v>0</v>
      </c>
      <c r="J84" s="10"/>
      <c r="K84" s="10"/>
      <c r="L84" s="10"/>
      <c r="M84" s="10"/>
    </row>
    <row r="85" spans="1:13" ht="13.2">
      <c r="A85" s="48"/>
      <c r="B85" s="197" t="str">
        <f>HYPERLINK("https://codeforces.com/gym/101917/problem/E", "CF101917-D12-E")</f>
        <v>CF101917-D12-E</v>
      </c>
      <c r="C85" s="10"/>
      <c r="D85" s="170"/>
      <c r="E85" s="170"/>
      <c r="F85" s="10"/>
      <c r="G85" s="10"/>
      <c r="H85" s="10"/>
      <c r="I85" s="56">
        <f t="shared" si="0"/>
        <v>0</v>
      </c>
      <c r="J85" s="10"/>
      <c r="K85" s="10"/>
      <c r="L85" s="10"/>
      <c r="M85" s="10"/>
    </row>
    <row r="86" spans="1:13" ht="13.2">
      <c r="A86" s="48"/>
      <c r="B86" s="197" t="str">
        <f>HYPERLINK("http://codeforces.com/contest/1058/problem/D","CF1058-D2-D")</f>
        <v>CF1058-D2-D</v>
      </c>
      <c r="C86" s="10"/>
      <c r="D86" s="170"/>
      <c r="E86" s="170"/>
      <c r="F86" s="10"/>
      <c r="G86" s="10"/>
      <c r="H86" s="10"/>
      <c r="I86" s="56">
        <f t="shared" si="0"/>
        <v>0</v>
      </c>
      <c r="J86" s="10"/>
      <c r="K86" s="10"/>
      <c r="L86" s="10"/>
      <c r="M86" s="10"/>
    </row>
    <row r="87" spans="1:13" ht="13.2">
      <c r="A87" s="48"/>
      <c r="B87" s="197" t="str">
        <f>HYPERLINK("http://codeforces.com/contest/1043/problem/D", "CF1042-D12-D")</f>
        <v>CF1042-D12-D</v>
      </c>
      <c r="C87" s="10"/>
      <c r="D87" s="170"/>
      <c r="E87" s="170"/>
      <c r="F87" s="10"/>
      <c r="G87" s="10"/>
      <c r="H87" s="10"/>
      <c r="I87" s="56">
        <f t="shared" si="0"/>
        <v>0</v>
      </c>
      <c r="J87" s="10"/>
      <c r="K87" s="10"/>
      <c r="L87" s="10"/>
      <c r="M87" s="10"/>
    </row>
    <row r="88" spans="1:13" ht="13.2">
      <c r="A88" s="66"/>
      <c r="B88" s="66" t="s">
        <v>908</v>
      </c>
      <c r="C88" s="10"/>
      <c r="D88" s="170"/>
      <c r="E88" s="170"/>
      <c r="F88" s="10"/>
      <c r="G88" s="10"/>
      <c r="H88" s="10"/>
      <c r="I88" s="56">
        <f t="shared" si="0"/>
        <v>0</v>
      </c>
      <c r="J88" s="10"/>
      <c r="K88" s="10"/>
      <c r="L88" s="10"/>
      <c r="M88" s="111" t="str">
        <f>HYPERLINK("https://github.com/MNT95/Competitive-Programming/blob/master/SPOJ/BIA.cpp?fbclid=IwAR1xR9CTVVj2L_Hr-1m5uIqAFHRc8Bh78z11v46sPyVjHwHeE3MvPrcMbn8","Sol")</f>
        <v>Sol</v>
      </c>
    </row>
    <row r="89" spans="1:13" ht="13.2">
      <c r="A89" s="129" t="s">
        <v>909</v>
      </c>
      <c r="B89" s="171" t="str">
        <f>HYPERLINK("http://codeforces.com/contest/186/problem/C","CF186-D2-C")</f>
        <v>CF186-D2-C</v>
      </c>
      <c r="C89" s="10"/>
      <c r="D89" s="170"/>
      <c r="E89" s="170"/>
      <c r="F89" s="10"/>
      <c r="G89" s="10"/>
      <c r="H89" s="10"/>
      <c r="I89" s="56">
        <f t="shared" si="0"/>
        <v>0</v>
      </c>
      <c r="J89" s="10"/>
      <c r="K89" s="10"/>
      <c r="L89" s="10"/>
      <c r="M89" s="10"/>
    </row>
    <row r="90" spans="1:13" ht="13.2">
      <c r="A90" s="129" t="s">
        <v>910</v>
      </c>
      <c r="B90" s="171" t="str">
        <f>HYPERLINK("http://codeforces.com/contest/667/problem/C","CF667-D2-C")</f>
        <v>CF667-D2-C</v>
      </c>
      <c r="C90" s="10"/>
      <c r="D90" s="170"/>
      <c r="E90" s="170"/>
      <c r="F90" s="10"/>
      <c r="G90" s="10"/>
      <c r="H90" s="10"/>
      <c r="I90" s="56">
        <f t="shared" si="0"/>
        <v>0</v>
      </c>
      <c r="J90" s="10"/>
      <c r="K90" s="10"/>
      <c r="L90" s="10"/>
      <c r="M90" s="10"/>
    </row>
    <row r="91" spans="1:13" ht="13.2">
      <c r="A91" s="129" t="s">
        <v>911</v>
      </c>
      <c r="B91" s="171" t="str">
        <f>HYPERLINK("http://codeforces.com/contest/287/problem/C","CF287-D2-C")</f>
        <v>CF287-D2-C</v>
      </c>
      <c r="C91" s="10"/>
      <c r="D91" s="170"/>
      <c r="E91" s="170"/>
      <c r="F91" s="10"/>
      <c r="G91" s="10"/>
      <c r="H91" s="10"/>
      <c r="I91" s="56">
        <f t="shared" si="0"/>
        <v>0</v>
      </c>
      <c r="J91" s="10"/>
      <c r="K91" s="10"/>
      <c r="L91" s="10"/>
      <c r="M91" s="10"/>
    </row>
    <row r="92" spans="1:13" ht="13.2">
      <c r="A92" s="10"/>
      <c r="B92" s="10"/>
      <c r="C92" s="10"/>
      <c r="D92" s="170"/>
      <c r="E92" s="170"/>
      <c r="F92" s="10"/>
      <c r="G92" s="10"/>
      <c r="H92" s="10"/>
      <c r="I92" s="56">
        <f t="shared" si="0"/>
        <v>0</v>
      </c>
      <c r="J92" s="10"/>
      <c r="K92" s="10"/>
      <c r="L92" s="10"/>
      <c r="M92" s="198" t="str">
        <f>HYPERLINK("https://www.youtube.com/watch?v=nv6Z6n02Oi0","DP - Probability")</f>
        <v>DP - Probability</v>
      </c>
    </row>
    <row r="93" spans="1:13" ht="13.2">
      <c r="A93" s="62" t="s">
        <v>912</v>
      </c>
      <c r="B93" s="199" t="str">
        <f>HYPERLINK("https://uva.onlinejudge.org/index.php?option=com_onlinejudge&amp;Itemid=8&amp;page=show_problem&amp;problem=1700","UVA 10759")</f>
        <v>UVA 10759</v>
      </c>
      <c r="C93" s="10"/>
      <c r="D93" s="170"/>
      <c r="E93" s="170"/>
      <c r="F93" s="10"/>
      <c r="G93" s="10"/>
      <c r="H93" s="10"/>
      <c r="I93" s="56">
        <f t="shared" si="0"/>
        <v>0</v>
      </c>
      <c r="J93" s="10"/>
      <c r="K93" s="10"/>
      <c r="L93" s="10"/>
      <c r="M93" s="109" t="str">
        <f>HYPERLINK("https://github.com/VAMPIER000001/CompetitiveProgramming/blob/master/UVA/V-107/UVa%2010759.cpp","Sol")</f>
        <v>Sol</v>
      </c>
    </row>
    <row r="94" spans="1:13" ht="13.2">
      <c r="A94" s="193" t="str">
        <f>HYPERLINK("https://community.topcoder.com/stat?c=problem_statement&amp;pm=7422&amp;rd=10663","TestBettingStrategy")</f>
        <v>TestBettingStrategy</v>
      </c>
      <c r="B94" s="62" t="s">
        <v>913</v>
      </c>
      <c r="C94" s="10"/>
      <c r="D94" s="170"/>
      <c r="E94" s="170"/>
      <c r="F94" s="10"/>
      <c r="G94" s="10"/>
      <c r="H94" s="10"/>
      <c r="I94" s="56">
        <f t="shared" si="0"/>
        <v>0</v>
      </c>
      <c r="J94" s="10"/>
      <c r="K94" s="10"/>
      <c r="L94" s="10"/>
    </row>
    <row r="95" spans="1:13" ht="13.2">
      <c r="A95" s="62" t="s">
        <v>914</v>
      </c>
      <c r="B95" s="192" t="str">
        <f>HYPERLINK("http://poj.org/problem?id=2096","PKU 2096")</f>
        <v>PKU 2096</v>
      </c>
      <c r="C95" s="10"/>
      <c r="D95" s="170"/>
      <c r="E95" s="170"/>
      <c r="F95" s="10"/>
      <c r="G95" s="10"/>
      <c r="H95" s="10"/>
      <c r="I95" s="56">
        <f t="shared" si="0"/>
        <v>0</v>
      </c>
      <c r="J95" s="10"/>
      <c r="K95" s="10"/>
      <c r="M95" s="109" t="str">
        <f>HYPERLINK("https://github.com/MichaelMounir12/CompetitiveProgramming/blob/478ef4641bab747e4fd63fffdff7d55287242921/PKU/PKU_2096.cpp","Sol")</f>
        <v>Sol</v>
      </c>
    </row>
    <row r="96" spans="1:13" ht="13.2">
      <c r="A96" s="62" t="s">
        <v>915</v>
      </c>
      <c r="B96" s="192" t="str">
        <f>HYPERLINK("https://uva.onlinejudge.org/index.php?option=onlinejudge&amp;page=show_problem&amp;problem=483","UVA 542")</f>
        <v>UVA 542</v>
      </c>
      <c r="C96" s="10"/>
      <c r="D96" s="170"/>
      <c r="E96" s="170"/>
      <c r="F96" s="10"/>
      <c r="G96" s="10"/>
      <c r="H96" s="10"/>
      <c r="I96" s="56">
        <f t="shared" si="0"/>
        <v>0</v>
      </c>
      <c r="J96" s="10"/>
      <c r="K96" s="10"/>
      <c r="M96" s="109" t="str">
        <f>HYPERLINK("https://github.com/mostafa-saad/MyCompetitiveProgramming/blob/master/UVA/UVA_542.txt","Sol")</f>
        <v>Sol</v>
      </c>
    </row>
    <row r="97" spans="1:13" ht="13.2">
      <c r="A97" s="62" t="s">
        <v>916</v>
      </c>
      <c r="B97" s="199" t="str">
        <f>HYPERLINK("https://uva.onlinejudge.org/index.php?option=com_onlinejudge&amp;Itemid=8&amp;page=show_problem&amp;problem=1962","UVA 11021")</f>
        <v>UVA 11021</v>
      </c>
      <c r="C97" s="10"/>
      <c r="D97" s="170"/>
      <c r="E97" s="170"/>
      <c r="F97" s="10"/>
      <c r="G97" s="10"/>
      <c r="H97" s="10"/>
      <c r="I97" s="56">
        <f t="shared" si="0"/>
        <v>0</v>
      </c>
      <c r="J97" s="10"/>
      <c r="K97" s="10"/>
      <c r="L97" s="10"/>
      <c r="M97" s="109" t="str">
        <f>HYPERLINK("https://github.com/VAMPIER000001/CompetitiveProgramming/blob/master/UVA/V-110/UVA%2011021.cpp","Sol")</f>
        <v>Sol</v>
      </c>
    </row>
    <row r="98" spans="1:13" ht="13.2">
      <c r="A98" s="62" t="s">
        <v>917</v>
      </c>
      <c r="B98" s="199" t="str">
        <f>HYPERLINK("https://uva.onlinejudge.org/index.php?option=com_onlinejudge&amp;Itemid=8&amp;page=show_problem&amp;problem=3888","UVA 12457")</f>
        <v>UVA 12457</v>
      </c>
      <c r="C98" s="10"/>
      <c r="D98" s="170"/>
      <c r="E98" s="170"/>
      <c r="F98" s="10"/>
      <c r="G98" s="10"/>
      <c r="H98" s="10"/>
      <c r="I98" s="56">
        <f t="shared" si="0"/>
        <v>0</v>
      </c>
      <c r="J98" s="10"/>
      <c r="K98" s="10"/>
      <c r="M98" s="109" t="str">
        <f>HYPERLINK("https://github.com/3agwa/CompetitiveProgramming/blob/master/UVA/UVA%2012457","Sol")</f>
        <v>Sol</v>
      </c>
    </row>
    <row r="99" spans="1:13" ht="13.2">
      <c r="A99" s="66" t="s">
        <v>918</v>
      </c>
      <c r="B99" s="127" t="str">
        <f>HYPERLINK("https://uva.onlinejudge.org/index.php?option=com_onlinejudge&amp;Itemid=8&amp;page=show_problem&amp;problem=774","UVA 833")</f>
        <v>UVA 833</v>
      </c>
      <c r="C99" s="10"/>
      <c r="D99" s="170"/>
      <c r="E99" s="170"/>
      <c r="F99" s="10"/>
      <c r="G99" s="10"/>
      <c r="H99" s="10"/>
      <c r="I99" s="56">
        <f t="shared" si="0"/>
        <v>0</v>
      </c>
      <c r="J99" s="10"/>
      <c r="K99" s="10"/>
    </row>
    <row r="100" spans="1:13" ht="13.2">
      <c r="A100" s="66" t="s">
        <v>919</v>
      </c>
      <c r="B100" s="127" t="str">
        <f>HYPERLINK("https://uva.onlinejudge.org/index.php?option=com_onlinejudge&amp;Itemid=8&amp;page=show_problem&amp;problem=1647","UVA 10706")</f>
        <v>UVA 10706</v>
      </c>
      <c r="C100" s="10"/>
      <c r="D100" s="170"/>
      <c r="E100" s="170"/>
      <c r="F100" s="10"/>
      <c r="G100" s="10"/>
      <c r="H100" s="10"/>
      <c r="I100" s="56">
        <f t="shared" si="0"/>
        <v>0</v>
      </c>
      <c r="J100" s="10"/>
      <c r="K100" s="10"/>
      <c r="L100" s="10"/>
    </row>
    <row r="101" spans="1:13" ht="13.2">
      <c r="A101" s="66" t="s">
        <v>920</v>
      </c>
      <c r="B101" s="127" t="str">
        <f>HYPERLINK("https://uva.onlinejudge.org/index.php?option=com_onlinejudge&amp;Itemid=8&amp;page=show_problem&amp;problem=556","UVA 615")</f>
        <v>UVA 615</v>
      </c>
      <c r="C101" s="10"/>
      <c r="D101" s="170"/>
      <c r="E101" s="170"/>
      <c r="F101" s="10"/>
      <c r="G101" s="10"/>
      <c r="H101" s="10"/>
      <c r="I101" s="56">
        <f t="shared" si="0"/>
        <v>0</v>
      </c>
      <c r="J101" s="10"/>
      <c r="K101" s="10"/>
      <c r="L101" s="10"/>
    </row>
    <row r="102" spans="1:13" ht="13.2">
      <c r="A102" s="200" t="s">
        <v>921</v>
      </c>
      <c r="B102" s="201" t="str">
        <f>HYPERLINK("http://www.spoj.com/problems/HELPR2D2","SPOJ HELPR2D2")</f>
        <v>SPOJ HELPR2D2</v>
      </c>
      <c r="C102" s="10"/>
      <c r="D102" s="170"/>
      <c r="E102" s="170"/>
      <c r="F102" s="10"/>
      <c r="G102" s="10"/>
      <c r="H102" s="10"/>
      <c r="I102" s="56">
        <f t="shared" si="0"/>
        <v>0</v>
      </c>
      <c r="J102" s="10"/>
      <c r="K102" s="10"/>
      <c r="L102" s="10"/>
    </row>
    <row r="103" spans="1:13" ht="13.2">
      <c r="A103" s="184"/>
      <c r="B103" s="202" t="str">
        <f>HYPERLINK("https://github.com/racsosabe/CompetitiveProgramming/blob/master/CodeForces/CF1016-D2-E.cpp","CF1016-D2-E")</f>
        <v>CF1016-D2-E</v>
      </c>
      <c r="C103" s="10"/>
      <c r="D103" s="170"/>
      <c r="E103" s="170"/>
      <c r="F103" s="10"/>
      <c r="G103" s="10"/>
      <c r="H103" s="10"/>
      <c r="I103" s="56">
        <f t="shared" si="0"/>
        <v>0</v>
      </c>
      <c r="J103" s="35"/>
      <c r="K103" s="35"/>
      <c r="L103" s="10"/>
    </row>
    <row r="104" spans="1:13" ht="13.2">
      <c r="A104" s="184"/>
      <c r="B104" s="184" t="s">
        <v>922</v>
      </c>
      <c r="C104" s="10"/>
      <c r="D104" s="170"/>
      <c r="E104" s="170"/>
      <c r="F104" s="10"/>
      <c r="G104" s="10"/>
      <c r="H104" s="10"/>
      <c r="I104" s="56">
        <f t="shared" si="0"/>
        <v>0</v>
      </c>
      <c r="J104" s="35"/>
      <c r="K104" s="35"/>
      <c r="L104" s="10"/>
      <c r="M104" s="109" t="str">
        <f>HYPERLINK("https://github.com/thackerhelik/UVA/blob/master/11997.cpp","Sol")</f>
        <v>Sol</v>
      </c>
    </row>
    <row r="105" spans="1:13" ht="13.2">
      <c r="A105" s="184"/>
      <c r="B105" s="202" t="str">
        <f>HYPERLINK("https://www.facebook.com/hackercup/problem/180494849326631/","FbHkrCup 18-R1-A")</f>
        <v>FbHkrCup 18-R1-A</v>
      </c>
      <c r="C105" s="10"/>
      <c r="D105" s="170"/>
      <c r="E105" s="170"/>
      <c r="F105" s="10"/>
      <c r="G105" s="10"/>
      <c r="H105" s="10"/>
      <c r="I105" s="56">
        <f t="shared" si="0"/>
        <v>0</v>
      </c>
      <c r="J105" s="35"/>
      <c r="K105" s="35"/>
      <c r="L105" s="10"/>
    </row>
    <row r="106" spans="1:13" ht="13.2">
      <c r="A106" s="184"/>
      <c r="B106" s="184" t="s">
        <v>923</v>
      </c>
      <c r="C106" s="10"/>
      <c r="D106" s="170"/>
      <c r="E106" s="170"/>
      <c r="F106" s="10"/>
      <c r="G106" s="10"/>
      <c r="H106" s="10"/>
      <c r="I106" s="56">
        <f t="shared" si="0"/>
        <v>0</v>
      </c>
      <c r="J106" s="35"/>
      <c r="K106" s="35"/>
      <c r="L106" s="10"/>
    </row>
    <row r="107" spans="1:13" ht="13.2">
      <c r="A107" s="203"/>
      <c r="B107" s="204"/>
      <c r="C107" s="10"/>
      <c r="D107" s="170"/>
      <c r="E107" s="170"/>
      <c r="F107" s="10"/>
      <c r="G107" s="10"/>
      <c r="H107" s="10"/>
      <c r="I107" s="56">
        <f t="shared" si="0"/>
        <v>0</v>
      </c>
      <c r="J107" s="35"/>
      <c r="K107" s="35"/>
      <c r="L107" s="10"/>
    </row>
    <row r="108" spans="1:13" ht="13.2">
      <c r="A108" s="41" t="s">
        <v>924</v>
      </c>
      <c r="B108" s="148" t="str">
        <f>HYPERLINK("http://codeforces.com/contest/443/problem/D","CF443-D2-D")</f>
        <v>CF443-D2-D</v>
      </c>
      <c r="C108" s="10"/>
      <c r="D108" s="170"/>
      <c r="E108" s="170"/>
      <c r="F108" s="10"/>
      <c r="G108" s="10"/>
      <c r="H108" s="10"/>
      <c r="I108" s="56">
        <f t="shared" si="0"/>
        <v>0</v>
      </c>
      <c r="J108" s="10"/>
      <c r="K108" s="10"/>
      <c r="M108" s="109" t="str">
        <f>HYPERLINK("http://codeforces.com/contest/443/submission/27060632","Sol")</f>
        <v>Sol</v>
      </c>
    </row>
    <row r="109" spans="1:13" ht="13.2">
      <c r="A109" s="48" t="s">
        <v>925</v>
      </c>
      <c r="B109" s="197" t="str">
        <f>HYPERLINK("http://codeforces.com/contest/581/problem/D","CF581-D2-D")</f>
        <v>CF581-D2-D</v>
      </c>
      <c r="C109" s="10"/>
      <c r="D109" s="170"/>
      <c r="E109" s="170"/>
      <c r="F109" s="10"/>
      <c r="G109" s="10"/>
      <c r="H109" s="10"/>
      <c r="I109" s="56">
        <f t="shared" si="0"/>
        <v>0</v>
      </c>
      <c r="J109" s="10"/>
      <c r="K109" s="10"/>
      <c r="L109" s="10"/>
      <c r="M109" s="10"/>
    </row>
    <row r="110" spans="1:13" ht="13.2">
      <c r="A110" s="48" t="s">
        <v>926</v>
      </c>
      <c r="B110" s="110" t="str">
        <f>HYPERLINK("http://codeforces.com/contest/265/problem/D","CF265-D2-D")</f>
        <v>CF265-D2-D</v>
      </c>
      <c r="C110" s="10"/>
      <c r="D110" s="170"/>
      <c r="E110" s="170"/>
      <c r="F110" s="10"/>
      <c r="G110" s="10"/>
      <c r="H110" s="10"/>
      <c r="I110" s="56">
        <f t="shared" si="0"/>
        <v>0</v>
      </c>
      <c r="J110" s="10"/>
      <c r="K110" s="10"/>
      <c r="L110" s="10"/>
      <c r="M110" s="10"/>
    </row>
    <row r="111" spans="1:13" ht="13.2">
      <c r="A111" s="129" t="s">
        <v>927</v>
      </c>
      <c r="B111" s="171" t="str">
        <f>HYPERLINK("http://codeforces.com/contest/116/problem/C","CF116-D2-C")</f>
        <v>CF116-D2-C</v>
      </c>
      <c r="C111" s="10"/>
      <c r="D111" s="170"/>
      <c r="E111" s="170"/>
      <c r="F111" s="10"/>
      <c r="G111" s="10"/>
      <c r="H111" s="10"/>
      <c r="I111" s="56">
        <f t="shared" si="0"/>
        <v>0</v>
      </c>
      <c r="J111" s="10"/>
      <c r="K111" s="10"/>
      <c r="L111" s="10"/>
      <c r="M111" s="10"/>
    </row>
    <row r="112" spans="1:13" ht="13.2">
      <c r="A112" s="129" t="s">
        <v>928</v>
      </c>
      <c r="B112" s="171" t="str">
        <f>HYPERLINK("http://codeforces.com/contest/342/problem/C","CF342-D2-C")</f>
        <v>CF342-D2-C</v>
      </c>
      <c r="C112" s="10"/>
      <c r="D112" s="170"/>
      <c r="E112" s="170"/>
      <c r="F112" s="10"/>
      <c r="G112" s="10"/>
      <c r="H112" s="10"/>
      <c r="I112" s="56">
        <f t="shared" si="0"/>
        <v>0</v>
      </c>
      <c r="J112" s="10"/>
      <c r="K112" s="10"/>
      <c r="L112" s="10"/>
      <c r="M112" s="10"/>
    </row>
    <row r="113" spans="1:13" ht="13.2">
      <c r="A113" s="129" t="s">
        <v>929</v>
      </c>
      <c r="B113" s="171" t="str">
        <f>HYPERLINK("http://codeforces.com/contest/233/problem/C","CF233-D2-C")</f>
        <v>CF233-D2-C</v>
      </c>
      <c r="C113" s="10"/>
      <c r="D113" s="170"/>
      <c r="E113" s="170"/>
      <c r="F113" s="10"/>
      <c r="G113" s="10"/>
      <c r="H113" s="10"/>
      <c r="I113" s="56">
        <f t="shared" si="0"/>
        <v>0</v>
      </c>
      <c r="J113" s="10"/>
      <c r="K113" s="10"/>
      <c r="L113" s="10"/>
      <c r="M113" s="10"/>
    </row>
    <row r="114" spans="1:13" ht="13.2">
      <c r="A114" s="10"/>
      <c r="B114" s="10"/>
      <c r="C114" s="10"/>
      <c r="D114" s="170"/>
      <c r="E114" s="170"/>
      <c r="F114" s="10"/>
      <c r="G114" s="10"/>
      <c r="H114" s="10"/>
      <c r="I114" s="56">
        <f t="shared" si="0"/>
        <v>0</v>
      </c>
      <c r="J114" s="10"/>
      <c r="K114" s="10"/>
      <c r="L114" s="10"/>
      <c r="M114" s="198" t="str">
        <f>HYPERLINK("https://www.youtube.com/watch?v=8aATaY9sdeE&amp;index=10&amp;list=PLPt2dINI2MIattDutu7IOAMlUuLeN8k2p&amp;t=3s","DP - Masks (2 vid)")</f>
        <v>DP - Masks (2 vid)</v>
      </c>
    </row>
    <row r="115" spans="1:13" ht="13.2">
      <c r="A115" s="205" t="s">
        <v>930</v>
      </c>
      <c r="B115" s="192" t="str">
        <f>HYPERLINK("https://uva.onlinejudge.org/index.php?option=com_onlinejudge&amp;Itemid=8&amp;page=show_problem&amp;problem=1592","UVA 10651")</f>
        <v>UVA 10651</v>
      </c>
      <c r="C115" s="10"/>
      <c r="D115" s="170"/>
      <c r="E115" s="170"/>
      <c r="F115" s="10"/>
      <c r="G115" s="10"/>
      <c r="H115" s="10"/>
      <c r="I115" s="56">
        <f t="shared" si="0"/>
        <v>0</v>
      </c>
      <c r="J115" s="10"/>
      <c r="K115" s="10"/>
      <c r="L115" s="10"/>
      <c r="M115" s="10"/>
    </row>
    <row r="116" spans="1:13" ht="13.2">
      <c r="A116" s="158" t="s">
        <v>931</v>
      </c>
      <c r="B116" s="192" t="str">
        <f>HYPERLINK("http://codeforces.com/contest/580/problem/D","CF580-D2-D")</f>
        <v>CF580-D2-D</v>
      </c>
      <c r="C116" s="10"/>
      <c r="D116" s="170"/>
      <c r="E116" s="170"/>
      <c r="F116" s="10"/>
      <c r="G116" s="10"/>
      <c r="H116" s="10"/>
      <c r="I116" s="56">
        <f t="shared" si="0"/>
        <v>0</v>
      </c>
      <c r="J116" s="10"/>
      <c r="K116" s="10"/>
      <c r="L116" s="10"/>
      <c r="M116" s="50" t="str">
        <f>HYPERLINK("https://www.youtube.com/watch?v=GvWLpm0tBEU&amp;index=29&amp;list=PLPSFnlxEu99Eds9cvJPk49sljXXvarTxM","Video Solution - Solver to be")</f>
        <v>Video Solution - Solver to be</v>
      </c>
    </row>
    <row r="117" spans="1:13" ht="13.2">
      <c r="A117" s="62" t="s">
        <v>892</v>
      </c>
      <c r="B117" s="192" t="str">
        <f>HYPERLINK("http://www.spoj.com/problems/PERMUT1/","SPOJ PERMUT1")</f>
        <v>SPOJ PERMUT1</v>
      </c>
      <c r="C117" s="10"/>
      <c r="D117" s="170"/>
      <c r="E117" s="170"/>
      <c r="F117" s="10"/>
      <c r="G117" s="10"/>
      <c r="H117" s="10"/>
      <c r="I117" s="56">
        <f t="shared" si="0"/>
        <v>0</v>
      </c>
      <c r="J117" s="10"/>
      <c r="K117" s="10"/>
      <c r="L117" s="10"/>
      <c r="M117" s="10"/>
    </row>
    <row r="118" spans="1:13" ht="13.2">
      <c r="A118" s="158" t="s">
        <v>932</v>
      </c>
      <c r="B118" s="192" t="str">
        <f>HYPERLINK("http://www.spoj.com/problems/ASSIGN/","SPOJ ASSIGN")</f>
        <v>SPOJ ASSIGN</v>
      </c>
      <c r="C118" s="10"/>
      <c r="D118" s="170"/>
      <c r="E118" s="170"/>
      <c r="F118" s="10"/>
      <c r="G118" s="10"/>
      <c r="H118" s="10"/>
      <c r="I118" s="56">
        <f t="shared" si="0"/>
        <v>0</v>
      </c>
      <c r="J118" s="10"/>
      <c r="K118" s="10"/>
      <c r="L118" s="10"/>
      <c r="M118" s="10"/>
    </row>
    <row r="119" spans="1:13" ht="13.2">
      <c r="A119" s="66"/>
      <c r="B119" s="127" t="str">
        <f>HYPERLINK("http://codeforces.com/contest/16/problem/E","CF16-D2-E")</f>
        <v>CF16-D2-E</v>
      </c>
      <c r="C119" s="10"/>
      <c r="D119" s="170"/>
      <c r="E119" s="170"/>
      <c r="F119" s="10"/>
      <c r="G119" s="10"/>
      <c r="H119" s="10"/>
      <c r="I119" s="56">
        <f t="shared" si="0"/>
        <v>0</v>
      </c>
      <c r="J119" s="10"/>
      <c r="K119" s="10"/>
      <c r="L119" s="10"/>
      <c r="M119" s="10"/>
    </row>
    <row r="120" spans="1:13" ht="13.2">
      <c r="A120" s="66" t="s">
        <v>933</v>
      </c>
      <c r="B120" s="127" t="str">
        <f>HYPERLINK("https://uva.onlinejudge.org/index.php?option=onlinejudge&amp;page=show_problem&amp;problem=1119","UVA 10178")</f>
        <v>UVA 10178</v>
      </c>
      <c r="C120" s="10"/>
      <c r="D120" s="170"/>
      <c r="E120" s="170"/>
      <c r="F120" s="10"/>
      <c r="G120" s="10"/>
      <c r="H120" s="10"/>
      <c r="I120" s="56">
        <f t="shared" si="0"/>
        <v>0</v>
      </c>
      <c r="J120" s="10"/>
      <c r="K120" s="10"/>
      <c r="L120" s="10"/>
      <c r="M120" s="111" t="str">
        <f>HYPERLINK("https://en.wikipedia.org/wiki/Planar_graph#Euler's_formula","Read first Euler Formula")</f>
        <v>Read first Euler Formula</v>
      </c>
    </row>
    <row r="121" spans="1:13" ht="13.2">
      <c r="A121" s="66" t="s">
        <v>934</v>
      </c>
      <c r="B121" s="127" t="str">
        <f>HYPERLINK("https://uva.onlinejudge.org/index.php?option=onlinejudge&amp;page=show_problem&amp;problem=1833","UVA 10892")</f>
        <v>UVA 10892</v>
      </c>
      <c r="C121" s="10"/>
      <c r="D121" s="10"/>
      <c r="E121" s="10"/>
      <c r="F121" s="10"/>
      <c r="G121" s="10"/>
      <c r="H121" s="10"/>
      <c r="I121" s="56">
        <f t="shared" si="0"/>
        <v>0</v>
      </c>
      <c r="J121" s="10"/>
      <c r="K121" s="10"/>
      <c r="L121" s="10"/>
      <c r="M121" s="10"/>
    </row>
    <row r="122" spans="1:13" ht="13.2">
      <c r="A122" s="66" t="s">
        <v>935</v>
      </c>
      <c r="B122" s="127" t="str">
        <f>HYPERLINK("http://codeforces.com/contest/645/problem/D","CF645-D12-D")</f>
        <v>CF645-D12-D</v>
      </c>
      <c r="C122" s="10"/>
      <c r="D122" s="170"/>
      <c r="E122" s="170"/>
      <c r="F122" s="10"/>
      <c r="G122" s="10"/>
      <c r="H122" s="10"/>
      <c r="I122" s="56">
        <f t="shared" si="0"/>
        <v>0</v>
      </c>
      <c r="J122" s="10"/>
      <c r="K122" s="10"/>
      <c r="L122" s="10"/>
    </row>
    <row r="123" spans="1:13" ht="13.2">
      <c r="A123" s="66" t="s">
        <v>936</v>
      </c>
      <c r="B123" s="127" t="str">
        <f>HYPERLINK("https://uva.onlinejudge.org/index.php?option=com_onlinejudge&amp;Itemid=8&amp;page=show_problem&amp;problem=1475","UVA 10534")</f>
        <v>UVA 10534</v>
      </c>
      <c r="C123" s="10"/>
      <c r="D123" s="10"/>
      <c r="E123" s="10"/>
      <c r="F123" s="10"/>
      <c r="G123" s="10"/>
      <c r="H123" s="10"/>
      <c r="I123" s="56">
        <f t="shared" si="0"/>
        <v>0</v>
      </c>
      <c r="J123" s="10"/>
      <c r="K123" s="10"/>
      <c r="L123" s="10"/>
      <c r="M123" s="110" t="str">
        <f>HYPERLINK("https://github.com/AliOsm/CompetitiveProgramming/blob/master/UVA/10534%20-%20Wavio%20Sequence.cpp","Sol")</f>
        <v>Sol</v>
      </c>
    </row>
    <row r="124" spans="1:13" ht="13.2">
      <c r="A124" s="66"/>
      <c r="B124" s="66" t="s">
        <v>937</v>
      </c>
      <c r="C124" s="10"/>
      <c r="D124" s="170"/>
      <c r="E124" s="170"/>
      <c r="F124" s="10"/>
      <c r="G124" s="10"/>
      <c r="H124" s="10"/>
      <c r="I124" s="56">
        <f t="shared" si="0"/>
        <v>0</v>
      </c>
      <c r="J124" s="10"/>
      <c r="K124" s="10"/>
      <c r="L124" s="10"/>
      <c r="M124" s="109" t="str">
        <f>HYPERLINK("https://ideone.com/x8zpRc","Sol - read the statement clarification")</f>
        <v>Sol - read the statement clarification</v>
      </c>
    </row>
    <row r="125" spans="1:13" ht="13.2">
      <c r="A125" s="41"/>
      <c r="B125" s="206"/>
      <c r="C125" s="10"/>
      <c r="D125" s="170"/>
      <c r="E125" s="170"/>
      <c r="F125" s="10"/>
      <c r="G125" s="10"/>
      <c r="H125" s="10"/>
      <c r="I125" s="56">
        <f t="shared" si="0"/>
        <v>0</v>
      </c>
      <c r="J125" s="35"/>
      <c r="K125" s="35"/>
      <c r="L125" s="10"/>
      <c r="M125" s="48"/>
    </row>
    <row r="126" spans="1:13" ht="13.2">
      <c r="A126" s="41" t="s">
        <v>938</v>
      </c>
      <c r="B126" s="99" t="str">
        <f>HYPERLINK("http://codeforces.com/contest/711/problem/D","CF711-D2-D")</f>
        <v>CF711-D2-D</v>
      </c>
      <c r="C126" s="10"/>
      <c r="D126" s="170"/>
      <c r="E126" s="170"/>
      <c r="F126" s="10"/>
      <c r="G126" s="10"/>
      <c r="H126" s="10"/>
      <c r="I126" s="56">
        <f t="shared" si="0"/>
        <v>0</v>
      </c>
      <c r="J126" s="35"/>
      <c r="K126" s="35"/>
      <c r="L126" s="10"/>
      <c r="M126" s="48"/>
    </row>
    <row r="127" spans="1:13" ht="13.2">
      <c r="A127" s="41" t="s">
        <v>939</v>
      </c>
      <c r="B127" s="52" t="str">
        <f>HYPERLINK("http://codeforces.com/contest/327/problem/D","CF327-D2-D")</f>
        <v>CF327-D2-D</v>
      </c>
      <c r="C127" s="10"/>
      <c r="D127" s="170"/>
      <c r="E127" s="170"/>
      <c r="F127" s="10"/>
      <c r="G127" s="10"/>
      <c r="H127" s="10"/>
      <c r="I127" s="56">
        <f t="shared" si="0"/>
        <v>0</v>
      </c>
      <c r="J127" s="35"/>
      <c r="K127" s="35"/>
      <c r="L127" s="10"/>
      <c r="M127" s="48"/>
    </row>
    <row r="128" spans="1:13" ht="13.2">
      <c r="A128" s="48" t="s">
        <v>940</v>
      </c>
      <c r="B128" s="53" t="str">
        <f>HYPERLINK("http://codeforces.com/contest/519/problem/D","CF519-D2-D")</f>
        <v>CF519-D2-D</v>
      </c>
      <c r="C128" s="10"/>
      <c r="D128" s="170"/>
      <c r="E128" s="170"/>
      <c r="F128" s="10"/>
      <c r="G128" s="10"/>
      <c r="H128" s="10"/>
      <c r="I128" s="56">
        <f t="shared" si="0"/>
        <v>0</v>
      </c>
      <c r="J128" s="10"/>
      <c r="K128" s="10"/>
      <c r="L128" s="10"/>
      <c r="M128" s="10"/>
    </row>
    <row r="129" spans="1:13" ht="13.2">
      <c r="A129" s="48" t="s">
        <v>941</v>
      </c>
      <c r="B129" s="53" t="str">
        <f>HYPERLINK("http://codeforces.com/contest/701/problem/D","CF701-D2-D")</f>
        <v>CF701-D2-D</v>
      </c>
      <c r="C129" s="10"/>
      <c r="D129" s="170"/>
      <c r="E129" s="170"/>
      <c r="F129" s="10"/>
      <c r="G129" s="10"/>
      <c r="H129" s="10"/>
      <c r="I129" s="56">
        <f t="shared" si="0"/>
        <v>0</v>
      </c>
      <c r="J129" s="10"/>
      <c r="K129" s="10"/>
      <c r="L129" s="10"/>
      <c r="M129" s="10"/>
    </row>
    <row r="130" spans="1:13" ht="13.2">
      <c r="A130" s="48" t="s">
        <v>942</v>
      </c>
      <c r="B130" s="53" t="str">
        <f>HYPERLINK("http://codeforces.com/contest/743/problem/D","CF743-D2-D")</f>
        <v>CF743-D2-D</v>
      </c>
      <c r="C130" s="10"/>
      <c r="D130" s="170"/>
      <c r="E130" s="170"/>
      <c r="F130" s="10"/>
      <c r="G130" s="10"/>
      <c r="H130" s="10"/>
      <c r="I130" s="56">
        <f t="shared" si="0"/>
        <v>0</v>
      </c>
      <c r="J130" s="10"/>
      <c r="K130" s="10"/>
      <c r="L130" s="10"/>
      <c r="M130" s="10"/>
    </row>
    <row r="131" spans="1:13" ht="13.2">
      <c r="A131" s="129" t="s">
        <v>943</v>
      </c>
      <c r="B131" s="190" t="str">
        <f>HYPERLINK("http://codeforces.com/contest/25/problem/C","CF25-D2-C")</f>
        <v>CF25-D2-C</v>
      </c>
      <c r="C131" s="10"/>
      <c r="D131" s="170"/>
      <c r="E131" s="170"/>
      <c r="F131" s="10"/>
      <c r="G131" s="10"/>
      <c r="H131" s="10"/>
      <c r="I131" s="56">
        <f t="shared" si="0"/>
        <v>0</v>
      </c>
      <c r="J131" s="10"/>
      <c r="K131" s="10"/>
      <c r="L131" s="10"/>
      <c r="M131" s="10"/>
    </row>
    <row r="132" spans="1:13" ht="13.2">
      <c r="A132" s="129" t="s">
        <v>944</v>
      </c>
      <c r="B132" s="190" t="str">
        <f>HYPERLINK("http://codeforces.com/contest/203/problem/C","CF203-D2-C")</f>
        <v>CF203-D2-C</v>
      </c>
      <c r="C132" s="10"/>
      <c r="D132" s="170"/>
      <c r="E132" s="170"/>
      <c r="F132" s="10"/>
      <c r="G132" s="10"/>
      <c r="H132" s="10"/>
      <c r="I132" s="56">
        <f t="shared" si="0"/>
        <v>0</v>
      </c>
      <c r="J132" s="10"/>
      <c r="K132" s="10"/>
      <c r="L132" s="10"/>
      <c r="M132" s="10"/>
    </row>
    <row r="133" spans="1:13" ht="13.2">
      <c r="A133" s="129" t="s">
        <v>945</v>
      </c>
      <c r="B133" s="190" t="str">
        <f>HYPERLINK("http://codeforces.com/contest/236/problem/C","CF236-D2-C")</f>
        <v>CF236-D2-C</v>
      </c>
      <c r="C133" s="10"/>
      <c r="D133" s="170"/>
      <c r="E133" s="170"/>
      <c r="F133" s="10"/>
      <c r="G133" s="10"/>
      <c r="H133" s="10"/>
      <c r="I133" s="56">
        <f t="shared" si="0"/>
        <v>0</v>
      </c>
      <c r="J133" s="10"/>
      <c r="K133" s="10"/>
      <c r="L133" s="10"/>
      <c r="M133" s="10"/>
    </row>
    <row r="134" spans="1:13" ht="13.2">
      <c r="A134" s="207"/>
      <c r="B134" s="10"/>
      <c r="C134" s="10"/>
      <c r="D134" s="170"/>
      <c r="E134" s="170"/>
      <c r="F134" s="10"/>
      <c r="G134" s="10"/>
      <c r="H134" s="10"/>
      <c r="I134" s="56">
        <f t="shared" si="0"/>
        <v>0</v>
      </c>
      <c r="J134" s="10"/>
      <c r="K134" s="10"/>
      <c r="L134" s="10"/>
      <c r="M134" s="198" t="str">
        <f>HYPERLINK("https://www.youtube.com/watch?v=IGaJWl0jPY4","String Processing - Trie")</f>
        <v>String Processing - Trie</v>
      </c>
    </row>
    <row r="135" spans="1:13" ht="13.2">
      <c r="A135" s="208" t="s">
        <v>946</v>
      </c>
      <c r="B135" s="192" t="str">
        <f>HYPERLINK("http://www.spoj.com/problems/DICT/","SPOJ DICT")</f>
        <v>SPOJ DICT</v>
      </c>
      <c r="C135" s="10"/>
      <c r="D135" s="170"/>
      <c r="E135" s="170"/>
      <c r="F135" s="10"/>
      <c r="G135" s="10"/>
      <c r="H135" s="10"/>
      <c r="I135" s="56">
        <f t="shared" si="0"/>
        <v>0</v>
      </c>
      <c r="J135" s="10"/>
      <c r="K135" s="10"/>
      <c r="L135" s="10"/>
      <c r="M135" s="10"/>
    </row>
    <row r="136" spans="1:13" ht="13.2">
      <c r="A136" s="208" t="s">
        <v>947</v>
      </c>
      <c r="B136" s="192" t="str">
        <f>HYPERLINK("https://uva.onlinejudge.org/index.php?option=com_onlinejudge&amp;Itemid=8&amp;page=show_problem&amp;problem=4331","UVA 1556")</f>
        <v>UVA 1556</v>
      </c>
      <c r="C136" s="10"/>
      <c r="D136" s="170"/>
      <c r="E136" s="170"/>
      <c r="F136" s="10"/>
      <c r="G136" s="10"/>
      <c r="H136" s="10"/>
      <c r="I136" s="56">
        <f t="shared" si="0"/>
        <v>0</v>
      </c>
      <c r="J136" s="10"/>
      <c r="K136" s="10"/>
      <c r="L136" s="10"/>
      <c r="M136" s="10"/>
    </row>
    <row r="137" spans="1:13" ht="13.2">
      <c r="A137" s="208" t="s">
        <v>948</v>
      </c>
      <c r="B137" s="192" t="str">
        <f>HYPERLINK("http://www.spoj.com/problems/PHONELST/","SPOJ PHONELST")</f>
        <v>SPOJ PHONELST</v>
      </c>
      <c r="C137" s="10"/>
      <c r="D137" s="170"/>
      <c r="E137" s="170"/>
      <c r="F137" s="10"/>
      <c r="G137" s="10"/>
      <c r="H137" s="10"/>
      <c r="I137" s="56">
        <f t="shared" si="0"/>
        <v>0</v>
      </c>
      <c r="J137" s="10"/>
      <c r="K137" s="10"/>
      <c r="L137" s="10"/>
      <c r="M137" s="10"/>
    </row>
    <row r="138" spans="1:13" ht="13.2">
      <c r="A138" s="208" t="s">
        <v>949</v>
      </c>
      <c r="B138" s="192" t="str">
        <f>HYPERLINK("https://uva.onlinejudge.org/index.php?option=com_onlinejudge&amp;Itemid=8&amp;page=show_problem&amp;problem=3971","UVA 12526")</f>
        <v>UVA 12526</v>
      </c>
      <c r="C138" s="10"/>
      <c r="D138" s="170"/>
      <c r="E138" s="170"/>
      <c r="F138" s="10"/>
      <c r="G138" s="10"/>
      <c r="H138" s="10"/>
      <c r="I138" s="56">
        <f t="shared" si="0"/>
        <v>0</v>
      </c>
      <c r="J138" s="10"/>
      <c r="K138" s="10"/>
      <c r="L138" s="10"/>
      <c r="M138" s="10"/>
    </row>
    <row r="139" spans="1:13" ht="13.2">
      <c r="A139" s="62" t="s">
        <v>950</v>
      </c>
      <c r="B139" s="192" t="str">
        <f>HYPERLINK("http://codeforces.com/contest/706/problem/D","CF706-D2-D")</f>
        <v>CF706-D2-D</v>
      </c>
      <c r="C139" s="10"/>
      <c r="D139" s="170"/>
      <c r="E139" s="170"/>
      <c r="F139" s="10"/>
      <c r="G139" s="10"/>
      <c r="H139" s="10"/>
      <c r="I139" s="56">
        <f t="shared" si="0"/>
        <v>0</v>
      </c>
      <c r="J139" s="10"/>
      <c r="K139" s="10"/>
      <c r="L139" s="10"/>
      <c r="M139" s="10"/>
    </row>
    <row r="140" spans="1:13" ht="13.2">
      <c r="A140" s="66" t="s">
        <v>951</v>
      </c>
      <c r="B140" s="127" t="str">
        <f>HYPERLINK("https://uva.onlinejudge.org/index.php?option=onlinejudge&amp;page=show_problem&amp;problem=1054","UVA 10113")</f>
        <v>UVA 10113</v>
      </c>
      <c r="C140" s="10"/>
      <c r="D140" s="170"/>
      <c r="E140" s="170"/>
      <c r="F140" s="10"/>
      <c r="G140" s="10"/>
      <c r="H140" s="10"/>
      <c r="I140" s="56">
        <f t="shared" si="0"/>
        <v>0</v>
      </c>
      <c r="J140" s="10"/>
      <c r="K140" s="10"/>
      <c r="L140" s="10"/>
      <c r="M140" s="10"/>
    </row>
    <row r="141" spans="1:13" ht="13.2">
      <c r="A141" s="66" t="s">
        <v>952</v>
      </c>
      <c r="B141" s="127" t="str">
        <f>HYPERLINK("https://uva.onlinejudge.org/index.php?option=com_onlinejudge&amp;Itemid=8&amp;page=show_problem&amp;problem=668","UVA 727")</f>
        <v>UVA 727</v>
      </c>
      <c r="C141" s="10"/>
      <c r="D141" s="10"/>
      <c r="E141" s="10"/>
      <c r="F141" s="10"/>
      <c r="G141" s="10"/>
      <c r="H141" s="10"/>
      <c r="I141" s="56">
        <f t="shared" si="0"/>
        <v>0</v>
      </c>
      <c r="J141" s="10"/>
      <c r="K141" s="10"/>
      <c r="L141" s="10"/>
      <c r="M141" s="10"/>
    </row>
    <row r="142" spans="1:13" ht="13.2">
      <c r="A142" s="66" t="s">
        <v>953</v>
      </c>
      <c r="B142" s="127" t="str">
        <f>HYPERLINK("http://codeforces.com/contest/47/problem/D","CF47-D2-D")</f>
        <v>CF47-D2-D</v>
      </c>
      <c r="C142" s="10"/>
      <c r="D142" s="10"/>
      <c r="E142" s="10"/>
      <c r="F142" s="10"/>
      <c r="G142" s="10"/>
      <c r="H142" s="10"/>
      <c r="I142" s="56">
        <f t="shared" si="0"/>
        <v>0</v>
      </c>
      <c r="J142" s="10"/>
      <c r="K142" s="10"/>
      <c r="L142" s="10"/>
      <c r="M142" s="10"/>
    </row>
    <row r="143" spans="1:13" ht="13.2">
      <c r="A143" s="66" t="s">
        <v>954</v>
      </c>
      <c r="B143" s="127" t="str">
        <f>HYPERLINK("https://uva.onlinejudge.org/index.php?option=onlinejudge&amp;page=show_problem&amp;problem=3801","UVA 12379")</f>
        <v>UVA 12379</v>
      </c>
      <c r="C143" s="10"/>
      <c r="D143" s="170"/>
      <c r="E143" s="170"/>
      <c r="F143" s="10"/>
      <c r="G143" s="10"/>
      <c r="H143" s="10"/>
      <c r="I143" s="56">
        <f t="shared" si="0"/>
        <v>0</v>
      </c>
      <c r="J143" s="10"/>
      <c r="K143" s="10"/>
      <c r="L143" s="10"/>
      <c r="M143" s="109" t="str">
        <f>HYPERLINK("https://github.com/abdullaAshraf/Problem-Solving/blob/master/UVA/12379.cpp","Sol")</f>
        <v>Sol</v>
      </c>
    </row>
    <row r="144" spans="1:13" ht="13.2">
      <c r="A144" s="66" t="s">
        <v>955</v>
      </c>
      <c r="B144" s="127" t="str">
        <f>HYPERLINK("https://uva.onlinejudge.org/index.php?option=com_onlinejudge&amp;Itemid=8&amp;page=show_problem&amp;problem=89","UVA 153")</f>
        <v>UVA 153</v>
      </c>
      <c r="C144" s="10"/>
      <c r="D144" s="170"/>
      <c r="E144" s="170"/>
      <c r="F144" s="10"/>
      <c r="G144" s="10"/>
      <c r="H144" s="10"/>
      <c r="I144" s="56">
        <f t="shared" si="0"/>
        <v>0</v>
      </c>
      <c r="J144" s="10"/>
      <c r="K144" s="10"/>
      <c r="L144" s="10"/>
      <c r="M144" s="109" t="str">
        <f>HYPERLINK("https://github.com/ahmedcpbl/CompetitiveProgramming/blob/master/UVA/153.cpp","Sol")</f>
        <v>Sol</v>
      </c>
    </row>
    <row r="145" spans="1:13" ht="13.2">
      <c r="A145" s="10"/>
      <c r="B145" s="10"/>
      <c r="C145" s="10"/>
      <c r="D145" s="170"/>
      <c r="E145" s="170"/>
      <c r="F145" s="10"/>
      <c r="G145" s="10"/>
      <c r="H145" s="10"/>
      <c r="I145" s="56">
        <f t="shared" si="0"/>
        <v>0</v>
      </c>
      <c r="J145" s="10"/>
      <c r="K145" s="10"/>
      <c r="L145" s="10"/>
      <c r="M145" s="98" t="str">
        <f>HYPERLINK("https://www.youtube.com/watch?v=t-52tQ3vEgo","DP - Sub-rectangle style")</f>
        <v>DP - Sub-rectangle style</v>
      </c>
    </row>
    <row r="146" spans="1:13" ht="13.2">
      <c r="A146" s="208"/>
      <c r="B146" s="209" t="str">
        <f>HYPERLINK("https://uva.onlinejudge.org/index.php?option=onlinejudge&amp;page=show_problem&amp;problem=448","UVA 507")</f>
        <v>UVA 507</v>
      </c>
      <c r="C146" s="10"/>
      <c r="D146" s="170"/>
      <c r="E146" s="170"/>
      <c r="F146" s="10"/>
      <c r="G146" s="10"/>
      <c r="H146" s="10"/>
      <c r="I146" s="56">
        <f t="shared" si="0"/>
        <v>0</v>
      </c>
      <c r="J146" s="10"/>
      <c r="K146" s="10"/>
      <c r="L146" s="10"/>
      <c r="M146" s="10"/>
    </row>
    <row r="147" spans="1:13" ht="13.2">
      <c r="A147" s="208"/>
      <c r="B147" s="209" t="str">
        <f>HYPERLINK("https://uva.onlinejudge.org/index.php?option=com_onlinejudge&amp;Itemid=8&amp;page=show_problem&amp;problem=1608","UVA 10667")</f>
        <v>UVA 10667</v>
      </c>
      <c r="C147" s="10"/>
      <c r="D147" s="170"/>
      <c r="E147" s="170"/>
      <c r="F147" s="10"/>
      <c r="G147" s="10"/>
      <c r="H147" s="10"/>
      <c r="I147" s="56">
        <f t="shared" si="0"/>
        <v>0</v>
      </c>
      <c r="J147" s="10"/>
      <c r="K147" s="10"/>
      <c r="L147" s="10"/>
      <c r="M147" s="10"/>
    </row>
    <row r="148" spans="1:13" ht="13.2">
      <c r="A148" s="48"/>
      <c r="B148" s="53"/>
      <c r="C148" s="10"/>
      <c r="D148" s="170"/>
      <c r="E148" s="170"/>
      <c r="F148" s="10"/>
      <c r="G148" s="10"/>
      <c r="H148" s="10"/>
      <c r="I148" s="56">
        <f t="shared" si="0"/>
        <v>0</v>
      </c>
      <c r="J148" s="10"/>
      <c r="K148" s="10"/>
      <c r="L148" s="10"/>
      <c r="M148" s="10"/>
    </row>
    <row r="149" spans="1:13" ht="13.2">
      <c r="A149" s="48" t="s">
        <v>956</v>
      </c>
      <c r="B149" s="53" t="str">
        <f>HYPERLINK("http://codeforces.com/contest/96/problem/D","CF96-D2-D")</f>
        <v>CF96-D2-D</v>
      </c>
      <c r="C149" s="10"/>
      <c r="D149" s="170"/>
      <c r="E149" s="170"/>
      <c r="F149" s="10"/>
      <c r="G149" s="10"/>
      <c r="H149" s="10"/>
      <c r="I149" s="56">
        <f t="shared" si="0"/>
        <v>0</v>
      </c>
      <c r="J149" s="10"/>
      <c r="K149" s="10"/>
      <c r="L149" s="10"/>
      <c r="M149" s="10"/>
    </row>
    <row r="150" spans="1:13" ht="13.2">
      <c r="A150" s="48" t="s">
        <v>957</v>
      </c>
      <c r="B150" s="53" t="str">
        <f>HYPERLINK("http://codeforces.com/contest/606/problem/D","CF606-D2-D")</f>
        <v>CF606-D2-D</v>
      </c>
      <c r="C150" s="10"/>
      <c r="D150" s="170"/>
      <c r="E150" s="170"/>
      <c r="F150" s="10"/>
      <c r="G150" s="10"/>
      <c r="H150" s="10"/>
      <c r="I150" s="56">
        <f t="shared" si="0"/>
        <v>0</v>
      </c>
      <c r="J150" s="10"/>
      <c r="K150" s="10"/>
      <c r="L150" s="10"/>
      <c r="M150" s="10"/>
    </row>
    <row r="151" spans="1:13" ht="13.2">
      <c r="A151" s="48" t="s">
        <v>351</v>
      </c>
      <c r="B151" s="53" t="str">
        <f>HYPERLINK("http://codeforces.com/contest/448/problem/D","CF448-D2-D")</f>
        <v>CF448-D2-D</v>
      </c>
      <c r="C151" s="10"/>
      <c r="D151" s="170"/>
      <c r="E151" s="170"/>
      <c r="F151" s="10"/>
      <c r="G151" s="10"/>
      <c r="H151" s="10"/>
      <c r="I151" s="56">
        <f t="shared" si="0"/>
        <v>0</v>
      </c>
      <c r="J151" s="10"/>
      <c r="K151" s="10"/>
      <c r="L151" s="10"/>
      <c r="M151" s="59" t="str">
        <f>HYPERLINK("https://www.youtube.com/watch?v=up_Z5e9ZsCU","Video Solution - Solve to be (Java)")</f>
        <v>Video Solution - Solve to be (Java)</v>
      </c>
    </row>
    <row r="152" spans="1:13" ht="13.2">
      <c r="A152" s="48"/>
      <c r="B152" s="53" t="str">
        <f>HYPERLINK("http://codeforces.com/contest/486/problem/D","CF486-D2-D")</f>
        <v>CF486-D2-D</v>
      </c>
      <c r="C152" s="10"/>
      <c r="D152" s="170"/>
      <c r="E152" s="170"/>
      <c r="F152" s="10"/>
      <c r="G152" s="10"/>
      <c r="H152" s="10"/>
      <c r="I152" s="56">
        <f t="shared" si="0"/>
        <v>0</v>
      </c>
      <c r="J152" s="10"/>
      <c r="K152" s="10"/>
      <c r="L152" s="10"/>
      <c r="M152" s="59"/>
    </row>
    <row r="153" spans="1:13" ht="13.2">
      <c r="A153" s="48"/>
      <c r="B153" s="53" t="str">
        <f>HYPERLINK("http://codeforces.com/contest/1040/problem/D","CF1040-D2-D")</f>
        <v>CF1040-D2-D</v>
      </c>
      <c r="C153" s="10"/>
      <c r="D153" s="170"/>
      <c r="E153" s="170"/>
      <c r="F153" s="10"/>
      <c r="G153" s="10"/>
      <c r="H153" s="10"/>
      <c r="I153" s="56">
        <f t="shared" si="0"/>
        <v>0</v>
      </c>
      <c r="J153" s="10"/>
      <c r="K153" s="10"/>
      <c r="L153" s="10"/>
      <c r="M153" s="59"/>
    </row>
    <row r="154" spans="1:13" ht="13.2">
      <c r="A154" s="48"/>
      <c r="B154" s="53" t="str">
        <f>HYPERLINK("http://codeforces.com/contest/264/problem/C","CF264-D1-C")</f>
        <v>CF264-D1-C</v>
      </c>
      <c r="C154" s="10"/>
      <c r="D154" s="170"/>
      <c r="E154" s="170"/>
      <c r="F154" s="10"/>
      <c r="G154" s="10"/>
      <c r="H154" s="10"/>
      <c r="I154" s="56">
        <f t="shared" si="0"/>
        <v>0</v>
      </c>
      <c r="J154" s="10"/>
      <c r="K154" s="10"/>
      <c r="L154" s="10"/>
      <c r="M154" s="59"/>
    </row>
    <row r="155" spans="1:13" ht="13.2">
      <c r="A155" s="48"/>
      <c r="B155" s="53" t="str">
        <f>HYPERLINK("http://codeforces.com/contest/506/problem/A", "CF506-D1-A")</f>
        <v>CF506-D1-A</v>
      </c>
      <c r="C155" s="10"/>
      <c r="D155" s="170"/>
      <c r="E155" s="170"/>
      <c r="F155" s="10"/>
      <c r="G155" s="10"/>
      <c r="H155" s="10"/>
      <c r="I155" s="56">
        <f t="shared" si="0"/>
        <v>0</v>
      </c>
      <c r="J155" s="10"/>
      <c r="K155" s="10"/>
      <c r="L155" s="10"/>
      <c r="M155" s="59"/>
    </row>
    <row r="156" spans="1:13" ht="13.2">
      <c r="A156" s="48"/>
      <c r="B156" s="53" t="str">
        <f>HYPERLINK("https://www.codechef.com/problems/KSUM","CODECHEF KSUM")</f>
        <v>CODECHEF KSUM</v>
      </c>
      <c r="C156" s="10"/>
      <c r="D156" s="170"/>
      <c r="E156" s="170"/>
      <c r="F156" s="10"/>
      <c r="G156" s="10"/>
      <c r="H156" s="10"/>
      <c r="I156" s="56">
        <f t="shared" si="0"/>
        <v>0</v>
      </c>
      <c r="J156" s="10"/>
      <c r="K156" s="10"/>
      <c r="L156" s="10"/>
      <c r="M156" s="59"/>
    </row>
    <row r="157" spans="1:13" ht="13.2">
      <c r="A157" s="48"/>
      <c r="B157" s="53" t="str">
        <f>HYPERLINK("http://codeforces.com/contest/623/problem/B","CF623-D1-B")</f>
        <v>CF623-D1-B</v>
      </c>
      <c r="C157" s="10"/>
      <c r="D157" s="170"/>
      <c r="E157" s="170"/>
      <c r="F157" s="10"/>
      <c r="G157" s="10"/>
      <c r="H157" s="10"/>
      <c r="I157" s="56">
        <f t="shared" si="0"/>
        <v>0</v>
      </c>
      <c r="J157" s="10"/>
      <c r="K157" s="10"/>
      <c r="L157" s="10"/>
      <c r="M157" s="59"/>
    </row>
    <row r="158" spans="1:13" ht="26.4">
      <c r="A158" s="210" t="s">
        <v>958</v>
      </c>
      <c r="B158" s="190" t="str">
        <f>HYPERLINK("http://codeforces.com/contest/376/problem/C","CF376-D2-C")</f>
        <v>CF376-D2-C</v>
      </c>
      <c r="C158" s="10"/>
      <c r="D158" s="170"/>
      <c r="E158" s="170"/>
      <c r="F158" s="10"/>
      <c r="G158" s="10"/>
      <c r="H158" s="10"/>
      <c r="I158" s="56">
        <f t="shared" si="0"/>
        <v>0</v>
      </c>
      <c r="J158" s="10"/>
      <c r="K158" s="10"/>
      <c r="L158" s="10"/>
      <c r="M158" s="59"/>
    </row>
    <row r="159" spans="1:13" ht="13.2">
      <c r="A159" s="129" t="s">
        <v>959</v>
      </c>
      <c r="B159" s="190" t="str">
        <f>HYPERLINK("http://codeforces.com/contest/439/problem/C","CF439-D2-C")</f>
        <v>CF439-D2-C</v>
      </c>
      <c r="C159" s="10"/>
      <c r="D159" s="170"/>
      <c r="E159" s="170"/>
      <c r="F159" s="10"/>
      <c r="G159" s="10"/>
      <c r="H159" s="10"/>
      <c r="I159" s="56">
        <f t="shared" si="0"/>
        <v>0</v>
      </c>
      <c r="J159" s="10"/>
      <c r="K159" s="10"/>
      <c r="L159" s="10"/>
      <c r="M159" s="59"/>
    </row>
    <row r="160" spans="1:13" ht="13.2">
      <c r="A160" s="129" t="s">
        <v>960</v>
      </c>
      <c r="B160" s="190" t="str">
        <f>HYPERLINK("http://codeforces.com/contest/557/problem/C","CF557-D2-C")</f>
        <v>CF557-D2-C</v>
      </c>
      <c r="C160" s="10"/>
      <c r="D160" s="170"/>
      <c r="E160" s="170"/>
      <c r="F160" s="10"/>
      <c r="G160" s="10"/>
      <c r="H160" s="10"/>
      <c r="I160" s="56">
        <f t="shared" si="0"/>
        <v>0</v>
      </c>
      <c r="J160" s="10"/>
      <c r="K160" s="10"/>
      <c r="L160" s="10"/>
      <c r="M160" s="59"/>
    </row>
  </sheetData>
  <conditionalFormatting sqref="A145:B145 C3:C160">
    <cfRule type="containsText" dxfId="35" priority="17" operator="containsText" text="WA">
      <formula>NOT(ISERROR(SEARCH(("WA"),(C3))))</formula>
    </cfRule>
  </conditionalFormatting>
  <conditionalFormatting sqref="A145:B145">
    <cfRule type="cellIs" dxfId="34" priority="16" operator="equal">
      <formula>"AC"</formula>
    </cfRule>
  </conditionalFormatting>
  <conditionalFormatting sqref="C3:C160 A145:B145">
    <cfRule type="containsText" dxfId="33" priority="19" operator="containsText" text="TLE">
      <formula>NOT(ISERROR(SEARCH(("TLE"),(C3))))</formula>
    </cfRule>
    <cfRule type="containsText" dxfId="32" priority="21" operator="containsText" text="RTE">
      <formula>NOT(ISERROR(SEARCH(("RTE"),(C3))))</formula>
    </cfRule>
    <cfRule type="containsText" dxfId="31" priority="23" operator="containsText" text="CS">
      <formula>NOT(ISERROR(SEARCH(("CS"),(C3))))</formula>
    </cfRule>
  </conditionalFormatting>
  <conditionalFormatting sqref="C3:C160">
    <cfRule type="cellIs" dxfId="30" priority="9" operator="equal">
      <formula>"AC"</formula>
    </cfRule>
  </conditionalFormatting>
  <conditionalFormatting sqref="C30:C31">
    <cfRule type="containsText" dxfId="29" priority="1" operator="containsText" text="CS">
      <formula>NOT(ISERROR(SEARCH(("CS"),(C30))))</formula>
    </cfRule>
    <cfRule type="containsText" dxfId="28" priority="2" operator="containsText" text="RTE">
      <formula>NOT(ISERROR(SEARCH(("RTE"),(C30))))</formula>
    </cfRule>
    <cfRule type="containsText" dxfId="27" priority="3" operator="containsText" text="TLE">
      <formula>NOT(ISERROR(SEARCH(("TLE"),(C30))))</formula>
    </cfRule>
    <cfRule type="containsText" dxfId="26" priority="4" operator="containsText" text="WA">
      <formula>NOT(ISERROR(SEARCH(("WA"),(C30))))</formula>
    </cfRule>
    <cfRule type="containsText" dxfId="25" priority="5" operator="containsText" text="CS">
      <formula>NOT(ISERROR(SEARCH(("CS"),(C30))))</formula>
    </cfRule>
    <cfRule type="containsText" dxfId="24" priority="6" operator="containsText" text="RTE">
      <formula>NOT(ISERROR(SEARCH(("RTE"),(C30))))</formula>
    </cfRule>
    <cfRule type="containsText" dxfId="23" priority="7" operator="containsText" text="TLE">
      <formula>NOT(ISERROR(SEARCH(("TLE"),(C30))))</formula>
    </cfRule>
    <cfRule type="containsText" dxfId="22" priority="8" operator="containsText" text="WA">
      <formula>NOT(ISERROR(SEARCH(("WA"),(C30))))</formula>
    </cfRule>
  </conditionalFormatting>
  <conditionalFormatting sqref="K3:K30">
    <cfRule type="cellIs" dxfId="21" priority="10" operator="equal">
      <formula>"NO"</formula>
    </cfRule>
    <cfRule type="cellIs" dxfId="20" priority="11" operator="equal">
      <formula>"no"</formula>
    </cfRule>
    <cfRule type="cellIs" dxfId="19" priority="12" operator="equal">
      <formula>"No"</formula>
    </cfRule>
  </conditionalFormatting>
  <conditionalFormatting sqref="K36 K40:K160">
    <cfRule type="cellIs" dxfId="18" priority="13" operator="equal">
      <formula>"No"</formula>
    </cfRule>
    <cfRule type="cellIs" dxfId="17" priority="14" operator="equal">
      <formula>"no"</formula>
    </cfRule>
    <cfRule type="cellIs" dxfId="16" priority="15" operator="equal">
      <formula>"NO"</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87"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88"/>
      <c r="B2" s="10" t="s">
        <v>159</v>
      </c>
      <c r="C2" s="36">
        <f>COUNTIF(C3:C10540, "AC")</f>
        <v>0</v>
      </c>
      <c r="D2" s="36" t="e">
        <f ca="1">ROUND(SUMPRODUCT(D3:D10540,INT(EQ(C3:C10540, "AC")))/MAX(1, C2),1)</f>
        <v>#NAME?</v>
      </c>
      <c r="E2" s="36" t="e">
        <f ca="1">ROUND(SUMPRODUCT(E3:E10562,INT(EQ(C3:C10562, "AC")))/MAX(1, C2),0)</f>
        <v>#NAME?</v>
      </c>
      <c r="F2" s="36" t="e">
        <f ca="1">ROUND(SUMPRODUCT(F3:F10565,INT(EQ(C3:C10565, "AC")))/MAX(1, C2),0)</f>
        <v>#NAME?</v>
      </c>
      <c r="G2" s="36" t="e">
        <f ca="1">ROUND(SUMPRODUCT(G3:G10565,INT(EQ(C3:C10565, "AC")))/MAX(1, C2),0)</f>
        <v>#NAME?</v>
      </c>
      <c r="H2" s="36" t="e">
        <f ca="1">ROUND(SUMPRODUCT(H3:H10565,INT(EQ(C3:C10565, "AC")))/MAX(1, C2),0)</f>
        <v>#NAME?</v>
      </c>
      <c r="I2" s="36" t="e">
        <f ca="1">ROUND(SUMPRODUCT(I3:I10537,INT(EQ(C3:C10537, "AC")))/MAX(1, C2),0)</f>
        <v>#NAME?</v>
      </c>
      <c r="J2" s="36" t="e">
        <f ca="1">ROUND(SUMPRODUCT(J3:J10535,INT(EQ(C3:C10535, "AC")))/MAX(1, C2),1)</f>
        <v>#NAME?</v>
      </c>
      <c r="K2" s="36" t="e">
        <f ca="1">SUMPRODUCT(EQ(K3:K10540, "YES"),INT(EQ(C3:C10565, "AC")))</f>
        <v>#NAME?</v>
      </c>
      <c r="L2" s="37">
        <f ca="1">IFERROR(__xludf.DUMMYFUNCTION("COUNTA(FILTER(C3:C10032, NOT(REGEXMATCH(C3:C10032, ""AC""))))"),0)</f>
        <v>0</v>
      </c>
      <c r="M2" s="38">
        <f ca="1">IFERROR(__xludf.DUMMYFUNCTION("COUNTA(FILTER(C3:C10027, NOT(REGEXMATCH(C3:C10027, ""AC""))))"),0)</f>
        <v>0</v>
      </c>
    </row>
    <row r="3" spans="1:13" ht="15.75" customHeight="1">
      <c r="A3" s="48"/>
      <c r="B3" s="48"/>
      <c r="C3" s="56"/>
      <c r="D3" s="56"/>
      <c r="E3" s="56"/>
      <c r="F3" s="56"/>
      <c r="G3" s="56"/>
      <c r="H3" s="56"/>
      <c r="I3" s="35">
        <f t="shared" ref="I3:I158" si="0">SUM(E3:H3)</f>
        <v>0</v>
      </c>
      <c r="J3" s="35"/>
      <c r="K3" s="35"/>
      <c r="L3" s="56"/>
      <c r="M3" s="173" t="str">
        <f>HYPERLINK("https://www.youtube.com/watch?v=vjxLlFTKhrU&amp;index=2&amp;list=PLPt2dINI2MIYrtHBahPW16S-Wz9wx24Nc","String Processing - KMP (2 vid)")</f>
        <v>String Processing - KMP (2 vid)</v>
      </c>
    </row>
    <row r="4" spans="1:13" ht="15.75" customHeight="1">
      <c r="A4" s="211" t="s">
        <v>961</v>
      </c>
      <c r="B4" s="212" t="str">
        <f>HYPERLINK("http://poj.org/problem?id=3461","PKU 3461")</f>
        <v>PKU 3461</v>
      </c>
      <c r="C4" s="56"/>
      <c r="D4" s="56"/>
      <c r="E4" s="56"/>
      <c r="F4" s="56"/>
      <c r="G4" s="56"/>
      <c r="H4" s="56"/>
      <c r="I4" s="35">
        <f t="shared" si="0"/>
        <v>0</v>
      </c>
      <c r="J4" s="35"/>
      <c r="K4" s="35"/>
      <c r="L4" s="10"/>
      <c r="M4" s="48"/>
    </row>
    <row r="5" spans="1:13" ht="15.75" customHeight="1">
      <c r="A5" s="158" t="s">
        <v>962</v>
      </c>
      <c r="B5" s="212" t="str">
        <f>HYPERLINK("http://www.spoj.com/problems/NHAY","SPOJ NHAY")</f>
        <v>SPOJ NHAY</v>
      </c>
      <c r="C5" s="56"/>
      <c r="D5" s="56"/>
      <c r="E5" s="56"/>
      <c r="F5" s="56"/>
      <c r="G5" s="56"/>
      <c r="H5" s="56"/>
      <c r="I5" s="35">
        <f t="shared" si="0"/>
        <v>0</v>
      </c>
      <c r="J5" s="35"/>
      <c r="K5" s="35"/>
      <c r="L5" s="10"/>
      <c r="M5" s="48"/>
    </row>
    <row r="6" spans="1:13" ht="15.75" customHeight="1">
      <c r="A6" s="208" t="s">
        <v>963</v>
      </c>
      <c r="B6" s="212" t="str">
        <f>HYPERLINK("http://www.spoj.com/problems/TESSER/","SPOJ TESSER")</f>
        <v>SPOJ TESSER</v>
      </c>
      <c r="C6" s="56"/>
      <c r="D6" s="56"/>
      <c r="E6" s="56"/>
      <c r="F6" s="56"/>
      <c r="G6" s="56"/>
      <c r="H6" s="56"/>
      <c r="I6" s="35">
        <f t="shared" si="0"/>
        <v>0</v>
      </c>
      <c r="J6" s="35"/>
      <c r="K6" s="35"/>
      <c r="L6" s="10"/>
      <c r="M6" s="48"/>
    </row>
    <row r="7" spans="1:13" ht="15.75" customHeight="1">
      <c r="A7" s="208" t="s">
        <v>964</v>
      </c>
      <c r="B7" s="212" t="str">
        <f>HYPERLINK("http://www.spoj.com/problems/PERIOD/","SPOJ PERIOD")</f>
        <v>SPOJ PERIOD</v>
      </c>
      <c r="C7" s="56"/>
      <c r="D7" s="56"/>
      <c r="E7" s="56"/>
      <c r="F7" s="56"/>
      <c r="G7" s="56"/>
      <c r="H7" s="56"/>
      <c r="I7" s="35">
        <f t="shared" si="0"/>
        <v>0</v>
      </c>
      <c r="J7" s="35"/>
      <c r="K7" s="35"/>
      <c r="M7" s="48"/>
    </row>
    <row r="8" spans="1:13" ht="15.75" customHeight="1">
      <c r="A8" s="211" t="s">
        <v>965</v>
      </c>
      <c r="B8" s="212" t="str">
        <f>HYPERLINK("http://codeforces.com/contest/432/problem/D","CF432-D2-D")</f>
        <v>CF432-D2-D</v>
      </c>
      <c r="C8" s="56"/>
      <c r="D8" s="56"/>
      <c r="E8" s="56"/>
      <c r="F8" s="56"/>
      <c r="G8" s="56"/>
      <c r="H8" s="56"/>
      <c r="I8" s="35">
        <f t="shared" si="0"/>
        <v>0</v>
      </c>
      <c r="J8" s="35"/>
      <c r="K8" s="35"/>
      <c r="L8" s="10"/>
      <c r="M8" s="48"/>
    </row>
    <row r="9" spans="1:13" ht="15.75" customHeight="1">
      <c r="A9" s="211" t="s">
        <v>966</v>
      </c>
      <c r="B9" s="212" t="str">
        <f>HYPERLINK("http://codeforces.com/contest/535/problem/D","CF535-D2-D")</f>
        <v>CF535-D2-D</v>
      </c>
      <c r="C9" s="56"/>
      <c r="D9" s="56"/>
      <c r="E9" s="56"/>
      <c r="F9" s="56"/>
      <c r="G9" s="56"/>
      <c r="H9" s="56"/>
      <c r="I9" s="35">
        <f t="shared" si="0"/>
        <v>0</v>
      </c>
      <c r="J9" s="35"/>
      <c r="K9" s="35"/>
      <c r="L9" s="10"/>
      <c r="M9" s="48"/>
    </row>
    <row r="10" spans="1:13" ht="15.75" customHeight="1">
      <c r="A10" s="213" t="s">
        <v>967</v>
      </c>
      <c r="B10" s="214" t="str">
        <f>HYPERLINK("https://uva.onlinejudge.org/index.php?option=onlinejudge&amp;page=show_problem&amp;problem=2096","UVA 11155")</f>
        <v>UVA 11155</v>
      </c>
      <c r="C10" s="56"/>
      <c r="D10" s="56"/>
      <c r="E10" s="56"/>
      <c r="F10" s="56"/>
      <c r="G10" s="56"/>
      <c r="H10" s="56"/>
      <c r="I10" s="35">
        <f t="shared" si="0"/>
        <v>0</v>
      </c>
      <c r="J10" s="35"/>
      <c r="K10" s="35"/>
      <c r="L10" s="10"/>
      <c r="M10" s="48"/>
    </row>
    <row r="11" spans="1:13" ht="15.75" customHeight="1">
      <c r="A11" s="213" t="s">
        <v>968</v>
      </c>
      <c r="B11" s="214" t="str">
        <f>HYPERLINK("http://www.spoj.com/problems/PT07X/","SPOJ PT07X")</f>
        <v>SPOJ PT07X</v>
      </c>
      <c r="C11" s="56"/>
      <c r="D11" s="56"/>
      <c r="E11" s="56"/>
      <c r="F11" s="56"/>
      <c r="G11" s="56"/>
      <c r="H11" s="56"/>
      <c r="I11" s="35">
        <f t="shared" si="0"/>
        <v>0</v>
      </c>
      <c r="J11" s="35"/>
      <c r="K11" s="35"/>
      <c r="L11" s="10"/>
      <c r="M11" s="126" t="str">
        <f>HYPERLINK("https://github.com/abdullaAshraf/Problem-Solving/blob/master/SPOJ/PT07X.cpp","Sol")</f>
        <v>Sol</v>
      </c>
    </row>
    <row r="12" spans="1:13" ht="15.75" customHeight="1">
      <c r="A12" s="66" t="s">
        <v>969</v>
      </c>
      <c r="B12" s="186" t="str">
        <f>HYPERLINK("http://codeforces.com/contest/54/problem/C","CF54-D12-C")</f>
        <v>CF54-D12-C</v>
      </c>
      <c r="C12" s="56"/>
      <c r="D12" s="56"/>
      <c r="E12" s="56"/>
      <c r="F12" s="56"/>
      <c r="G12" s="56"/>
      <c r="H12" s="56"/>
      <c r="I12" s="35">
        <f t="shared" si="0"/>
        <v>0</v>
      </c>
      <c r="J12" s="10"/>
      <c r="K12" s="10"/>
      <c r="L12" s="10"/>
      <c r="M12" s="41"/>
    </row>
    <row r="13" spans="1:13" ht="15.75" customHeight="1">
      <c r="A13" s="66"/>
      <c r="B13" s="194" t="str">
        <f>HYPERLINK("http://codeforces.com/contest/500/problem/D","CF500-D12-D")</f>
        <v>CF500-D12-D</v>
      </c>
      <c r="C13" s="56"/>
      <c r="D13" s="56"/>
      <c r="E13" s="56"/>
      <c r="F13" s="56"/>
      <c r="G13" s="56"/>
      <c r="H13" s="56"/>
      <c r="I13" s="35">
        <f t="shared" si="0"/>
        <v>0</v>
      </c>
      <c r="J13" s="10"/>
      <c r="K13" s="10"/>
      <c r="L13" s="10"/>
      <c r="M13" s="41"/>
    </row>
    <row r="14" spans="1:13" ht="15.75" customHeight="1">
      <c r="A14" s="66"/>
      <c r="B14" s="194" t="str">
        <f>HYPERLINK("https://www.hackerrank.com/challenges/vertical-sticks","HACKR vertical-sticks")</f>
        <v>HACKR vertical-sticks</v>
      </c>
      <c r="C14" s="56"/>
      <c r="D14" s="56"/>
      <c r="E14" s="56"/>
      <c r="F14" s="56"/>
      <c r="G14" s="56"/>
      <c r="H14" s="56"/>
      <c r="I14" s="35">
        <f t="shared" si="0"/>
        <v>0</v>
      </c>
      <c r="J14" s="10"/>
      <c r="K14" s="10"/>
      <c r="L14" s="10"/>
      <c r="M14" s="41"/>
    </row>
    <row r="15" spans="1:13" ht="15.75" customHeight="1">
      <c r="A15" s="66"/>
      <c r="B15" s="66" t="s">
        <v>970</v>
      </c>
      <c r="C15" s="56"/>
      <c r="D15" s="56"/>
      <c r="E15" s="56"/>
      <c r="F15" s="56"/>
      <c r="G15" s="56"/>
      <c r="H15" s="56"/>
      <c r="I15" s="35">
        <f t="shared" si="0"/>
        <v>0</v>
      </c>
      <c r="J15" s="10"/>
      <c r="K15" s="10"/>
      <c r="L15" s="10"/>
      <c r="M15" s="41"/>
    </row>
    <row r="16" spans="1:13" ht="15.75" customHeight="1">
      <c r="A16" s="66"/>
      <c r="B16" s="66" t="s">
        <v>971</v>
      </c>
      <c r="C16" s="56"/>
      <c r="D16" s="56"/>
      <c r="E16" s="56"/>
      <c r="F16" s="56"/>
      <c r="G16" s="56"/>
      <c r="H16" s="56"/>
      <c r="I16" s="35">
        <f t="shared" si="0"/>
        <v>0</v>
      </c>
      <c r="J16" s="10"/>
      <c r="K16" s="10"/>
      <c r="L16" s="10"/>
      <c r="M16" s="126" t="str">
        <f>HYPERLINK("https://github.com/mostafa-saad/MyCompetitiveProgramming/blob/master/UVA/UVA_1333.txt","Sol - Text/Background Clarification")</f>
        <v>Sol - Text/Background Clarification</v>
      </c>
    </row>
    <row r="17" spans="1:13" ht="15.75" customHeight="1">
      <c r="A17" s="66"/>
      <c r="B17" s="134" t="str">
        <f>HYPERLINK("http://codeforces.com/contest/842/problem/D","CF842-D2-D")</f>
        <v>CF842-D2-D</v>
      </c>
      <c r="C17" s="56"/>
      <c r="D17" s="56"/>
      <c r="E17" s="56"/>
      <c r="F17" s="56"/>
      <c r="G17" s="56"/>
      <c r="H17" s="56"/>
      <c r="I17" s="35">
        <f t="shared" si="0"/>
        <v>0</v>
      </c>
      <c r="J17" s="10"/>
      <c r="K17" s="10"/>
      <c r="L17" s="10"/>
      <c r="M17" s="41"/>
    </row>
    <row r="18" spans="1:13" ht="15.75" customHeight="1">
      <c r="A18" s="66"/>
      <c r="B18" s="134" t="str">
        <f>HYPERLINK("http://codeforces.com/contest/709/problem/D","CF709-D2-D")</f>
        <v>CF709-D2-D</v>
      </c>
      <c r="C18" s="56"/>
      <c r="D18" s="56"/>
      <c r="E18" s="56"/>
      <c r="F18" s="56"/>
      <c r="G18" s="56"/>
      <c r="H18" s="56"/>
      <c r="I18" s="35">
        <f t="shared" si="0"/>
        <v>0</v>
      </c>
      <c r="J18" s="10"/>
      <c r="K18" s="10"/>
      <c r="L18" s="10"/>
      <c r="M18" s="41"/>
    </row>
    <row r="19" spans="1:13" ht="15.75" customHeight="1">
      <c r="A19" s="66"/>
      <c r="B19" s="66" t="s">
        <v>972</v>
      </c>
      <c r="C19" s="56"/>
      <c r="D19" s="56"/>
      <c r="E19" s="56"/>
      <c r="F19" s="56"/>
      <c r="G19" s="56"/>
      <c r="H19" s="56"/>
      <c r="I19" s="35">
        <f t="shared" si="0"/>
        <v>0</v>
      </c>
      <c r="J19" s="10"/>
      <c r="K19" s="10"/>
      <c r="L19" s="10"/>
      <c r="M19" s="126" t="str">
        <f>HYPERLINK("https://github.com/mostafa-saad/MyCompetitiveProgramming/blob/master/SPOJ/SPOJ_MSKYCODE.txt","Sol")</f>
        <v>Sol</v>
      </c>
    </row>
    <row r="20" spans="1:13" ht="15.75" customHeight="1">
      <c r="A20" s="66"/>
      <c r="B20" s="66" t="s">
        <v>973</v>
      </c>
      <c r="C20" s="56"/>
      <c r="D20" s="56"/>
      <c r="E20" s="56"/>
      <c r="F20" s="56"/>
      <c r="G20" s="56"/>
      <c r="H20" s="56"/>
      <c r="I20" s="35">
        <f t="shared" si="0"/>
        <v>0</v>
      </c>
      <c r="J20" s="10"/>
      <c r="K20" s="10"/>
      <c r="L20" s="10"/>
      <c r="M20" s="126" t="str">
        <f>HYPERLINK("https://github.com/ahmed-osama-iv/CompetitiveProgramming/blob/master/LiveArchive/8015.cpp","Sol")</f>
        <v>Sol</v>
      </c>
    </row>
    <row r="21" spans="1:13" ht="15.75" customHeight="1">
      <c r="A21" s="41"/>
      <c r="B21" s="48"/>
      <c r="C21" s="56"/>
      <c r="D21" s="56"/>
      <c r="E21" s="56"/>
      <c r="F21" s="56"/>
      <c r="G21" s="56"/>
      <c r="H21" s="56"/>
      <c r="I21" s="35">
        <f t="shared" si="0"/>
        <v>0</v>
      </c>
      <c r="J21" s="35"/>
      <c r="K21" s="35"/>
      <c r="L21" s="10"/>
      <c r="M21" s="41"/>
    </row>
    <row r="22" spans="1:13" ht="15.75" customHeight="1">
      <c r="A22" s="41" t="s">
        <v>974</v>
      </c>
      <c r="B22" s="99" t="str">
        <f>HYPERLINK("http://codeforces.com/contest/672/problem/D","CF672-D2-D")</f>
        <v>CF672-D2-D</v>
      </c>
      <c r="C22" s="56"/>
      <c r="D22" s="56"/>
      <c r="E22" s="56"/>
      <c r="F22" s="56"/>
      <c r="G22" s="56"/>
      <c r="H22" s="56"/>
      <c r="I22" s="35">
        <f t="shared" si="0"/>
        <v>0</v>
      </c>
      <c r="J22" s="35"/>
      <c r="K22" s="35"/>
      <c r="L22" s="10"/>
      <c r="M22" s="41"/>
    </row>
    <row r="23" spans="1:13" ht="15.75" customHeight="1">
      <c r="A23" s="41" t="s">
        <v>975</v>
      </c>
      <c r="B23" s="99" t="str">
        <f>HYPERLINK("http://codeforces.com/contest/94/problem/D","CF94-D2-D")</f>
        <v>CF94-D2-D</v>
      </c>
      <c r="C23" s="56"/>
      <c r="D23" s="56"/>
      <c r="E23" s="56"/>
      <c r="F23" s="56"/>
      <c r="G23" s="56"/>
      <c r="H23" s="56"/>
      <c r="I23" s="35">
        <f t="shared" si="0"/>
        <v>0</v>
      </c>
      <c r="J23" s="35"/>
      <c r="K23" s="35"/>
      <c r="L23" s="10"/>
      <c r="M23" s="41"/>
    </row>
    <row r="24" spans="1:13" ht="15.75" customHeight="1">
      <c r="A24" s="41" t="s">
        <v>976</v>
      </c>
      <c r="B24" s="99" t="str">
        <f>HYPERLINK("http://codeforces.com/contest/560/problem/D","CF560-D2-D")</f>
        <v>CF560-D2-D</v>
      </c>
      <c r="C24" s="56"/>
      <c r="D24" s="56"/>
      <c r="E24" s="56"/>
      <c r="F24" s="56"/>
      <c r="G24" s="56"/>
      <c r="H24" s="56"/>
      <c r="I24" s="35">
        <f t="shared" si="0"/>
        <v>0</v>
      </c>
      <c r="J24" s="35"/>
      <c r="K24" s="35"/>
      <c r="M24" s="126" t="str">
        <f>HYPERLINK("https://github.com/VAMPIER000001/CompetitiveProgramming/blob/6ffe2c80fe5aba2bf2d901503b96f1b90053462a/CF/CF560-D2-D(2).Cpp","Sol to learn")</f>
        <v>Sol to learn</v>
      </c>
    </row>
    <row r="25" spans="1:13" ht="15.75" customHeight="1">
      <c r="A25" s="41" t="s">
        <v>977</v>
      </c>
      <c r="B25" s="99" t="str">
        <f>HYPERLINK("http://codeforces.com/contest/451/problem/D","CF451-D2-D")</f>
        <v>CF451-D2-D</v>
      </c>
      <c r="C25" s="56"/>
      <c r="D25" s="56"/>
      <c r="E25" s="56"/>
      <c r="F25" s="56"/>
      <c r="G25" s="56"/>
      <c r="H25" s="56"/>
      <c r="I25" s="35">
        <f t="shared" si="0"/>
        <v>0</v>
      </c>
      <c r="J25" s="35"/>
      <c r="K25" s="35"/>
      <c r="L25" s="10"/>
      <c r="M25" s="48"/>
    </row>
    <row r="26" spans="1:13" ht="15.75" customHeight="1">
      <c r="A26" s="41" t="s">
        <v>978</v>
      </c>
      <c r="B26" s="99" t="str">
        <f>HYPERLINK("http://codeforces.com/contest/186/problem/D","CF186-D2-D")</f>
        <v>CF186-D2-D</v>
      </c>
      <c r="C26" s="56"/>
      <c r="D26" s="56"/>
      <c r="E26" s="56"/>
      <c r="F26" s="56"/>
      <c r="G26" s="56"/>
      <c r="H26" s="56"/>
      <c r="I26" s="35">
        <f t="shared" si="0"/>
        <v>0</v>
      </c>
      <c r="J26" s="35"/>
      <c r="K26" s="35"/>
      <c r="L26" s="10"/>
      <c r="M26" s="48"/>
    </row>
    <row r="27" spans="1:13" ht="15.75" customHeight="1">
      <c r="A27" s="41" t="s">
        <v>979</v>
      </c>
      <c r="B27" s="99" t="str">
        <f>HYPERLINK("http://codeforces.com/contest/195/problem/D","CF195-D2-D")</f>
        <v>CF195-D2-D</v>
      </c>
      <c r="C27" s="56"/>
      <c r="D27" s="56"/>
      <c r="E27" s="56"/>
      <c r="F27" s="56"/>
      <c r="G27" s="56"/>
      <c r="H27" s="56"/>
      <c r="I27" s="35">
        <f t="shared" si="0"/>
        <v>0</v>
      </c>
      <c r="J27" s="35"/>
      <c r="K27" s="35"/>
      <c r="L27" s="10"/>
      <c r="M27" s="48"/>
    </row>
    <row r="28" spans="1:13" ht="15.75" customHeight="1">
      <c r="A28" s="41"/>
      <c r="B28" s="99" t="str">
        <f>HYPERLINK("http://codeforces.com/contest/1023/problem/E","CF1023-D12-E")</f>
        <v>CF1023-D12-E</v>
      </c>
      <c r="C28" s="56"/>
      <c r="D28" s="56"/>
      <c r="E28" s="56"/>
      <c r="F28" s="56"/>
      <c r="G28" s="56"/>
      <c r="H28" s="56"/>
      <c r="I28" s="35">
        <f t="shared" si="0"/>
        <v>0</v>
      </c>
      <c r="J28" s="35"/>
      <c r="K28" s="35"/>
      <c r="L28" s="10"/>
      <c r="M28" s="48"/>
    </row>
    <row r="29" spans="1:13" ht="15.75" customHeight="1">
      <c r="A29" s="41"/>
      <c r="B29" s="99" t="str">
        <f>HYPERLINK("https://codeforces.com/contest/1060/problem/C","CF1060-D12-C")</f>
        <v>CF1060-D12-C</v>
      </c>
      <c r="C29" s="56"/>
      <c r="D29" s="56"/>
      <c r="E29" s="56"/>
      <c r="F29" s="56"/>
      <c r="G29" s="56"/>
      <c r="H29" s="56"/>
      <c r="I29" s="35">
        <f t="shared" si="0"/>
        <v>0</v>
      </c>
      <c r="J29" s="35"/>
      <c r="K29" s="35"/>
      <c r="L29" s="10"/>
      <c r="M29" s="48"/>
    </row>
    <row r="30" spans="1:13" ht="13.2">
      <c r="A30" s="129" t="s">
        <v>980</v>
      </c>
      <c r="B30" s="171" t="str">
        <f>HYPERLINK("http://codeforces.com/contest/680/problem/C","CF680-D2-C")</f>
        <v>CF680-D2-C</v>
      </c>
      <c r="C30" s="56"/>
      <c r="D30" s="56"/>
      <c r="E30" s="56"/>
      <c r="F30" s="56"/>
      <c r="G30" s="56"/>
      <c r="H30" s="56"/>
      <c r="I30" s="35">
        <f t="shared" si="0"/>
        <v>0</v>
      </c>
      <c r="J30" s="10"/>
      <c r="K30" s="10"/>
      <c r="L30" s="10"/>
      <c r="M30" s="10"/>
    </row>
    <row r="31" spans="1:13" ht="13.2">
      <c r="A31" s="129" t="s">
        <v>164</v>
      </c>
      <c r="B31" s="171" t="str">
        <f>HYPERLINK("http://codeforces.com/contest/401/problem/C","CF401-D2-C")</f>
        <v>CF401-D2-C</v>
      </c>
      <c r="C31" s="56"/>
      <c r="D31" s="56"/>
      <c r="E31" s="56"/>
      <c r="F31" s="56"/>
      <c r="G31" s="56"/>
      <c r="H31" s="56"/>
      <c r="I31" s="35">
        <f t="shared" si="0"/>
        <v>0</v>
      </c>
      <c r="J31" s="10"/>
      <c r="K31" s="10"/>
      <c r="L31" s="10"/>
      <c r="M31" s="10"/>
    </row>
    <row r="32" spans="1:13" ht="13.2">
      <c r="A32" s="41"/>
      <c r="B32" s="48"/>
      <c r="C32" s="56"/>
      <c r="D32" s="56"/>
      <c r="E32" s="56"/>
      <c r="F32" s="56"/>
      <c r="G32" s="56"/>
      <c r="H32" s="56"/>
      <c r="I32" s="35">
        <f t="shared" si="0"/>
        <v>0</v>
      </c>
      <c r="J32" s="35"/>
      <c r="K32" s="35"/>
      <c r="L32" s="10"/>
      <c r="M32" s="173" t="str">
        <f>HYPERLINK("https://www.youtube.com/watch?v=X-cMRvuTGuM&amp;list=PLPt2dINI2MIattDutu7IOAMlUuLeN8k2p&amp;index=19","DP - Games (2 vid)")</f>
        <v>DP - Games (2 vid)</v>
      </c>
    </row>
    <row r="33" spans="1:13" ht="13.2">
      <c r="A33" s="62" t="s">
        <v>981</v>
      </c>
      <c r="B33" s="212" t="str">
        <f>HYPERLINK("https://uva.onlinejudge.org/index.php?option=com_onlinejudge&amp;Itemid=8&amp;page=show_problem&amp;problem=1345","UVA 10404")</f>
        <v>UVA 10404</v>
      </c>
      <c r="C33" s="56"/>
      <c r="D33" s="56"/>
      <c r="E33" s="56"/>
      <c r="F33" s="56"/>
      <c r="G33" s="56"/>
      <c r="H33" s="56"/>
      <c r="I33" s="35">
        <f t="shared" si="0"/>
        <v>0</v>
      </c>
      <c r="J33" s="35"/>
      <c r="K33" s="35"/>
      <c r="L33" s="10"/>
      <c r="M33" s="126" t="str">
        <f>HYPERLINK("https://github.com/VAMPIER000001/CompetitiveProgramming/blob/58946d0dcba06adfc2c5ec0b423546a6a0c6da9c/UVA/V-104/UVA%2010404.Cpp","Sol")</f>
        <v>Sol</v>
      </c>
    </row>
    <row r="34" spans="1:13" ht="13.2">
      <c r="A34" s="215" t="str">
        <f>HYPERLINK("https://community.topcoder.com/stat?c=problem_statement&amp;pm=11791&amp;rd=14727","EllysCheckers")</f>
        <v>EllysCheckers</v>
      </c>
      <c r="B34" s="216" t="s">
        <v>982</v>
      </c>
      <c r="C34" s="56"/>
      <c r="D34" s="56"/>
      <c r="E34" s="56"/>
      <c r="F34" s="56"/>
      <c r="G34" s="56"/>
      <c r="H34" s="56"/>
      <c r="I34" s="35">
        <f t="shared" si="0"/>
        <v>0</v>
      </c>
      <c r="J34" s="35"/>
      <c r="K34" s="35"/>
      <c r="L34" s="10"/>
      <c r="M34" s="48"/>
    </row>
    <row r="35" spans="1:13" ht="13.2">
      <c r="A35" s="217" t="str">
        <f>HYPERLINK("https://community.topcoder.com/stat?c=problem_statement&amp;pm=11566&amp;rd=14547","RowAndCoins")</f>
        <v>RowAndCoins</v>
      </c>
      <c r="B35" s="218" t="s">
        <v>983</v>
      </c>
      <c r="C35" s="56"/>
      <c r="D35" s="56"/>
      <c r="E35" s="56"/>
      <c r="F35" s="56"/>
      <c r="G35" s="56"/>
      <c r="H35" s="56"/>
      <c r="I35" s="35">
        <f t="shared" si="0"/>
        <v>0</v>
      </c>
      <c r="J35" s="35"/>
      <c r="K35" s="35"/>
      <c r="L35" s="10"/>
      <c r="M35" s="48"/>
    </row>
    <row r="36" spans="1:13" ht="13.2">
      <c r="A36" s="217" t="str">
        <f>HYPERLINK("https://community.topcoder.com/stat?c=problem_statement&amp;pm=3491&amp;rd=6517","BagsOfGold")</f>
        <v>BagsOfGold</v>
      </c>
      <c r="B36" s="218" t="s">
        <v>984</v>
      </c>
      <c r="C36" s="56"/>
      <c r="D36" s="56"/>
      <c r="E36" s="56"/>
      <c r="F36" s="56"/>
      <c r="G36" s="56"/>
      <c r="H36" s="56"/>
      <c r="I36" s="35">
        <f t="shared" si="0"/>
        <v>0</v>
      </c>
      <c r="J36" s="35"/>
      <c r="K36" s="35"/>
      <c r="L36" s="10"/>
      <c r="M36" s="48"/>
    </row>
    <row r="37" spans="1:13" ht="13.2">
      <c r="A37" s="208" t="s">
        <v>985</v>
      </c>
      <c r="B37" s="219" t="str">
        <f>HYPERLINK("http://codeforces.com/contest/148/problem/D","CF148-D2-D")</f>
        <v>CF148-D2-D</v>
      </c>
      <c r="C37" s="56"/>
      <c r="D37" s="56"/>
      <c r="E37" s="56"/>
      <c r="F37" s="56"/>
      <c r="G37" s="56"/>
      <c r="H37" s="56"/>
      <c r="I37" s="35">
        <f t="shared" si="0"/>
        <v>0</v>
      </c>
      <c r="J37" s="10"/>
      <c r="K37" s="10"/>
      <c r="L37" s="10"/>
      <c r="M37" s="10"/>
    </row>
    <row r="38" spans="1:13" ht="13.2">
      <c r="A38" s="213"/>
      <c r="B38" s="214" t="str">
        <f>HYPERLINK("https://codeforces.com/contest/1147/problem/B", "CF1147-D1-B")</f>
        <v>CF1147-D1-B</v>
      </c>
      <c r="C38" s="56"/>
      <c r="D38" s="56"/>
      <c r="E38" s="56"/>
      <c r="F38" s="56"/>
      <c r="G38" s="56"/>
      <c r="H38" s="56"/>
      <c r="I38" s="35">
        <f t="shared" si="0"/>
        <v>0</v>
      </c>
      <c r="J38" s="35"/>
      <c r="K38" s="35"/>
      <c r="L38" s="10"/>
      <c r="M38" s="41"/>
    </row>
    <row r="39" spans="1:13" ht="13.2">
      <c r="A39" s="213" t="s">
        <v>986</v>
      </c>
      <c r="B39" s="214" t="str">
        <f>HYPERLINK("http://www.spoj.com/problems/MELE3/","SPOJ MELE3")</f>
        <v>SPOJ MELE3</v>
      </c>
      <c r="C39" s="56"/>
      <c r="D39" s="56"/>
      <c r="E39" s="56"/>
      <c r="F39" s="56"/>
      <c r="G39" s="56"/>
      <c r="H39" s="56"/>
      <c r="I39" s="35">
        <f t="shared" si="0"/>
        <v>0</v>
      </c>
      <c r="J39" s="35"/>
      <c r="K39" s="35"/>
      <c r="L39" s="10"/>
      <c r="M39" s="126" t="str">
        <f>HYPERLINK("https://github.com/VAMPIER000001/CompetitiveProgramming/blob/a5d714fa4de45e50f87306d421ec6c3c02026f76/Spoj/SPOJ%20MELE3.Cpp","Sol")</f>
        <v>Sol</v>
      </c>
    </row>
    <row r="40" spans="1:13" ht="13.2">
      <c r="A40" s="213" t="s">
        <v>987</v>
      </c>
      <c r="B40" s="214" t="str">
        <f>HYPERLINK("http://www.spoj.com/problems/ROADS/en/","SPOJ ROADS")</f>
        <v>SPOJ ROADS</v>
      </c>
      <c r="C40" s="56"/>
      <c r="D40" s="56"/>
      <c r="E40" s="56"/>
      <c r="F40" s="56"/>
      <c r="G40" s="56"/>
      <c r="H40" s="56"/>
      <c r="I40" s="35">
        <f t="shared" si="0"/>
        <v>0</v>
      </c>
      <c r="J40" s="35"/>
      <c r="K40" s="35"/>
      <c r="L40" s="10"/>
      <c r="M40" s="126" t="str">
        <f>HYPERLINK("https://github.com/mostafa-saad/MyCompetitiveProgramming/blob/master/SPOJ/SPOJ_ROADS.txt","Sol")</f>
        <v>Sol</v>
      </c>
    </row>
    <row r="41" spans="1:13" ht="13.2">
      <c r="A41" s="213" t="s">
        <v>988</v>
      </c>
      <c r="B41" s="214" t="str">
        <f>HYPERLINK("https://uva.onlinejudge.org/index.php?option=onlinejudge&amp;page=show_problem&amp;problem=1400","UVA 10459")</f>
        <v>UVA 10459</v>
      </c>
      <c r="C41" s="56"/>
      <c r="D41" s="56"/>
      <c r="E41" s="56"/>
      <c r="F41" s="56"/>
      <c r="G41" s="56"/>
      <c r="H41" s="56"/>
      <c r="I41" s="35">
        <f t="shared" si="0"/>
        <v>0</v>
      </c>
      <c r="J41" s="35"/>
      <c r="K41" s="35"/>
      <c r="L41" s="10"/>
      <c r="M41" s="126" t="str">
        <f>HYPERLINK("https://github.com/VAMPIER000001/CompetitiveProgramming/blob/master/UVA/V-104/UVA%2010459.Cpp","Sol")</f>
        <v>Sol</v>
      </c>
    </row>
    <row r="42" spans="1:13" ht="13.2">
      <c r="A42" s="213" t="s">
        <v>989</v>
      </c>
      <c r="B42" s="214" t="str">
        <f>HYPERLINK("https://uva.onlinejudge.org/index.php?option=com_onlinejudge&amp;Itemid=8&amp;page=show_problem&amp;problem=3673","UVA 1232")</f>
        <v>UVA 1232</v>
      </c>
      <c r="C42" s="56"/>
      <c r="D42" s="56"/>
      <c r="E42" s="56"/>
      <c r="F42" s="56"/>
      <c r="G42" s="56"/>
      <c r="H42" s="56"/>
      <c r="I42" s="35">
        <f t="shared" si="0"/>
        <v>0</v>
      </c>
      <c r="J42" s="10"/>
      <c r="K42" s="10"/>
      <c r="M42" s="126" t="str">
        <f>HYPERLINK("https://github.com/mostafa-saad/MyCompetitiveProgramming/blob/master/UVA/UVA_1232.txt","Sol")</f>
        <v>Sol</v>
      </c>
    </row>
    <row r="43" spans="1:13" ht="13.2">
      <c r="A43" s="66" t="s">
        <v>990</v>
      </c>
      <c r="B43" s="220" t="str">
        <f>HYPERLINK("http://www.spoj.com/problems/ORDERS/","SPOJ ORDERS")</f>
        <v>SPOJ ORDERS</v>
      </c>
      <c r="C43" s="56"/>
      <c r="D43" s="56"/>
      <c r="E43" s="56"/>
      <c r="F43" s="56"/>
      <c r="G43" s="56"/>
      <c r="H43" s="56"/>
      <c r="I43" s="35">
        <f t="shared" si="0"/>
        <v>0</v>
      </c>
      <c r="J43" s="10"/>
      <c r="K43" s="10"/>
      <c r="M43" s="126" t="str">
        <f>HYPERLINK("https://github.com/mostafa-saad/MyCompetitiveProgramming/blob/master/SPOJ/SPOJ_ORDERS.txt","Sol")</f>
        <v>Sol</v>
      </c>
    </row>
    <row r="44" spans="1:13" ht="13.2">
      <c r="A44" s="168" t="s">
        <v>991</v>
      </c>
      <c r="B44" s="221" t="str">
        <f>HYPERLINK("http://codeforces.com/contest/268/problem/E","CF268-D2-E")</f>
        <v>CF268-D2-E</v>
      </c>
      <c r="C44" s="56"/>
      <c r="D44" s="56"/>
      <c r="E44" s="56"/>
      <c r="F44" s="56"/>
      <c r="G44" s="56"/>
      <c r="H44" s="56"/>
      <c r="I44" s="35">
        <f t="shared" si="0"/>
        <v>0</v>
      </c>
      <c r="J44" s="10"/>
      <c r="K44" s="10"/>
      <c r="M44" s="126" t="str">
        <f>HYPERLINK("https://github.com/3agwa/CompetitiveProgramming/blob/master/CodeForces/CF268-D2-E.cpp","Sol")</f>
        <v>Sol</v>
      </c>
    </row>
    <row r="45" spans="1:13" ht="13.2">
      <c r="A45" s="66"/>
      <c r="B45" s="168" t="s">
        <v>992</v>
      </c>
      <c r="C45" s="56"/>
      <c r="D45" s="56"/>
      <c r="E45" s="56"/>
      <c r="F45" s="56"/>
      <c r="G45" s="56"/>
      <c r="H45" s="56"/>
      <c r="I45" s="35">
        <f t="shared" si="0"/>
        <v>0</v>
      </c>
      <c r="J45" s="10"/>
      <c r="K45" s="10"/>
      <c r="L45" s="10"/>
      <c r="M45" s="41"/>
    </row>
    <row r="46" spans="1:13" ht="13.2">
      <c r="A46" s="41"/>
      <c r="B46" s="48"/>
      <c r="C46" s="56"/>
      <c r="D46" s="56"/>
      <c r="E46" s="56"/>
      <c r="F46" s="56"/>
      <c r="G46" s="56"/>
      <c r="H46" s="56"/>
      <c r="I46" s="35">
        <f t="shared" si="0"/>
        <v>0</v>
      </c>
      <c r="J46" s="35"/>
      <c r="K46" s="35"/>
      <c r="L46" s="10"/>
      <c r="M46" s="48"/>
    </row>
    <row r="47" spans="1:13" ht="13.2">
      <c r="A47" s="48" t="s">
        <v>993</v>
      </c>
      <c r="B47" s="222" t="str">
        <f>HYPERLINK("http://codeforces.com/contest/276/problem/D","CF276-D2-D")</f>
        <v>CF276-D2-D</v>
      </c>
      <c r="C47" s="56"/>
      <c r="D47" s="56"/>
      <c r="E47" s="56"/>
      <c r="F47" s="56"/>
      <c r="G47" s="56"/>
      <c r="H47" s="56"/>
      <c r="I47" s="35">
        <f t="shared" si="0"/>
        <v>0</v>
      </c>
      <c r="J47" s="10"/>
      <c r="K47" s="10"/>
      <c r="M47" s="223" t="str">
        <f>HYPERLINK("http://codeforces.com/blog/entry/6779","See editorials")</f>
        <v>See editorials</v>
      </c>
    </row>
    <row r="48" spans="1:13" ht="13.2">
      <c r="A48" s="41" t="s">
        <v>994</v>
      </c>
      <c r="B48" s="222" t="str">
        <f>HYPERLINK("http://codeforces.com/contest/224/problem/D","CF224-D2-D")</f>
        <v>CF224-D2-D</v>
      </c>
      <c r="C48" s="56"/>
      <c r="D48" s="56"/>
      <c r="E48" s="56"/>
      <c r="F48" s="56"/>
      <c r="G48" s="56"/>
      <c r="H48" s="56"/>
      <c r="I48" s="35">
        <f t="shared" si="0"/>
        <v>0</v>
      </c>
      <c r="J48" s="35"/>
      <c r="K48" s="35"/>
      <c r="L48" s="10"/>
      <c r="M48" s="126" t="str">
        <f>HYPERLINK("https://github.com/abdullaAshraf/Problem-Solving/blob/master/CodeForces/CF224-D2-D.cpp","Sol")</f>
        <v>Sol</v>
      </c>
    </row>
    <row r="49" spans="1:13" ht="13.2">
      <c r="A49" s="41" t="s">
        <v>995</v>
      </c>
      <c r="B49" s="222" t="str">
        <f>HYPERLINK("http://codeforces.com/contest/75/problem/D","CF75-D2-D")</f>
        <v>CF75-D2-D</v>
      </c>
      <c r="C49" s="56"/>
      <c r="D49" s="56"/>
      <c r="E49" s="56"/>
      <c r="F49" s="56"/>
      <c r="G49" s="56"/>
      <c r="H49" s="56"/>
      <c r="I49" s="35">
        <f t="shared" si="0"/>
        <v>0</v>
      </c>
      <c r="J49" s="35"/>
      <c r="K49" s="35"/>
      <c r="L49" s="10"/>
    </row>
    <row r="50" spans="1:13" ht="13.2">
      <c r="A50" s="41"/>
      <c r="B50" s="48" t="s">
        <v>996</v>
      </c>
      <c r="C50" s="56"/>
      <c r="D50" s="56"/>
      <c r="E50" s="56"/>
      <c r="F50" s="56"/>
      <c r="G50" s="56"/>
      <c r="H50" s="56"/>
      <c r="I50" s="35">
        <f t="shared" si="0"/>
        <v>0</v>
      </c>
      <c r="J50" s="35"/>
      <c r="K50" s="35"/>
      <c r="L50" s="10"/>
      <c r="M50" s="109" t="str">
        <f>HYPERLINK("https://github.com/MedoN11/CompetitiveProgramming/blob/master/SPOJ/BRCKTS2.cpp","Sol")</f>
        <v>Sol</v>
      </c>
    </row>
    <row r="51" spans="1:13" ht="13.2">
      <c r="A51" s="41"/>
      <c r="B51" s="222" t="str">
        <f>HYPERLINK("https://codeforces.com/contest/1057/problem/C","CF1057-D12-C")</f>
        <v>CF1057-D12-C</v>
      </c>
      <c r="C51" s="56"/>
      <c r="D51" s="56"/>
      <c r="E51" s="56"/>
      <c r="F51" s="56"/>
      <c r="G51" s="56"/>
      <c r="H51" s="56"/>
      <c r="I51" s="35">
        <f t="shared" si="0"/>
        <v>0</v>
      </c>
      <c r="J51" s="35"/>
      <c r="K51" s="35"/>
      <c r="L51" s="10"/>
    </row>
    <row r="52" spans="1:13" ht="13.2">
      <c r="A52" s="41"/>
      <c r="B52" s="222" t="str">
        <f>HYPERLINK("https://codeforces.com/contest/1066/problem/F","CF1066-D3-F")</f>
        <v>CF1066-D3-F</v>
      </c>
      <c r="C52" s="56"/>
      <c r="D52" s="56"/>
      <c r="E52" s="56"/>
      <c r="F52" s="56"/>
      <c r="G52" s="56"/>
      <c r="H52" s="56"/>
      <c r="I52" s="35">
        <f t="shared" si="0"/>
        <v>0</v>
      </c>
      <c r="J52" s="35"/>
      <c r="K52" s="35"/>
      <c r="L52" s="10"/>
    </row>
    <row r="53" spans="1:13" ht="13.2">
      <c r="A53" s="41"/>
      <c r="B53" s="222" t="str">
        <f>HYPERLINK("https://codeforces.com/contest/1064/problem/E","CF1064-D2-E")</f>
        <v>CF1064-D2-E</v>
      </c>
      <c r="C53" s="56"/>
      <c r="D53" s="56"/>
      <c r="E53" s="56"/>
      <c r="F53" s="56"/>
      <c r="G53" s="56"/>
      <c r="H53" s="56"/>
      <c r="I53" s="35">
        <f t="shared" si="0"/>
        <v>0</v>
      </c>
      <c r="J53" s="35"/>
      <c r="K53" s="35"/>
      <c r="L53" s="10"/>
    </row>
    <row r="54" spans="1:13" ht="13.2">
      <c r="A54" s="41"/>
      <c r="B54" s="222" t="str">
        <f>HYPERLINK("http://codeforces.com/contest/459/problem/E","CF459-D2-E")</f>
        <v>CF459-D2-E</v>
      </c>
      <c r="C54" s="56"/>
      <c r="D54" s="56"/>
      <c r="E54" s="56"/>
      <c r="F54" s="56"/>
      <c r="G54" s="56"/>
      <c r="H54" s="56"/>
      <c r="I54" s="35">
        <f t="shared" si="0"/>
        <v>0</v>
      </c>
      <c r="J54" s="35"/>
      <c r="K54" s="35"/>
      <c r="L54" s="10"/>
    </row>
    <row r="55" spans="1:13" ht="13.2">
      <c r="A55" s="41"/>
      <c r="B55" s="48" t="s">
        <v>997</v>
      </c>
      <c r="C55" s="56"/>
      <c r="D55" s="56"/>
      <c r="E55" s="56"/>
      <c r="F55" s="56"/>
      <c r="G55" s="56"/>
      <c r="H55" s="56"/>
      <c r="I55" s="35">
        <f t="shared" si="0"/>
        <v>0</v>
      </c>
      <c r="J55" s="35"/>
      <c r="K55" s="35"/>
      <c r="L55" s="10"/>
    </row>
    <row r="56" spans="1:13" ht="13.2">
      <c r="A56" s="41"/>
      <c r="B56" s="222" t="str">
        <f>HYPERLINK("http://codeforces.com/contest/1043/problem/D","CF1043-D12-D")</f>
        <v>CF1043-D12-D</v>
      </c>
      <c r="C56" s="56"/>
      <c r="D56" s="56"/>
      <c r="E56" s="56"/>
      <c r="F56" s="56"/>
      <c r="G56" s="56"/>
      <c r="H56" s="56"/>
      <c r="I56" s="35">
        <f t="shared" si="0"/>
        <v>0</v>
      </c>
      <c r="J56" s="35"/>
      <c r="K56" s="35"/>
      <c r="L56" s="10"/>
    </row>
    <row r="57" spans="1:13" ht="13.2">
      <c r="A57" s="129" t="s">
        <v>998</v>
      </c>
      <c r="B57" s="171" t="str">
        <f>HYPERLINK("http://codeforces.com/contest/200/problem/C","CF200-D2-C")</f>
        <v>CF200-D2-C</v>
      </c>
      <c r="C57" s="56"/>
      <c r="D57" s="56"/>
      <c r="E57" s="56"/>
      <c r="F57" s="56"/>
      <c r="G57" s="56"/>
      <c r="H57" s="56"/>
      <c r="I57" s="35">
        <f t="shared" si="0"/>
        <v>0</v>
      </c>
      <c r="J57" s="35"/>
      <c r="K57" s="35"/>
      <c r="L57" s="10"/>
      <c r="M57" s="48"/>
    </row>
    <row r="58" spans="1:13" ht="13.2">
      <c r="A58" s="129" t="s">
        <v>999</v>
      </c>
      <c r="B58" s="171" t="str">
        <f>HYPERLINK("http://codeforces.com/contest/489/problem/C","CF489-D2-C")</f>
        <v>CF489-D2-C</v>
      </c>
      <c r="C58" s="56"/>
      <c r="D58" s="56"/>
      <c r="E58" s="56"/>
      <c r="F58" s="56"/>
      <c r="G58" s="56"/>
      <c r="H58" s="56"/>
      <c r="I58" s="35">
        <f t="shared" si="0"/>
        <v>0</v>
      </c>
      <c r="J58" s="35"/>
      <c r="K58" s="35"/>
      <c r="L58" s="10"/>
      <c r="M58" s="48"/>
    </row>
    <row r="59" spans="1:13" ht="13.2">
      <c r="A59" s="41"/>
      <c r="B59" s="48"/>
      <c r="C59" s="56"/>
      <c r="D59" s="56"/>
      <c r="E59" s="56"/>
      <c r="F59" s="56"/>
      <c r="G59" s="56"/>
      <c r="H59" s="56"/>
      <c r="I59" s="35">
        <f t="shared" si="0"/>
        <v>0</v>
      </c>
      <c r="J59" s="35"/>
      <c r="K59" s="35"/>
      <c r="L59" s="10"/>
      <c r="M59" s="48"/>
    </row>
    <row r="60" spans="1:13" ht="13.2">
      <c r="A60" s="213" t="s">
        <v>1000</v>
      </c>
      <c r="B60" s="214" t="str">
        <f>HYPERLINK("https://uva.onlinejudge.org/index.php?option=onlinejudge&amp;page=show_problem&amp;problem=122","UVA 186")</f>
        <v>UVA 186</v>
      </c>
      <c r="C60" s="56"/>
      <c r="D60" s="56"/>
      <c r="E60" s="56"/>
      <c r="F60" s="56"/>
      <c r="G60" s="56"/>
      <c r="H60" s="56"/>
      <c r="I60" s="35">
        <f t="shared" si="0"/>
        <v>0</v>
      </c>
      <c r="J60" s="35"/>
      <c r="K60" s="35"/>
      <c r="L60" s="10"/>
      <c r="M60" s="126" t="str">
        <f>HYPERLINK("https://github.com/VAMPIER000001/CompetitiveProgramming/blob/master/UVA/V-1/UVA%20186.Cpp","Sol")</f>
        <v>Sol</v>
      </c>
    </row>
    <row r="61" spans="1:13" ht="13.2">
      <c r="A61" s="213" t="s">
        <v>1001</v>
      </c>
      <c r="B61" s="214" t="str">
        <f>HYPERLINK("https://uva.onlinejudge.org/index.php?option=onlinejudge&amp;page=show_problem&amp;problem=548","UVA 607")</f>
        <v>UVA 607</v>
      </c>
      <c r="C61" s="56"/>
      <c r="D61" s="56"/>
      <c r="E61" s="56"/>
      <c r="F61" s="56"/>
      <c r="G61" s="56"/>
      <c r="H61" s="56"/>
      <c r="I61" s="35">
        <f t="shared" si="0"/>
        <v>0</v>
      </c>
      <c r="J61" s="35"/>
      <c r="K61" s="35"/>
      <c r="M61" s="126" t="str">
        <f>HYPERLINK("https://github.com/MichaelMounir12/CompetitiveProgramming/blob/69c0dba2b0b29083ebad94dfd18be25dcf903235/UVA/UVA_607.cpp","Sol")</f>
        <v>Sol</v>
      </c>
    </row>
    <row r="62" spans="1:13" ht="13.2">
      <c r="A62" s="213" t="s">
        <v>1002</v>
      </c>
      <c r="B62" s="214" t="str">
        <f>HYPERLINK("http://www.spoj.com/problems/WEIRDFN/","SPOJ WEIRDFN")</f>
        <v>SPOJ WEIRDFN</v>
      </c>
      <c r="C62" s="56"/>
      <c r="D62" s="56"/>
      <c r="E62" s="56"/>
      <c r="F62" s="56"/>
      <c r="G62" s="56"/>
      <c r="H62" s="56"/>
      <c r="I62" s="35">
        <f t="shared" si="0"/>
        <v>0</v>
      </c>
      <c r="J62" s="35"/>
      <c r="K62" s="35"/>
      <c r="M62" s="126" t="str">
        <f>HYPERLINK("https://github.com/mostafa-saad/MyCompetitiveProgramming/blob/master/SPOJ/SPOJ_WEIRDFN.txt","Sol")</f>
        <v>Sol</v>
      </c>
    </row>
    <row r="63" spans="1:13" ht="13.2">
      <c r="A63" s="213" t="s">
        <v>1003</v>
      </c>
      <c r="B63" s="214" t="str">
        <f>HYPERLINK("https://uva.onlinejudge.org/index.php?option=com_onlinejudge&amp;Itemid=8&amp;page=show_problem&amp;problem=966","UVA 10025")</f>
        <v>UVA 10025</v>
      </c>
      <c r="C63" s="56"/>
      <c r="D63" s="56"/>
      <c r="E63" s="56"/>
      <c r="F63" s="56"/>
      <c r="G63" s="56"/>
      <c r="H63" s="56"/>
      <c r="I63" s="35">
        <f t="shared" si="0"/>
        <v>0</v>
      </c>
      <c r="J63" s="35"/>
      <c r="K63" s="35"/>
      <c r="L63" s="10"/>
      <c r="M63" s="41"/>
    </row>
    <row r="64" spans="1:13" ht="13.2">
      <c r="A64" s="213" t="s">
        <v>1004</v>
      </c>
      <c r="B64" s="214" t="str">
        <f>HYPERLINK("http://www.spoj.com/problems/DICTSUB/","SPOJ DICTSUB")</f>
        <v>SPOJ DICTSUB</v>
      </c>
      <c r="C64" s="56"/>
      <c r="D64" s="56"/>
      <c r="E64" s="56"/>
      <c r="F64" s="56"/>
      <c r="G64" s="56"/>
      <c r="H64" s="56"/>
      <c r="I64" s="35">
        <f t="shared" si="0"/>
        <v>0</v>
      </c>
      <c r="J64" s="35"/>
      <c r="K64" s="35"/>
      <c r="L64" s="10"/>
      <c r="M64" s="126" t="str">
        <f>HYPERLINK("https://github.com/VAMPIER000001/CompetitiveProgramming/blob/master/Spoj/SPOJ%20DICTSUB.Cpp","Sol")</f>
        <v>Sol</v>
      </c>
    </row>
    <row r="65" spans="1:13" ht="13.2">
      <c r="A65" s="213" t="s">
        <v>1005</v>
      </c>
      <c r="B65" s="214" t="str">
        <f>HYPERLINK("https://uva.onlinejudge.org/index.php?option=com_onlinejudge&amp;Itemid=8&amp;page=show_problem&amp;problem=999","UVA 10058")</f>
        <v>UVA 10058</v>
      </c>
      <c r="C65" s="56"/>
      <c r="D65" s="56"/>
      <c r="E65" s="56"/>
      <c r="F65" s="56"/>
      <c r="G65" s="56"/>
      <c r="H65" s="56"/>
      <c r="I65" s="35">
        <f t="shared" si="0"/>
        <v>0</v>
      </c>
      <c r="J65" s="35"/>
      <c r="K65" s="35"/>
      <c r="M65" s="126" t="str">
        <f>HYPERLINK("https://github.com/ackoroa/UVa-Solutions/blob/master/UVa%2010058%20-%20Jimmi's%20Riddles/src/Main.java","Sol")</f>
        <v>Sol</v>
      </c>
    </row>
    <row r="66" spans="1:13" ht="13.2">
      <c r="A66" s="66" t="s">
        <v>1006</v>
      </c>
      <c r="B66" s="220" t="str">
        <f>HYPERLINK("http://codeforces.com/contest/689/problem/D","CF689-D2-D")</f>
        <v>CF689-D2-D</v>
      </c>
      <c r="C66" s="56"/>
      <c r="D66" s="56"/>
      <c r="E66" s="56"/>
      <c r="F66" s="56"/>
      <c r="G66" s="56"/>
      <c r="H66" s="56"/>
      <c r="I66" s="35">
        <f t="shared" si="0"/>
        <v>0</v>
      </c>
      <c r="J66" s="10"/>
      <c r="K66" s="10"/>
      <c r="M66" s="41"/>
    </row>
    <row r="67" spans="1:13" ht="13.2">
      <c r="A67" s="213" t="s">
        <v>1007</v>
      </c>
      <c r="B67" s="214" t="str">
        <f>HYPERLINK("http://www.spoj.com/problems/SEGSQRSS","SPOJ SEGSQRSS")</f>
        <v>SPOJ SEGSQRSS</v>
      </c>
      <c r="C67" s="56"/>
      <c r="D67" s="56"/>
      <c r="E67" s="56"/>
      <c r="F67" s="56"/>
      <c r="G67" s="56"/>
      <c r="H67" s="56"/>
      <c r="I67" s="35">
        <f t="shared" si="0"/>
        <v>0</v>
      </c>
      <c r="J67" s="35"/>
      <c r="K67" s="35"/>
      <c r="M67" s="126" t="str">
        <f>HYPERLINK("https://github.com/MichaelMounir12/CompetitiveProgramming/blob/9c6e99fc3a2583209a313ddd617a07ac294024e9/SPOJ/SPOJ_SEGSQRSS.cpp","Sol")</f>
        <v>Sol</v>
      </c>
    </row>
    <row r="68" spans="1:13" ht="13.2">
      <c r="A68" s="213" t="s">
        <v>1008</v>
      </c>
      <c r="B68" s="214" t="str">
        <f>HYPERLINK("https://uva.onlinejudge.org/index.php?option=onlinejudge&amp;page=show_problem&amp;problem=1757","UVA 10816")</f>
        <v>UVA 10816</v>
      </c>
      <c r="C68" s="56"/>
      <c r="D68" s="56"/>
      <c r="E68" s="56"/>
      <c r="F68" s="56"/>
      <c r="G68" s="56"/>
      <c r="H68" s="56"/>
      <c r="I68" s="35">
        <f t="shared" si="0"/>
        <v>0</v>
      </c>
      <c r="J68" s="35"/>
      <c r="K68" s="35"/>
      <c r="M68" s="126" t="str">
        <f>HYPERLINK("https://github.com/VAMPIER000001/CompetitiveProgramming/blob/master/UVA/V-108/UVA%2010816.Cpp","Sol")</f>
        <v>Sol</v>
      </c>
    </row>
    <row r="69" spans="1:13" ht="13.2">
      <c r="A69" s="168" t="s">
        <v>1009</v>
      </c>
      <c r="B69" s="185" t="s">
        <v>1010</v>
      </c>
      <c r="C69" s="56"/>
      <c r="D69" s="56"/>
      <c r="E69" s="56"/>
      <c r="F69" s="56"/>
      <c r="G69" s="56"/>
      <c r="H69" s="56"/>
      <c r="I69" s="35">
        <f t="shared" si="0"/>
        <v>0</v>
      </c>
      <c r="J69" s="10"/>
      <c r="K69" s="10"/>
      <c r="M69" s="126" t="str">
        <f>HYPERLINK("https://github.com/VAMPIER000001/CompetitiveProgramming/blob/master/UVA/V-119/UVA%2011987.Cpp","Sol")</f>
        <v>Sol</v>
      </c>
    </row>
    <row r="70" spans="1:13" ht="13.2">
      <c r="A70" s="168"/>
      <c r="B70" s="185" t="s">
        <v>1011</v>
      </c>
      <c r="C70" s="56"/>
      <c r="D70" s="56"/>
      <c r="E70" s="56"/>
      <c r="F70" s="56"/>
      <c r="G70" s="56"/>
      <c r="H70" s="56"/>
      <c r="I70" s="35">
        <f t="shared" si="0"/>
        <v>0</v>
      </c>
      <c r="J70" s="10"/>
      <c r="K70" s="10"/>
      <c r="M70" s="41"/>
    </row>
    <row r="71" spans="1:13" ht="13.2">
      <c r="A71" s="66"/>
      <c r="B71" s="187" t="str">
        <f>HYPERLINK("http://codeforces.com/contest/513/problem/C","CF513-D12-C")</f>
        <v>CF513-D12-C</v>
      </c>
      <c r="C71" s="56"/>
      <c r="D71" s="56"/>
      <c r="E71" s="56"/>
      <c r="F71" s="56"/>
      <c r="G71" s="56"/>
      <c r="H71" s="56"/>
      <c r="I71" s="35">
        <f t="shared" si="0"/>
        <v>0</v>
      </c>
      <c r="J71" s="10"/>
      <c r="K71" s="10"/>
      <c r="M71" s="126" t="str">
        <f>HYPERLINK("https://github.com/aabdelzaher/Competitive-Programming/blob/master/Codeforces/CF513-D12-C.java","Sol")</f>
        <v>Sol</v>
      </c>
    </row>
    <row r="72" spans="1:13" ht="13.2">
      <c r="A72" s="66"/>
      <c r="B72" s="66" t="s">
        <v>1012</v>
      </c>
      <c r="C72" s="56"/>
      <c r="D72" s="56"/>
      <c r="E72" s="56"/>
      <c r="F72" s="56"/>
      <c r="G72" s="56"/>
      <c r="H72" s="56"/>
      <c r="I72" s="35">
        <f t="shared" si="0"/>
        <v>0</v>
      </c>
      <c r="J72" s="10"/>
      <c r="K72" s="10"/>
      <c r="M72" s="41"/>
    </row>
    <row r="73" spans="1:13" ht="13.2">
      <c r="A73" s="66"/>
      <c r="B73" s="66" t="s">
        <v>1013</v>
      </c>
      <c r="C73" s="56"/>
      <c r="D73" s="56"/>
      <c r="E73" s="56"/>
      <c r="F73" s="56"/>
      <c r="G73" s="56"/>
      <c r="H73" s="56"/>
      <c r="I73" s="35">
        <f t="shared" si="0"/>
        <v>0</v>
      </c>
      <c r="J73" s="10"/>
      <c r="K73" s="10"/>
      <c r="M73" s="126" t="str">
        <f>HYPERLINK("https://github.com/mostafa-saad/MyCompetitiveProgramming/blob/master/SPOJ/SPOJ_PARSUMS.txt","Sol")</f>
        <v>Sol</v>
      </c>
    </row>
    <row r="74" spans="1:13" ht="13.2">
      <c r="A74" s="66"/>
      <c r="B74" s="187" t="str">
        <f>HYPERLINK("https://codeforces.com/contest/1138/problem/D","CF1138-D2-D")</f>
        <v>CF1138-D2-D</v>
      </c>
      <c r="C74" s="56"/>
      <c r="D74" s="56"/>
      <c r="E74" s="56"/>
      <c r="F74" s="56"/>
      <c r="G74" s="56"/>
      <c r="H74" s="56"/>
      <c r="I74" s="35">
        <f t="shared" si="0"/>
        <v>0</v>
      </c>
      <c r="J74" s="10"/>
      <c r="K74" s="10"/>
      <c r="M74" s="41"/>
    </row>
    <row r="75" spans="1:13" ht="13.2">
      <c r="A75" s="41"/>
      <c r="B75" s="48"/>
      <c r="C75" s="56"/>
      <c r="D75" s="56"/>
      <c r="E75" s="56"/>
      <c r="F75" s="56"/>
      <c r="G75" s="56"/>
      <c r="H75" s="56"/>
      <c r="I75" s="35">
        <f t="shared" si="0"/>
        <v>0</v>
      </c>
      <c r="J75" s="35"/>
      <c r="K75" s="35"/>
      <c r="L75" s="10"/>
      <c r="M75" s="48"/>
    </row>
    <row r="76" spans="1:13" ht="13.2">
      <c r="A76" s="48" t="s">
        <v>1014</v>
      </c>
      <c r="B76" s="110" t="str">
        <f>HYPERLINK("http://codeforces.com/contest/284/problem/D","CF284-D2-D")</f>
        <v>CF284-D2-D</v>
      </c>
      <c r="C76" s="56"/>
      <c r="D76" s="56"/>
      <c r="E76" s="56"/>
      <c r="F76" s="56"/>
      <c r="G76" s="56"/>
      <c r="H76" s="56"/>
      <c r="I76" s="35">
        <f t="shared" si="0"/>
        <v>0</v>
      </c>
      <c r="J76" s="10"/>
      <c r="K76" s="10"/>
      <c r="L76" s="10"/>
      <c r="M76" s="10"/>
    </row>
    <row r="77" spans="1:13" ht="13.2">
      <c r="A77" s="10" t="s">
        <v>1015</v>
      </c>
      <c r="B77" s="110" t="str">
        <f>HYPERLINK("http://codeforces.com/contest/431/problem/D","CF431-D2-D")</f>
        <v>CF431-D2-D</v>
      </c>
      <c r="C77" s="56"/>
      <c r="D77" s="56"/>
      <c r="E77" s="56"/>
      <c r="F77" s="56"/>
      <c r="G77" s="56"/>
      <c r="H77" s="56"/>
      <c r="I77" s="35">
        <f t="shared" si="0"/>
        <v>0</v>
      </c>
      <c r="J77" s="10"/>
      <c r="K77" s="10"/>
      <c r="L77" s="10"/>
      <c r="M77" s="10"/>
    </row>
    <row r="78" spans="1:13" ht="13.2">
      <c r="A78" s="41" t="s">
        <v>1016</v>
      </c>
      <c r="B78" s="224" t="str">
        <f>HYPERLINK("http://codeforces.com/contest/296/problem/D","CF296-D2-D")</f>
        <v>CF296-D2-D</v>
      </c>
      <c r="C78" s="56"/>
      <c r="D78" s="56"/>
      <c r="E78" s="56"/>
      <c r="F78" s="56"/>
      <c r="G78" s="56"/>
      <c r="H78" s="56"/>
      <c r="I78" s="35">
        <f t="shared" si="0"/>
        <v>0</v>
      </c>
      <c r="J78" s="35"/>
      <c r="K78" s="35"/>
      <c r="L78" s="10"/>
      <c r="M78" s="48"/>
    </row>
    <row r="79" spans="1:13" ht="13.2">
      <c r="A79" s="41" t="s">
        <v>1017</v>
      </c>
      <c r="B79" s="224" t="str">
        <f>HYPERLINK("http://codeforces.com/contest/104/problem/D","CF104-D2-D")</f>
        <v>CF104-D2-D</v>
      </c>
      <c r="C79" s="56"/>
      <c r="D79" s="56"/>
      <c r="E79" s="56"/>
      <c r="F79" s="56"/>
      <c r="G79" s="56"/>
      <c r="H79" s="56"/>
      <c r="I79" s="35">
        <f t="shared" si="0"/>
        <v>0</v>
      </c>
      <c r="J79" s="35"/>
      <c r="K79" s="35"/>
      <c r="L79" s="10"/>
      <c r="M79" s="48"/>
    </row>
    <row r="80" spans="1:13" ht="13.2">
      <c r="A80" s="48" t="s">
        <v>1018</v>
      </c>
      <c r="B80" s="110" t="str">
        <f>HYPERLINK("http://codeforces.com/contest/659/problem/D","CF659-D2-D")</f>
        <v>CF659-D2-D</v>
      </c>
      <c r="C80" s="56"/>
      <c r="D80" s="56"/>
      <c r="E80" s="56"/>
      <c r="F80" s="56"/>
      <c r="G80" s="56"/>
      <c r="H80" s="56"/>
      <c r="I80" s="35">
        <f t="shared" si="0"/>
        <v>0</v>
      </c>
      <c r="J80" s="10"/>
      <c r="K80" s="10"/>
      <c r="L80" s="10"/>
      <c r="M80" s="10"/>
    </row>
    <row r="81" spans="1:13" ht="13.2">
      <c r="A81" s="48" t="s">
        <v>1019</v>
      </c>
      <c r="B81" s="110" t="str">
        <f>HYPERLINK("http://codeforces.com/contest/270/problem/D","CF270-D2-D")</f>
        <v>CF270-D2-D</v>
      </c>
      <c r="C81" s="56"/>
      <c r="D81" s="56"/>
      <c r="E81" s="56"/>
      <c r="F81" s="56"/>
      <c r="G81" s="56"/>
      <c r="H81" s="56"/>
      <c r="I81" s="35">
        <f t="shared" si="0"/>
        <v>0</v>
      </c>
      <c r="J81" s="10"/>
      <c r="K81" s="10"/>
      <c r="L81" s="10"/>
      <c r="M81" s="10"/>
    </row>
    <row r="82" spans="1:13" ht="13.2">
      <c r="A82" s="48"/>
      <c r="B82" s="110" t="str">
        <f>HYPERLINK("http://codeforces.com/contest/645/problem/D","CF645-D12-D")</f>
        <v>CF645-D12-D</v>
      </c>
      <c r="C82" s="56"/>
      <c r="D82" s="56"/>
      <c r="E82" s="56"/>
      <c r="F82" s="56"/>
      <c r="G82" s="56"/>
      <c r="H82" s="56"/>
      <c r="I82" s="35">
        <f t="shared" si="0"/>
        <v>0</v>
      </c>
      <c r="J82" s="10"/>
      <c r="K82" s="10"/>
      <c r="L82" s="10"/>
      <c r="M82" s="10"/>
    </row>
    <row r="83" spans="1:13" ht="13.2">
      <c r="A83" s="48"/>
      <c r="B83" s="110" t="str">
        <f>HYPERLINK("http://codeforces.com/contest/459/problem/C","CF459-D2-C")</f>
        <v>CF459-D2-C</v>
      </c>
      <c r="C83" s="56"/>
      <c r="D83" s="56"/>
      <c r="E83" s="56"/>
      <c r="F83" s="56"/>
      <c r="G83" s="56"/>
      <c r="H83" s="56"/>
      <c r="I83" s="35">
        <f t="shared" si="0"/>
        <v>0</v>
      </c>
      <c r="J83" s="10"/>
      <c r="K83" s="10"/>
      <c r="L83" s="10"/>
      <c r="M83" s="10"/>
    </row>
    <row r="84" spans="1:13" ht="26.4">
      <c r="A84" s="48"/>
      <c r="B84" s="110" t="str">
        <f>HYPERLINK("https://www.codechef.com/ACMIND18/problems/REDCGAME","CODECHEF REDCGAME")</f>
        <v>CODECHEF REDCGAME</v>
      </c>
      <c r="C84" s="56"/>
      <c r="D84" s="56"/>
      <c r="E84" s="56"/>
      <c r="F84" s="56"/>
      <c r="G84" s="56"/>
      <c r="H84" s="56"/>
      <c r="I84" s="35">
        <f t="shared" si="0"/>
        <v>0</v>
      </c>
      <c r="J84" s="10"/>
      <c r="K84" s="10"/>
      <c r="L84" s="10"/>
      <c r="M84" s="10"/>
    </row>
    <row r="85" spans="1:13" ht="13.2">
      <c r="A85" s="48"/>
      <c r="B85" s="110" t="str">
        <f>HYPERLINK("http://codeforces.com/contest/1005/problem/F","CF1005-D3-F")</f>
        <v>CF1005-D3-F</v>
      </c>
      <c r="C85" s="56"/>
      <c r="D85" s="56"/>
      <c r="E85" s="56"/>
      <c r="F85" s="56"/>
      <c r="G85" s="56"/>
      <c r="H85" s="56"/>
      <c r="I85" s="35">
        <f t="shared" si="0"/>
        <v>0</v>
      </c>
      <c r="J85" s="10"/>
      <c r="K85" s="10"/>
      <c r="L85" s="10"/>
      <c r="M85" s="10"/>
    </row>
    <row r="86" spans="1:13" ht="13.2">
      <c r="A86" s="129" t="s">
        <v>1020</v>
      </c>
      <c r="B86" s="171" t="str">
        <f>HYPERLINK("http://codeforces.com/contest/152/problem/C","CF152-D2-C")</f>
        <v>CF152-D2-C</v>
      </c>
      <c r="C86" s="56"/>
      <c r="D86" s="56"/>
      <c r="E86" s="56"/>
      <c r="F86" s="56"/>
      <c r="G86" s="56"/>
      <c r="H86" s="56"/>
      <c r="I86" s="35">
        <f t="shared" si="0"/>
        <v>0</v>
      </c>
      <c r="J86" s="10"/>
      <c r="K86" s="10"/>
      <c r="L86" s="10"/>
      <c r="M86" s="10"/>
    </row>
    <row r="87" spans="1:13" ht="13.2">
      <c r="A87" s="129" t="s">
        <v>1021</v>
      </c>
      <c r="B87" s="171" t="str">
        <f>HYPERLINK("http://codeforces.com/contest/361/problem/C","CF361-D2-C")</f>
        <v>CF361-D2-C</v>
      </c>
      <c r="C87" s="56"/>
      <c r="D87" s="56"/>
      <c r="E87" s="56"/>
      <c r="F87" s="56"/>
      <c r="G87" s="56"/>
      <c r="H87" s="56"/>
      <c r="I87" s="35">
        <f t="shared" si="0"/>
        <v>0</v>
      </c>
      <c r="J87" s="10"/>
      <c r="K87" s="10"/>
      <c r="L87" s="10"/>
      <c r="M87" s="10"/>
    </row>
    <row r="88" spans="1:13" ht="13.2">
      <c r="A88" s="129" t="s">
        <v>1022</v>
      </c>
      <c r="B88" s="171" t="str">
        <f>HYPERLINK("http://codeforces.com/contest/540/problem/C","CF540-D2-C")</f>
        <v>CF540-D2-C</v>
      </c>
      <c r="C88" s="56"/>
      <c r="D88" s="56"/>
      <c r="E88" s="56"/>
      <c r="F88" s="56"/>
      <c r="G88" s="56"/>
      <c r="H88" s="56"/>
      <c r="I88" s="35">
        <f t="shared" si="0"/>
        <v>0</v>
      </c>
      <c r="J88" s="10"/>
      <c r="K88" s="10"/>
      <c r="L88" s="10"/>
      <c r="M88" s="10"/>
    </row>
    <row r="89" spans="1:13" ht="13.2">
      <c r="A89" s="41"/>
      <c r="B89" s="48"/>
      <c r="C89" s="56"/>
      <c r="D89" s="56"/>
      <c r="E89" s="56"/>
      <c r="F89" s="56"/>
      <c r="G89" s="56"/>
      <c r="H89" s="56"/>
      <c r="I89" s="35">
        <f t="shared" si="0"/>
        <v>0</v>
      </c>
      <c r="J89" s="35"/>
      <c r="K89" s="35"/>
      <c r="L89" s="10"/>
      <c r="M89" s="48"/>
    </row>
    <row r="90" spans="1:13" ht="13.2">
      <c r="A90" s="213" t="s">
        <v>851</v>
      </c>
      <c r="B90" s="214" t="str">
        <f>HYPERLINK("https://uva.onlinejudge.org/index.php?option=com_onlinejudge&amp;Itemid=8&amp;page=show_problem&amp;problem=648","UVA 707")</f>
        <v>UVA 707</v>
      </c>
      <c r="C90" s="56"/>
      <c r="D90" s="56"/>
      <c r="E90" s="56"/>
      <c r="F90" s="56"/>
      <c r="G90" s="56"/>
      <c r="H90" s="56"/>
      <c r="I90" s="35">
        <f t="shared" si="0"/>
        <v>0</v>
      </c>
      <c r="J90" s="35"/>
      <c r="K90" s="35"/>
      <c r="L90" s="10"/>
      <c r="M90" s="126" t="str">
        <f>HYPERLINK("https://github.com/VAMPIER000001/CompetitiveProgramming/blob/master/UVA/V-7/UVA%20707.Cpp","Sol")</f>
        <v>Sol</v>
      </c>
    </row>
    <row r="91" spans="1:13" ht="13.2">
      <c r="A91" s="213" t="s">
        <v>1023</v>
      </c>
      <c r="B91" s="214" t="str">
        <f>HYPERLINK("https://uva.onlinejudge.org/index.php?option=com_onlinejudge&amp;Itemid=8&amp;page=show_problem&amp;problem=62","UVA 126")</f>
        <v>UVA 126</v>
      </c>
      <c r="C91" s="56"/>
      <c r="D91" s="56"/>
      <c r="E91" s="56"/>
      <c r="F91" s="56"/>
      <c r="G91" s="56"/>
      <c r="H91" s="56"/>
      <c r="I91" s="35">
        <f t="shared" si="0"/>
        <v>0</v>
      </c>
      <c r="J91" s="35"/>
      <c r="K91" s="35"/>
      <c r="M91" s="126" t="str">
        <f>HYPERLINK("https://github.com/abdullaAshraf/Problem-Solving/blob/master/UVA/126.cpp","Sol")</f>
        <v>Sol</v>
      </c>
    </row>
    <row r="92" spans="1:13" ht="13.2">
      <c r="A92" s="213" t="s">
        <v>1024</v>
      </c>
      <c r="B92" s="214" t="str">
        <f>HYPERLINK("https://uva.onlinejudge.org/index.php?option=com_onlinejudge&amp;Itemid=8&amp;page=show_problem&amp;problem=4501","UVA 1626")</f>
        <v>UVA 1626</v>
      </c>
      <c r="C92" s="56"/>
      <c r="D92" s="56"/>
      <c r="E92" s="56"/>
      <c r="F92" s="56"/>
      <c r="G92" s="56"/>
      <c r="H92" s="56"/>
      <c r="I92" s="35">
        <f t="shared" si="0"/>
        <v>0</v>
      </c>
      <c r="J92" s="35"/>
      <c r="K92" s="35"/>
      <c r="M92" s="126" t="str">
        <f>HYPERLINK("https://github.com/abdullaAshraf/Problem-Solving/blob/master/UVA/1626.cpp","Sol")</f>
        <v>Sol</v>
      </c>
    </row>
    <row r="93" spans="1:13" ht="13.2">
      <c r="A93" s="213" t="s">
        <v>1025</v>
      </c>
      <c r="B93" s="214" t="str">
        <f>HYPERLINK("https://www.youtube.com/watch?v=OWlJ8chpit0","UVA 10448")</f>
        <v>UVA 10448</v>
      </c>
      <c r="C93" s="56"/>
      <c r="D93" s="56"/>
      <c r="E93" s="56"/>
      <c r="F93" s="56"/>
      <c r="G93" s="56"/>
      <c r="H93" s="56"/>
      <c r="I93" s="35">
        <f t="shared" si="0"/>
        <v>0</v>
      </c>
      <c r="J93" s="35"/>
      <c r="K93" s="35"/>
      <c r="L93" s="10"/>
      <c r="M93" s="50" t="str">
        <f>HYPERLINK("https://www.youtube.com/watch?v=OWlJ8chpit0","Video Solution - Dr Mostafa Saad")</f>
        <v>Video Solution - Dr Mostafa Saad</v>
      </c>
    </row>
    <row r="94" spans="1:13" ht="13.2">
      <c r="A94" s="66" t="s">
        <v>1026</v>
      </c>
      <c r="B94" s="194" t="str">
        <f>HYPERLINK("http://codeforces.com/contest/540/problem/D","CF540-D2-D")</f>
        <v>CF540-D2-D</v>
      </c>
      <c r="C94" s="56"/>
      <c r="D94" s="56"/>
      <c r="E94" s="56"/>
      <c r="F94" s="56"/>
      <c r="G94" s="56"/>
      <c r="H94" s="56"/>
      <c r="I94" s="35">
        <f t="shared" si="0"/>
        <v>0</v>
      </c>
      <c r="J94" s="10"/>
      <c r="K94" s="10"/>
      <c r="L94" s="10"/>
      <c r="M94" s="10"/>
    </row>
    <row r="95" spans="1:13" ht="13.2">
      <c r="A95" s="66" t="s">
        <v>1027</v>
      </c>
      <c r="B95" s="66" t="s">
        <v>1028</v>
      </c>
      <c r="C95" s="56"/>
      <c r="D95" s="56"/>
      <c r="E95" s="56"/>
      <c r="F95" s="56"/>
      <c r="G95" s="56"/>
      <c r="H95" s="56"/>
      <c r="I95" s="35">
        <f t="shared" si="0"/>
        <v>0</v>
      </c>
      <c r="J95" s="10"/>
      <c r="K95" s="10"/>
      <c r="M95" s="126" t="str">
        <f>HYPERLINK("https://github.com/SaraElkadi/competitive-programming-/blob/master/UVA/11284.cpp","Sol")</f>
        <v>Sol</v>
      </c>
    </row>
    <row r="96" spans="1:13" ht="13.2">
      <c r="A96" s="66" t="s">
        <v>1029</v>
      </c>
      <c r="B96" s="66" t="s">
        <v>1030</v>
      </c>
      <c r="C96" s="56"/>
      <c r="D96" s="56"/>
      <c r="E96" s="56"/>
      <c r="F96" s="56"/>
      <c r="G96" s="56"/>
      <c r="H96" s="56"/>
      <c r="I96" s="35">
        <f t="shared" si="0"/>
        <v>0</v>
      </c>
      <c r="J96" s="10"/>
      <c r="K96" s="10"/>
      <c r="M96" s="126" t="str">
        <f>HYPERLINK("https://github.com/BRAINOOO/CompetitiveProgramming/blob/master/UVA/V-116/UVA%2011635.Cpp","Sol")</f>
        <v>Sol</v>
      </c>
    </row>
    <row r="97" spans="1:13" ht="13.2">
      <c r="A97" s="66"/>
      <c r="B97" s="134" t="str">
        <f>HYPERLINK("http://codeforces.com/contest/337/problem/D","CF337-D2-D")</f>
        <v>CF337-D2-D</v>
      </c>
      <c r="C97" s="56"/>
      <c r="D97" s="56"/>
      <c r="E97" s="56"/>
      <c r="F97" s="56"/>
      <c r="G97" s="56"/>
      <c r="H97" s="56"/>
      <c r="I97" s="35">
        <f t="shared" si="0"/>
        <v>0</v>
      </c>
      <c r="J97" s="10"/>
      <c r="K97" s="10"/>
      <c r="M97" s="126" t="str">
        <f>HYPERLINK("http://codeforces.com/contest/337/submission/38413425","Sol")</f>
        <v>Sol</v>
      </c>
    </row>
    <row r="98" spans="1:13" ht="13.2">
      <c r="A98" s="66"/>
      <c r="B98" s="134" t="str">
        <f>HYPERLINK("https://www.hackerrank.com/challenges/ajourney","HACKR ajourney")</f>
        <v>HACKR ajourney</v>
      </c>
      <c r="C98" s="56"/>
      <c r="D98" s="56"/>
      <c r="E98" s="56"/>
      <c r="F98" s="56"/>
      <c r="G98" s="56"/>
      <c r="H98" s="56"/>
      <c r="I98" s="35">
        <f t="shared" si="0"/>
        <v>0</v>
      </c>
      <c r="J98" s="10"/>
      <c r="K98" s="10"/>
      <c r="M98" s="41"/>
    </row>
    <row r="99" spans="1:13" ht="13.2">
      <c r="A99" s="66"/>
      <c r="B99" s="134" t="str">
        <f>HYPERLINK("https://codeforces.com/contest/665/problem/E","CF665-D12-E")</f>
        <v>CF665-D12-E</v>
      </c>
      <c r="C99" s="56"/>
      <c r="D99" s="56"/>
      <c r="E99" s="56"/>
      <c r="F99" s="56"/>
      <c r="G99" s="56"/>
      <c r="H99" s="56"/>
      <c r="I99" s="35">
        <f t="shared" si="0"/>
        <v>0</v>
      </c>
      <c r="J99" s="10"/>
      <c r="K99" s="10"/>
      <c r="M99" s="41"/>
    </row>
    <row r="100" spans="1:13" ht="13.2">
      <c r="A100" s="41"/>
      <c r="B100" s="48"/>
      <c r="C100" s="56"/>
      <c r="D100" s="56"/>
      <c r="E100" s="56"/>
      <c r="F100" s="56"/>
      <c r="G100" s="56"/>
      <c r="H100" s="56"/>
      <c r="I100" s="35">
        <f t="shared" si="0"/>
        <v>0</v>
      </c>
      <c r="J100" s="35"/>
      <c r="K100" s="35"/>
      <c r="M100" s="41"/>
    </row>
    <row r="101" spans="1:13" ht="13.2">
      <c r="A101" s="41" t="s">
        <v>1031</v>
      </c>
      <c r="B101" s="99" t="str">
        <f>HYPERLINK("http://codeforces.com/contest/203/problem/D","CF203-D2-D")</f>
        <v>CF203-D2-D</v>
      </c>
      <c r="C101" s="56"/>
      <c r="D101" s="56"/>
      <c r="E101" s="56"/>
      <c r="F101" s="56"/>
      <c r="G101" s="56"/>
      <c r="H101" s="56"/>
      <c r="I101" s="35">
        <f t="shared" si="0"/>
        <v>0</v>
      </c>
      <c r="J101" s="35"/>
      <c r="K101" s="35"/>
      <c r="M101" s="41"/>
    </row>
    <row r="102" spans="1:13" ht="13.2">
      <c r="A102" s="48" t="s">
        <v>1032</v>
      </c>
      <c r="B102" s="110" t="str">
        <f>HYPERLINK("http://codeforces.com/contest/368/problem/D","CF368-D2-D")</f>
        <v>CF368-D2-D</v>
      </c>
      <c r="C102" s="56"/>
      <c r="D102" s="56"/>
      <c r="E102" s="56"/>
      <c r="F102" s="56"/>
      <c r="G102" s="56"/>
      <c r="H102" s="56"/>
      <c r="I102" s="35">
        <f t="shared" si="0"/>
        <v>0</v>
      </c>
      <c r="J102" s="10"/>
      <c r="K102" s="10"/>
      <c r="M102" s="126" t="str">
        <f>HYPERLINK("https://github.com/MohamedNabil97/CompetitiveProgramming/blob/master/CodeForces/CF368-D2-D.cpp","Sol")</f>
        <v>Sol</v>
      </c>
    </row>
    <row r="103" spans="1:13" ht="13.2">
      <c r="A103" s="48" t="s">
        <v>1033</v>
      </c>
      <c r="B103" s="110" t="str">
        <f>HYPERLINK("http://codeforces.com/contest/219/problem/D","CF219-D2-D")</f>
        <v>CF219-D2-D</v>
      </c>
      <c r="C103" s="56"/>
      <c r="D103" s="56"/>
      <c r="E103" s="56"/>
      <c r="F103" s="56"/>
      <c r="G103" s="56"/>
      <c r="H103" s="56"/>
      <c r="I103" s="35">
        <f t="shared" si="0"/>
        <v>0</v>
      </c>
      <c r="J103" s="10"/>
      <c r="K103" s="10"/>
      <c r="M103" s="41"/>
    </row>
    <row r="104" spans="1:13" ht="13.2">
      <c r="A104" s="48" t="s">
        <v>1034</v>
      </c>
      <c r="B104" s="110" t="str">
        <f>HYPERLINK("http://codeforces.com/contest/149/problem/D","CF149-D2-D")</f>
        <v>CF149-D2-D</v>
      </c>
      <c r="C104" s="56"/>
      <c r="D104" s="56"/>
      <c r="E104" s="56"/>
      <c r="F104" s="56"/>
      <c r="G104" s="56"/>
      <c r="H104" s="56"/>
      <c r="I104" s="35">
        <f t="shared" si="0"/>
        <v>0</v>
      </c>
      <c r="J104" s="10"/>
      <c r="K104" s="10"/>
      <c r="M104" s="126" t="str">
        <f>HYPERLINK("https://github.com/osamahatem/CompetitiveProgramming/blob/master/Codeforces/149D.%20Coloring%20Brackets.cpp","Sol")</f>
        <v>Sol</v>
      </c>
    </row>
    <row r="105" spans="1:13" ht="13.2">
      <c r="A105" s="48" t="s">
        <v>1035</v>
      </c>
      <c r="B105" s="110" t="str">
        <f>HYPERLINK("http://codeforces.com/contest/263/problem/D","CF263-D2-D")</f>
        <v>CF263-D2-D</v>
      </c>
      <c r="C105" s="56"/>
      <c r="D105" s="56"/>
      <c r="E105" s="56"/>
      <c r="F105" s="56"/>
      <c r="G105" s="56"/>
      <c r="H105" s="56"/>
      <c r="I105" s="35">
        <f t="shared" si="0"/>
        <v>0</v>
      </c>
      <c r="J105" s="10"/>
      <c r="K105" s="10"/>
      <c r="L105" s="10"/>
      <c r="M105" s="48"/>
    </row>
    <row r="106" spans="1:13" ht="13.2">
      <c r="A106" s="48"/>
      <c r="B106" s="110" t="str">
        <f>HYPERLINK("https://codeforces.com/gym/101187/problem/F","CF101187-GYM-F")</f>
        <v>CF101187-GYM-F</v>
      </c>
      <c r="C106" s="56"/>
      <c r="D106" s="56"/>
      <c r="E106" s="56"/>
      <c r="F106" s="56"/>
      <c r="G106" s="56"/>
      <c r="H106" s="56"/>
      <c r="I106" s="35">
        <f t="shared" si="0"/>
        <v>0</v>
      </c>
      <c r="J106" s="10"/>
      <c r="K106" s="10"/>
      <c r="L106" s="10"/>
      <c r="M106" s="150" t="str">
        <f>HYPERLINK("https://github.com/SpeedOfMagic/CompetitiveProgramming/blob/master/CodeforcesGym/CF101187-GYM-F.cpp","Sol")</f>
        <v>Sol</v>
      </c>
    </row>
    <row r="107" spans="1:13" ht="13.2">
      <c r="A107" s="48"/>
      <c r="B107" s="48" t="s">
        <v>1036</v>
      </c>
      <c r="C107" s="56"/>
      <c r="D107" s="56"/>
      <c r="E107" s="56"/>
      <c r="F107" s="56"/>
      <c r="G107" s="56"/>
      <c r="H107" s="56"/>
      <c r="I107" s="35">
        <f t="shared" si="0"/>
        <v>0</v>
      </c>
      <c r="J107" s="10"/>
      <c r="K107" s="10"/>
      <c r="L107" s="10"/>
      <c r="M107" s="48"/>
    </row>
    <row r="108" spans="1:13" ht="13.2">
      <c r="A108" s="48"/>
      <c r="B108" s="110" t="str">
        <f>HYPERLINK("https://beta.atcoder.jp/contests/arc092/tasks/arc092_b","Atcoder092-ARC-B")</f>
        <v>Atcoder092-ARC-B</v>
      </c>
      <c r="C108" s="56"/>
      <c r="D108" s="56"/>
      <c r="E108" s="56"/>
      <c r="F108" s="56"/>
      <c r="G108" s="56"/>
      <c r="H108" s="56"/>
      <c r="I108" s="35">
        <f t="shared" si="0"/>
        <v>0</v>
      </c>
      <c r="J108" s="10"/>
      <c r="K108" s="10"/>
      <c r="L108" s="10"/>
      <c r="M108" s="48"/>
    </row>
    <row r="109" spans="1:13" ht="26.4">
      <c r="A109" s="48"/>
      <c r="B109" s="110" t="str">
        <f>HYPERLINK("https://agc002.contest.atcoder.jp/tasks/agc002_c","AtCoder002-AGC-C")</f>
        <v>AtCoder002-AGC-C</v>
      </c>
      <c r="C109" s="56"/>
      <c r="D109" s="56"/>
      <c r="E109" s="56"/>
      <c r="F109" s="56"/>
      <c r="G109" s="56"/>
      <c r="H109" s="56"/>
      <c r="I109" s="35">
        <f t="shared" si="0"/>
        <v>0</v>
      </c>
      <c r="J109" s="10"/>
      <c r="K109" s="10"/>
      <c r="L109" s="10"/>
      <c r="M109" s="48"/>
    </row>
    <row r="110" spans="1:13" ht="13.2">
      <c r="A110" s="129" t="s">
        <v>1037</v>
      </c>
      <c r="B110" s="171" t="str">
        <f>HYPERLINK("http://codeforces.com/contest/363/problem/C","CF363-D2-C")</f>
        <v>CF363-D2-C</v>
      </c>
      <c r="C110" s="56"/>
      <c r="D110" s="56"/>
      <c r="E110" s="56"/>
      <c r="F110" s="56"/>
      <c r="G110" s="56"/>
      <c r="H110" s="56"/>
      <c r="I110" s="35">
        <f t="shared" si="0"/>
        <v>0</v>
      </c>
      <c r="J110" s="10"/>
      <c r="K110" s="10"/>
      <c r="L110" s="10"/>
      <c r="M110" s="48"/>
    </row>
    <row r="111" spans="1:13" ht="13.2">
      <c r="A111" s="129" t="s">
        <v>1038</v>
      </c>
      <c r="B111" s="171" t="str">
        <f>HYPERLINK("http://codeforces.com/contest/194/problem/C","CF194-D2-C")</f>
        <v>CF194-D2-C</v>
      </c>
      <c r="C111" s="56"/>
      <c r="D111" s="56"/>
      <c r="E111" s="56"/>
      <c r="F111" s="56"/>
      <c r="G111" s="56"/>
      <c r="H111" s="56"/>
      <c r="I111" s="35">
        <f t="shared" si="0"/>
        <v>0</v>
      </c>
      <c r="J111" s="10"/>
      <c r="K111" s="10"/>
      <c r="L111" s="10"/>
      <c r="M111" s="48"/>
    </row>
    <row r="112" spans="1:13" ht="13.2">
      <c r="A112" s="129" t="s">
        <v>1039</v>
      </c>
      <c r="B112" s="171" t="str">
        <f>HYPERLINK("http://codeforces.com/contest/265/problem/C","CF265-D2-C")</f>
        <v>CF265-D2-C</v>
      </c>
      <c r="C112" s="56"/>
      <c r="D112" s="56"/>
      <c r="E112" s="56"/>
      <c r="F112" s="56"/>
      <c r="G112" s="56"/>
      <c r="H112" s="56"/>
      <c r="I112" s="35">
        <f t="shared" si="0"/>
        <v>0</v>
      </c>
      <c r="J112" s="10"/>
      <c r="K112" s="10"/>
      <c r="L112" s="10"/>
      <c r="M112" s="48"/>
    </row>
    <row r="113" spans="1:13" ht="13.2">
      <c r="A113" s="41"/>
      <c r="B113" s="48"/>
      <c r="C113" s="56"/>
      <c r="D113" s="56"/>
      <c r="E113" s="56"/>
      <c r="F113" s="56"/>
      <c r="G113" s="56"/>
      <c r="H113" s="56"/>
      <c r="I113" s="35">
        <f t="shared" si="0"/>
        <v>0</v>
      </c>
      <c r="J113" s="35"/>
      <c r="K113" s="35"/>
      <c r="L113" s="10"/>
      <c r="M113" s="225" t="str">
        <f>HYPERLINK("https://www.youtube.com/watch?v=OnysyxVPPD0","Geometry - Simple and Convex Polygons")</f>
        <v>Geometry - Simple and Convex Polygons</v>
      </c>
    </row>
    <row r="114" spans="1:13" ht="13.2">
      <c r="A114" s="41"/>
      <c r="B114" s="48"/>
      <c r="C114" s="56"/>
      <c r="D114" s="56"/>
      <c r="E114" s="56"/>
      <c r="F114" s="56"/>
      <c r="G114" s="56"/>
      <c r="H114" s="56"/>
      <c r="I114" s="35">
        <f t="shared" si="0"/>
        <v>0</v>
      </c>
      <c r="J114" s="35"/>
      <c r="K114" s="35"/>
      <c r="L114" s="10"/>
      <c r="M114" s="226" t="str">
        <f>HYPERLINK("w.youtube.com/watch?v=Cce_O7EKv2Y","Geometry - Polygon Area - Centroid - Cut")</f>
        <v>Geometry - Polygon Area - Centroid - Cut</v>
      </c>
    </row>
    <row r="115" spans="1:13" ht="26.4">
      <c r="A115" s="227" t="str">
        <f>HYPERLINK("https://community.topcoder.com/stat?c=problem_statement&amp;pm=5923&amp;rd=8075","BestTriangulation")</f>
        <v>BestTriangulation</v>
      </c>
      <c r="B115" s="216" t="s">
        <v>1040</v>
      </c>
      <c r="C115" s="56"/>
      <c r="D115" s="56"/>
      <c r="E115" s="56"/>
      <c r="F115" s="56"/>
      <c r="G115" s="56"/>
      <c r="H115" s="56"/>
      <c r="I115" s="35">
        <f t="shared" si="0"/>
        <v>0</v>
      </c>
      <c r="J115" s="35"/>
      <c r="K115" s="35"/>
      <c r="L115" s="10"/>
      <c r="M115" s="48"/>
    </row>
    <row r="116" spans="1:13" ht="13.2">
      <c r="A116" s="62" t="s">
        <v>1041</v>
      </c>
      <c r="B116" s="212" t="str">
        <f>HYPERLINK("https://uva.onlinejudge.org/index.php?option=onlinejudge&amp;page=show_problem&amp;problem=1029","UVA 10088")</f>
        <v>UVA 10088</v>
      </c>
      <c r="C116" s="56"/>
      <c r="D116" s="56"/>
      <c r="E116" s="56"/>
      <c r="F116" s="56"/>
      <c r="G116" s="56"/>
      <c r="H116" s="56"/>
      <c r="I116" s="35">
        <f t="shared" si="0"/>
        <v>0</v>
      </c>
      <c r="J116" s="35"/>
      <c r="K116" s="35"/>
      <c r="M116" s="10"/>
    </row>
    <row r="117" spans="1:13" ht="13.2">
      <c r="A117" s="62" t="s">
        <v>1042</v>
      </c>
      <c r="B117" s="212" t="str">
        <f>HYPERLINK("https://uva.onlinejudge.org/index.php?option=onlinejudge&amp;page=show_problem&amp;problem=946","UVA 10005")</f>
        <v>UVA 10005</v>
      </c>
      <c r="C117" s="56"/>
      <c r="D117" s="56"/>
      <c r="E117" s="56"/>
      <c r="F117" s="56"/>
      <c r="G117" s="56"/>
      <c r="H117" s="56"/>
      <c r="I117" s="35">
        <f t="shared" si="0"/>
        <v>0</v>
      </c>
      <c r="J117" s="35"/>
      <c r="K117" s="35"/>
      <c r="M117" s="126" t="str">
        <f>HYPERLINK("https://github.com/mostafa-saad/MyCompetitiveProgramming/blob/master/UVA/UVA_10005.txt","Sol")</f>
        <v>Sol</v>
      </c>
    </row>
    <row r="118" spans="1:13" ht="13.2">
      <c r="A118" s="208"/>
      <c r="B118" s="175" t="s">
        <v>1043</v>
      </c>
      <c r="C118" s="56"/>
      <c r="D118" s="56"/>
      <c r="E118" s="56"/>
      <c r="F118" s="56"/>
      <c r="G118" s="56"/>
      <c r="H118" s="56"/>
      <c r="I118" s="35">
        <f t="shared" si="0"/>
        <v>0</v>
      </c>
      <c r="J118" s="35"/>
      <c r="K118" s="35"/>
      <c r="M118" s="126" t="str">
        <f>HYPERLINK("https://github.com/MeGaCrazy/CompetitiveProgramming/blob/c9f4ed6571a135dbc26cfeeb099384a8fec2ff92/LiveArchive/LIVEARCHIVE_2831.cpp","Use polygon cut")</f>
        <v>Use polygon cut</v>
      </c>
    </row>
    <row r="119" spans="1:13" ht="13.2">
      <c r="A119" s="208" t="s">
        <v>1044</v>
      </c>
      <c r="B119" s="212" t="str">
        <f>HYPERLINK("https://uva.onlinejudge.org/index.php?option=com_onlinejudge&amp;Itemid=8&amp;page=show_problem&amp;problem=529","UVA 588")</f>
        <v>UVA 588</v>
      </c>
      <c r="C119" s="56"/>
      <c r="D119" s="56"/>
      <c r="E119" s="56"/>
      <c r="F119" s="56"/>
      <c r="G119" s="56"/>
      <c r="H119" s="56"/>
      <c r="I119" s="35">
        <f t="shared" si="0"/>
        <v>0</v>
      </c>
      <c r="J119" s="35"/>
      <c r="K119" s="35"/>
      <c r="M119" s="126" t="str">
        <f>HYPERLINK("https://github.com/mostafa-saad/MyCompetitiveProgramming/blob/master/UVA/588.cpp","Use polygon cut")</f>
        <v>Use polygon cut</v>
      </c>
    </row>
    <row r="120" spans="1:13" ht="13.2">
      <c r="A120" s="66"/>
      <c r="B120" s="185" t="s">
        <v>1045</v>
      </c>
      <c r="C120" s="56"/>
      <c r="D120" s="56"/>
      <c r="E120" s="56"/>
      <c r="F120" s="56"/>
      <c r="G120" s="56"/>
      <c r="H120" s="56"/>
      <c r="I120" s="35">
        <f t="shared" si="0"/>
        <v>0</v>
      </c>
      <c r="J120" s="10"/>
      <c r="K120" s="10"/>
      <c r="L120" s="10"/>
      <c r="M120" s="41"/>
    </row>
    <row r="121" spans="1:13" ht="13.2">
      <c r="A121" s="66"/>
      <c r="B121" s="66" t="s">
        <v>1046</v>
      </c>
      <c r="C121" s="56"/>
      <c r="D121" s="56"/>
      <c r="E121" s="56"/>
      <c r="F121" s="56"/>
      <c r="G121" s="56"/>
      <c r="H121" s="56"/>
      <c r="I121" s="35">
        <f t="shared" si="0"/>
        <v>0</v>
      </c>
      <c r="J121" s="10"/>
      <c r="K121" s="10"/>
      <c r="L121" s="10"/>
      <c r="M121" s="41"/>
    </row>
    <row r="122" spans="1:13" ht="13.2">
      <c r="A122" s="66"/>
      <c r="B122" s="66" t="s">
        <v>1047</v>
      </c>
      <c r="C122" s="56"/>
      <c r="D122" s="56"/>
      <c r="E122" s="56"/>
      <c r="F122" s="56"/>
      <c r="G122" s="56"/>
      <c r="H122" s="56"/>
      <c r="I122" s="35">
        <f t="shared" si="0"/>
        <v>0</v>
      </c>
      <c r="J122" s="10"/>
      <c r="K122" s="10"/>
      <c r="L122" s="10"/>
      <c r="M122" s="41"/>
    </row>
    <row r="123" spans="1:13" ht="13.2">
      <c r="A123" s="66"/>
      <c r="B123" s="66" t="s">
        <v>1048</v>
      </c>
      <c r="C123" s="56"/>
      <c r="D123" s="56"/>
      <c r="E123" s="56"/>
      <c r="F123" s="56"/>
      <c r="G123" s="56"/>
      <c r="H123" s="56"/>
      <c r="I123" s="35">
        <f t="shared" si="0"/>
        <v>0</v>
      </c>
      <c r="J123" s="10"/>
      <c r="K123" s="10"/>
      <c r="L123" s="10"/>
      <c r="M123" s="126" t="str">
        <f>HYPERLINK("https://github.com/aboodJAD/CompetitiveProgramming/blob/master/UVA/UVA%20557.cpp","Sol")</f>
        <v>Sol</v>
      </c>
    </row>
    <row r="124" spans="1:13" ht="13.2">
      <c r="A124" s="66"/>
      <c r="B124" s="66" t="s">
        <v>1049</v>
      </c>
      <c r="C124" s="56"/>
      <c r="D124" s="56"/>
      <c r="E124" s="56"/>
      <c r="F124" s="56"/>
      <c r="G124" s="56"/>
      <c r="H124" s="56"/>
      <c r="I124" s="35">
        <f t="shared" si="0"/>
        <v>0</v>
      </c>
      <c r="J124" s="10"/>
      <c r="K124" s="10"/>
      <c r="L124" s="10"/>
      <c r="M124" s="41"/>
    </row>
    <row r="125" spans="1:13" ht="13.2">
      <c r="A125" s="66" t="s">
        <v>1050</v>
      </c>
      <c r="B125" s="194" t="str">
        <f>HYPERLINK("https://www.hackerrank.com/challenges/xrange-and-pizza","HACKR xrange-and-pizza")</f>
        <v>HACKR xrange-and-pizza</v>
      </c>
      <c r="C125" s="56"/>
      <c r="D125" s="56"/>
      <c r="E125" s="56"/>
      <c r="F125" s="56"/>
      <c r="G125" s="56"/>
      <c r="H125" s="56"/>
      <c r="I125" s="35">
        <f t="shared" si="0"/>
        <v>0</v>
      </c>
      <c r="J125" s="35"/>
      <c r="K125" s="35"/>
      <c r="M125" s="126" t="str">
        <f>HYPERLINK("https://github.com/AbdelrahmanRamadan/competitive-programming/blob/master/HackerRank/xrange-and-pizza.cpp","Sol")</f>
        <v>Sol</v>
      </c>
    </row>
    <row r="126" spans="1:13" ht="13.2">
      <c r="A126" s="66"/>
      <c r="B126" s="66" t="s">
        <v>1051</v>
      </c>
      <c r="C126" s="56"/>
      <c r="D126" s="56"/>
      <c r="E126" s="56"/>
      <c r="F126" s="56"/>
      <c r="G126" s="56"/>
      <c r="H126" s="56"/>
      <c r="I126" s="35">
        <f t="shared" si="0"/>
        <v>0</v>
      </c>
      <c r="J126" s="35"/>
      <c r="K126" s="35"/>
      <c r="M126" s="41"/>
    </row>
    <row r="127" spans="1:13" ht="13.2">
      <c r="A127" s="66"/>
      <c r="B127" s="66" t="s">
        <v>1052</v>
      </c>
      <c r="C127" s="56"/>
      <c r="D127" s="56"/>
      <c r="E127" s="56"/>
      <c r="F127" s="56"/>
      <c r="G127" s="56"/>
      <c r="H127" s="56"/>
      <c r="I127" s="35">
        <f t="shared" si="0"/>
        <v>0</v>
      </c>
      <c r="J127" s="35"/>
      <c r="K127" s="35"/>
      <c r="M127" s="126" t="str">
        <f>HYPERLINK("https://github.com/mostafa-saad/MyCompetitiveProgramming/blob/master/UVA/UVA_11648.txt", "Sol")</f>
        <v>Sol</v>
      </c>
    </row>
    <row r="128" spans="1:13" ht="13.2">
      <c r="A128" s="66"/>
      <c r="B128" s="194" t="str">
        <f>HYPERLINK("http://codeforces.com/gym/101864/problem/A","CF101864-GYM-A")</f>
        <v>CF101864-GYM-A</v>
      </c>
      <c r="C128" s="56"/>
      <c r="D128" s="56"/>
      <c r="E128" s="56"/>
      <c r="F128" s="56"/>
      <c r="G128" s="56"/>
      <c r="H128" s="56"/>
      <c r="I128" s="35">
        <f t="shared" si="0"/>
        <v>0</v>
      </c>
      <c r="J128" s="35"/>
      <c r="K128" s="35"/>
      <c r="M128" s="126" t="str">
        <f>HYPERLINK("https://github.com/SpeedOfMagic/CompetitiveProgramming/blob/master/CodeforcesGym/CF101864-GYM-A.cpp","Sol")</f>
        <v>Sol</v>
      </c>
    </row>
    <row r="129" spans="1:13" ht="13.2">
      <c r="A129" s="66"/>
      <c r="B129" s="194" t="str">
        <f>HYPERLINK("http://codeforces.com/gym/101864/problem/L","CF101864-GYM-L")</f>
        <v>CF101864-GYM-L</v>
      </c>
      <c r="C129" s="56"/>
      <c r="D129" s="56"/>
      <c r="E129" s="56"/>
      <c r="F129" s="56"/>
      <c r="G129" s="56"/>
      <c r="H129" s="56"/>
      <c r="I129" s="35">
        <f t="shared" si="0"/>
        <v>0</v>
      </c>
      <c r="J129" s="35"/>
      <c r="K129" s="35"/>
      <c r="M129" s="126" t="str">
        <f>HYPERLINK("https://github.com/SpeedOfMagic/CompetitiveProgramming/blob/master/CodeforcesGym/CF101864-GYM-L.cpp","Sol")</f>
        <v>Sol</v>
      </c>
    </row>
    <row r="130" spans="1:13" ht="13.2">
      <c r="A130" s="66"/>
      <c r="B130" s="194" t="str">
        <f>HYPERLINK("http://codeforces.com/contest/28/problem/C","CF28-D12-C")</f>
        <v>CF28-D12-C</v>
      </c>
      <c r="C130" s="56"/>
      <c r="D130" s="56"/>
      <c r="E130" s="56"/>
      <c r="F130" s="56"/>
      <c r="G130" s="56"/>
      <c r="H130" s="56"/>
      <c r="I130" s="35">
        <f t="shared" si="0"/>
        <v>0</v>
      </c>
      <c r="J130" s="35"/>
      <c r="K130" s="35"/>
      <c r="M130" s="41"/>
    </row>
    <row r="131" spans="1:13" ht="13.2">
      <c r="A131" s="56"/>
      <c r="B131" s="48"/>
      <c r="C131" s="56"/>
      <c r="D131" s="56"/>
      <c r="E131" s="56"/>
      <c r="F131" s="56"/>
      <c r="G131" s="56"/>
      <c r="H131" s="56"/>
      <c r="I131" s="35">
        <f t="shared" si="0"/>
        <v>0</v>
      </c>
      <c r="J131" s="35"/>
      <c r="K131" s="35"/>
      <c r="L131" s="10"/>
      <c r="M131" s="228" t="str">
        <f>HYPERLINK("https://www.youtube.com/watch?v=I5A6OYH1yuM","Geometry - Point in polygon")</f>
        <v>Geometry - Point in polygon</v>
      </c>
    </row>
    <row r="132" spans="1:13" ht="13.2">
      <c r="A132" s="62"/>
      <c r="B132" s="62" t="s">
        <v>1053</v>
      </c>
      <c r="C132" s="56"/>
      <c r="D132" s="56"/>
      <c r="E132" s="56"/>
      <c r="F132" s="56"/>
      <c r="G132" s="56"/>
      <c r="H132" s="56"/>
      <c r="I132" s="35">
        <f t="shared" si="0"/>
        <v>0</v>
      </c>
      <c r="J132" s="35"/>
      <c r="K132" s="35"/>
      <c r="M132" s="126" t="str">
        <f>HYPERLINK("https://github.com/mostafa-saad/MyCompetitiveProgramming/blob/master/UVA/UVA_881.txt","Sol")</f>
        <v>Sol</v>
      </c>
    </row>
    <row r="133" spans="1:13" ht="13.2">
      <c r="A133" s="62"/>
      <c r="B133" s="62" t="s">
        <v>1054</v>
      </c>
      <c r="C133" s="56"/>
      <c r="D133" s="56"/>
      <c r="E133" s="56"/>
      <c r="F133" s="56"/>
      <c r="G133" s="56"/>
      <c r="H133" s="56"/>
      <c r="I133" s="35">
        <f t="shared" si="0"/>
        <v>0</v>
      </c>
      <c r="J133" s="35"/>
      <c r="K133" s="35"/>
      <c r="M133" s="126" t="str">
        <f>HYPERLINK("https://github.com/AbdelrahmanRamadan/competitive-programming/blob/master/UVA/11665%20-%20Chinese%20Ink.cpp","Sol")</f>
        <v>Sol</v>
      </c>
    </row>
    <row r="134" spans="1:13" ht="13.2">
      <c r="A134" s="62"/>
      <c r="B134" s="62" t="s">
        <v>1055</v>
      </c>
      <c r="C134" s="56"/>
      <c r="D134" s="56"/>
      <c r="E134" s="56"/>
      <c r="F134" s="56"/>
      <c r="G134" s="56"/>
      <c r="H134" s="56"/>
      <c r="I134" s="35">
        <f t="shared" si="0"/>
        <v>0</v>
      </c>
      <c r="J134" s="35"/>
      <c r="K134" s="35"/>
      <c r="M134" s="126" t="str">
        <f>HYPERLINK("https://github.com/AbdelrahmanRamadan/competitive-programming/blob/master/Timus/1599-Winding-Number.cpp","Sol")</f>
        <v>Sol</v>
      </c>
    </row>
    <row r="135" spans="1:13" ht="13.2">
      <c r="A135" s="158" t="s">
        <v>1056</v>
      </c>
      <c r="B135" s="212" t="str">
        <f>HYPERLINK("https://uva.onlinejudge.org/index.php?option=onlinejudge&amp;page=show_problem&amp;problem=73","UVA 137")</f>
        <v>UVA 137</v>
      </c>
      <c r="C135" s="56"/>
      <c r="D135" s="56"/>
      <c r="E135" s="56"/>
      <c r="F135" s="56"/>
      <c r="G135" s="56"/>
      <c r="H135" s="56"/>
      <c r="I135" s="35">
        <f t="shared" si="0"/>
        <v>0</v>
      </c>
      <c r="J135" s="35"/>
      <c r="K135" s="35"/>
      <c r="M135" s="126" t="str">
        <f>HYPERLINK("https://github.com/mostafa-saad/MyCompetitiveProgramming/blob/master/UVA/UVA_137.txt","Sol")</f>
        <v>Sol</v>
      </c>
    </row>
    <row r="136" spans="1:13" ht="13.2">
      <c r="A136" s="207"/>
      <c r="B136" s="207"/>
      <c r="C136" s="56"/>
      <c r="D136" s="56"/>
      <c r="E136" s="56"/>
      <c r="F136" s="56"/>
      <c r="G136" s="56"/>
      <c r="H136" s="56"/>
      <c r="I136" s="35">
        <f t="shared" si="0"/>
        <v>0</v>
      </c>
      <c r="J136" s="35"/>
      <c r="K136" s="35"/>
      <c r="L136" s="10"/>
      <c r="M136" s="173" t="str">
        <f>HYPERLINK("https://www.youtube.com/watch?v=QuOiEwefssM&amp;t=2s&amp;list=PLPt2dINI2MIb4OXlJ_EEwIDV9WVUpRQ5K&amp;index=16","Graph Theory - Maximum Flow (2 vid)")</f>
        <v>Graph Theory - Maximum Flow (2 vid)</v>
      </c>
    </row>
    <row r="137" spans="1:13" ht="13.2">
      <c r="A137" s="62" t="s">
        <v>1057</v>
      </c>
      <c r="B137" s="229" t="str">
        <f>HYPERLINK("http://www.spoj.com/problems/POTHOLE/","SPOJ POTHOLE")</f>
        <v>SPOJ POTHOLE</v>
      </c>
      <c r="C137" s="56"/>
      <c r="D137" s="56"/>
      <c r="E137" s="56"/>
      <c r="F137" s="56"/>
      <c r="G137" s="56"/>
      <c r="H137" s="56"/>
      <c r="I137" s="35">
        <f t="shared" si="0"/>
        <v>0</v>
      </c>
      <c r="J137" s="35"/>
      <c r="K137" s="35"/>
      <c r="L137" s="10"/>
      <c r="M137" s="126" t="str">
        <f>HYPERLINK("https://github.com/BRAINOOOO/CompetitiveProgramming/blob/682cdb2f527d2ab262a9f616687b53a158b281a4/Spoj/SPOJ%20POTHOLE.Cpp","Sol")</f>
        <v>Sol</v>
      </c>
    </row>
    <row r="138" spans="1:13" ht="13.2">
      <c r="A138" s="62" t="s">
        <v>1058</v>
      </c>
      <c r="B138" s="119" t="str">
        <f>HYPERLINK("https://uva.onlinejudge.org/index.php?option=onlinejudge&amp;page=show_problem&amp;problem=1271","UVA 10330")</f>
        <v>UVA 10330</v>
      </c>
      <c r="C138" s="56"/>
      <c r="D138" s="56"/>
      <c r="E138" s="56"/>
      <c r="F138" s="56"/>
      <c r="G138" s="56"/>
      <c r="H138" s="56"/>
      <c r="I138" s="35">
        <f t="shared" si="0"/>
        <v>0</v>
      </c>
      <c r="J138" s="35"/>
      <c r="K138" s="35"/>
      <c r="L138" s="10"/>
      <c r="M138" s="126" t="str">
        <f>HYPERLINK("https://github.com/ilyesG/Competitive-Programming/blob/master/UVA/UVA%2010330.cpp","Sol")</f>
        <v>Sol</v>
      </c>
    </row>
    <row r="139" spans="1:13" ht="13.2">
      <c r="A139" s="62" t="s">
        <v>1059</v>
      </c>
      <c r="B139" s="230" t="str">
        <f>HYPERLINK("https://uva.onlinejudge.org/index.php?option=com_onlinejudge&amp;Itemid=8&amp;page=show_problem&amp;problem=1021","UVA 10080")</f>
        <v>UVA 10080</v>
      </c>
      <c r="C139" s="56"/>
      <c r="D139" s="56"/>
      <c r="E139" s="56"/>
      <c r="F139" s="56"/>
      <c r="G139" s="56"/>
      <c r="H139" s="56"/>
      <c r="I139" s="35">
        <f t="shared" si="0"/>
        <v>0</v>
      </c>
      <c r="J139" s="35"/>
      <c r="K139" s="35"/>
      <c r="L139" s="10"/>
      <c r="M139" s="126" t="str">
        <f>HYPERLINK("https://github.com/ilyesG/Competitive-Programming/blob/master/UVA/UVA%2010080.cpp","Sol")</f>
        <v>Sol</v>
      </c>
    </row>
    <row r="140" spans="1:13" ht="13.2">
      <c r="A140" s="62" t="s">
        <v>1060</v>
      </c>
      <c r="B140" s="119" t="str">
        <f>HYPERLINK("https://uva.onlinejudge.org/index.php?option=com_onlinejudge&amp;Itemid=8&amp;page=show_problem&amp;problem=195","UVA 259")</f>
        <v>UVA 259</v>
      </c>
      <c r="C140" s="56"/>
      <c r="D140" s="56"/>
      <c r="E140" s="56"/>
      <c r="F140" s="56"/>
      <c r="G140" s="56"/>
      <c r="H140" s="56"/>
      <c r="I140" s="35">
        <f t="shared" si="0"/>
        <v>0</v>
      </c>
      <c r="J140" s="35"/>
      <c r="K140" s="35"/>
      <c r="L140" s="10"/>
      <c r="M140" s="126" t="str">
        <f>HYPERLINK("https://github.com/mostafa-saad/MyCompetitiveProgramming/blob/master/UVA/UVA_259.txt","Sol")</f>
        <v>Sol</v>
      </c>
    </row>
    <row r="141" spans="1:13" ht="13.2">
      <c r="A141" s="62"/>
      <c r="B141" s="230" t="str">
        <f>HYPERLINK("https://uva.onlinejudge.org/index.php?option=onlinejudge&amp;page=show_problem&amp;problem=1290","UVA 10349")</f>
        <v>UVA 10349</v>
      </c>
      <c r="C141" s="56"/>
      <c r="D141" s="56"/>
      <c r="E141" s="56"/>
      <c r="F141" s="56"/>
      <c r="G141" s="56"/>
      <c r="H141" s="56"/>
      <c r="I141" s="35">
        <f t="shared" si="0"/>
        <v>0</v>
      </c>
      <c r="J141" s="35"/>
      <c r="K141" s="35"/>
      <c r="L141" s="10"/>
      <c r="M141" s="126" t="str">
        <f>HYPERLINK("https://github.com/mostafa-saad/MyCompetitiveProgramming/blob/master/UVA/UVA_10349.txt","Sol - 2 ways")</f>
        <v>Sol - 2 ways</v>
      </c>
    </row>
    <row r="142" spans="1:13" ht="13.2">
      <c r="A142" s="62"/>
      <c r="B142" s="162" t="s">
        <v>1061</v>
      </c>
      <c r="C142" s="56"/>
      <c r="D142" s="56"/>
      <c r="E142" s="56"/>
      <c r="F142" s="56"/>
      <c r="G142" s="56"/>
      <c r="H142" s="56"/>
      <c r="I142" s="35">
        <f t="shared" si="0"/>
        <v>0</v>
      </c>
      <c r="J142" s="35"/>
      <c r="K142" s="35"/>
      <c r="L142" s="10"/>
      <c r="M142" s="126" t="str">
        <f>HYPERLINK("https://github.com/BRAINOOOO/CompetitiveProgramming/blob/master/UVA/V-121/UVA%2012168.Cpp","Sol")</f>
        <v>Sol</v>
      </c>
    </row>
    <row r="143" spans="1:13" ht="13.2">
      <c r="A143" s="62" t="s">
        <v>1062</v>
      </c>
      <c r="B143" s="119" t="str">
        <f>HYPERLINK("https://uva.onlinejudge.org/index.php?option=onlinejudge&amp;page=show_problem&amp;problem=694","UVA 753")</f>
        <v>UVA 753</v>
      </c>
      <c r="C143" s="56"/>
      <c r="D143" s="56"/>
      <c r="E143" s="56"/>
      <c r="F143" s="56"/>
      <c r="G143" s="56"/>
      <c r="H143" s="56"/>
      <c r="I143" s="35">
        <f t="shared" si="0"/>
        <v>0</v>
      </c>
      <c r="J143" s="35"/>
      <c r="K143" s="35"/>
      <c r="L143" s="10"/>
      <c r="M143" s="126" t="str">
        <f>HYPERLINK("https://github.com/BRAINOOOO/CompetitiveProgramming/blob/master/UVA/V-7/UVA%20753.Cpp","Sol")</f>
        <v>Sol</v>
      </c>
    </row>
    <row r="144" spans="1:13" ht="13.2">
      <c r="A144" s="62"/>
      <c r="B144" s="231" t="str">
        <f>HYPERLINK("https://uva.onlinejudge.org/index.php?option=onlinejudge&amp;page=show_problem&amp;problem=1290","UVA 10349")</f>
        <v>UVA 10349</v>
      </c>
      <c r="C144" s="56"/>
      <c r="D144" s="56"/>
      <c r="E144" s="56"/>
      <c r="F144" s="56"/>
      <c r="G144" s="56"/>
      <c r="H144" s="56"/>
      <c r="I144" s="35">
        <f t="shared" si="0"/>
        <v>0</v>
      </c>
      <c r="J144" s="35"/>
      <c r="K144" s="35"/>
      <c r="L144" s="10"/>
      <c r="M144" s="126" t="str">
        <f>HYPERLINK("https://github.com/mostafa-saad/MyCompetitiveProgramming/blob/master/UVA/UVA_10349.txt","Sol - 2 ways")</f>
        <v>Sol - 2 ways</v>
      </c>
    </row>
    <row r="145" spans="1:13" ht="13.2">
      <c r="A145" s="62" t="s">
        <v>1063</v>
      </c>
      <c r="B145" s="232" t="str">
        <f>HYPERLINK("http://www.spoj.com/problems/IM","SPOJ IM")</f>
        <v>SPOJ IM</v>
      </c>
      <c r="C145" s="56"/>
      <c r="D145" s="56"/>
      <c r="E145" s="56"/>
      <c r="F145" s="56"/>
      <c r="G145" s="56"/>
      <c r="H145" s="56"/>
      <c r="I145" s="35">
        <f t="shared" si="0"/>
        <v>0</v>
      </c>
      <c r="J145" s="35"/>
      <c r="K145" s="35"/>
      <c r="L145" s="10"/>
      <c r="M145" s="126" t="str">
        <f>HYPERLINK("https://github.com/mostafa-saad/MyCompetitiveProgramming/blob/master/SPOJ/SPOJ_IM.txt","Sol")</f>
        <v>Sol</v>
      </c>
    </row>
    <row r="146" spans="1:13" ht="13.2">
      <c r="A146" s="62"/>
      <c r="B146" s="231" t="str">
        <f>HYPERLINK("https://uva.onlinejudge.org/index.php?option=com_onlinejudge&amp;Itemid=8&amp;page=show_problem&amp;problem=2100","UVA 11159")</f>
        <v>UVA 11159</v>
      </c>
      <c r="C146" s="56"/>
      <c r="D146" s="56"/>
      <c r="E146" s="56"/>
      <c r="F146" s="56"/>
      <c r="G146" s="56"/>
      <c r="H146" s="56"/>
      <c r="I146" s="35">
        <f t="shared" si="0"/>
        <v>0</v>
      </c>
      <c r="J146" s="35"/>
      <c r="K146" s="35"/>
      <c r="L146" s="10"/>
      <c r="M146" s="126" t="str">
        <f>HYPERLINK("https://github.com/mostafa-saad/MyCompetitiveProgramming/blob/master/UVA/UVA_11159.txt","Sol")</f>
        <v>Sol</v>
      </c>
    </row>
    <row r="147" spans="1:13" ht="13.2">
      <c r="A147" s="62"/>
      <c r="B147" s="162" t="s">
        <v>1064</v>
      </c>
      <c r="C147" s="56"/>
      <c r="D147" s="56"/>
      <c r="E147" s="56"/>
      <c r="F147" s="56"/>
      <c r="G147" s="56"/>
      <c r="H147" s="56"/>
      <c r="I147" s="35">
        <f t="shared" si="0"/>
        <v>0</v>
      </c>
      <c r="J147" s="35"/>
      <c r="K147" s="35"/>
      <c r="L147" s="10"/>
      <c r="M147" s="126" t="str">
        <f>HYPERLINK("https://github.com/ilyesG/Competitive-Programming/blob/master/UVA/UVA%201194.cpp","Sol")</f>
        <v>Sol</v>
      </c>
    </row>
    <row r="148" spans="1:13" ht="13.2">
      <c r="A148" s="184" t="s">
        <v>1065</v>
      </c>
      <c r="B148" s="233" t="str">
        <f>HYPERLINK("http://poj.org/problem?id=2374","PKU 2374")</f>
        <v>PKU 2374</v>
      </c>
      <c r="C148" s="56"/>
      <c r="D148" s="56"/>
      <c r="E148" s="56"/>
      <c r="F148" s="56"/>
      <c r="G148" s="56"/>
      <c r="H148" s="56"/>
      <c r="I148" s="35">
        <f t="shared" si="0"/>
        <v>0</v>
      </c>
      <c r="J148" s="10"/>
      <c r="K148" s="10"/>
      <c r="M148" s="126" t="str">
        <f>HYPERLINK("https://github.com/mostafa-saad/MyCompetitiveProgramming/blob/master/PKU/PKU_2374.txt","Sol")</f>
        <v>Sol</v>
      </c>
    </row>
    <row r="149" spans="1:13" ht="13.2">
      <c r="A149" s="66" t="s">
        <v>1066</v>
      </c>
      <c r="B149" s="184" t="s">
        <v>1067</v>
      </c>
      <c r="C149" s="56"/>
      <c r="D149" s="56"/>
      <c r="E149" s="56"/>
      <c r="F149" s="56"/>
      <c r="G149" s="56"/>
      <c r="H149" s="56"/>
      <c r="I149" s="35">
        <f t="shared" si="0"/>
        <v>0</v>
      </c>
      <c r="J149" s="10"/>
      <c r="K149" s="10"/>
      <c r="M149" s="126" t="str">
        <f>HYPERLINK("https://github.com/mostafa-saad/MyCompetitiveProgramming/blob/master/UVA/UVA_10514.txt","Sol")</f>
        <v>Sol</v>
      </c>
    </row>
    <row r="150" spans="1:13" ht="13.2">
      <c r="A150" s="66"/>
      <c r="B150" s="184" t="s">
        <v>1068</v>
      </c>
      <c r="C150" s="56"/>
      <c r="D150" s="56"/>
      <c r="E150" s="56"/>
      <c r="F150" s="56"/>
      <c r="G150" s="56"/>
      <c r="H150" s="56"/>
      <c r="I150" s="35">
        <f t="shared" si="0"/>
        <v>0</v>
      </c>
      <c r="J150" s="10"/>
      <c r="K150" s="10"/>
      <c r="M150" s="126" t="str">
        <f>HYPERLINK("https://github.com/AbdelrahmanRamadan/competitive-programming/blob/master/Topcoder/SRM368%20Jumping%20Board.cpp","Sol")</f>
        <v>Sol</v>
      </c>
    </row>
    <row r="151" spans="1:13" ht="13.2">
      <c r="A151" s="66"/>
      <c r="B151" s="184" t="s">
        <v>1069</v>
      </c>
      <c r="C151" s="56"/>
      <c r="D151" s="56"/>
      <c r="E151" s="56"/>
      <c r="F151" s="56"/>
      <c r="G151" s="56"/>
      <c r="H151" s="56"/>
      <c r="I151" s="35">
        <f t="shared" si="0"/>
        <v>0</v>
      </c>
      <c r="J151" s="10"/>
      <c r="K151" s="10"/>
      <c r="M151" s="126" t="str">
        <f>HYPERLINK("https://github.com/AbdelrahmanRamadan/competitive-programming/blob/master/Topcoder/SRM373%20RectangleCrossings.cpp","Sol")</f>
        <v>Sol</v>
      </c>
    </row>
    <row r="152" spans="1:13" ht="13.2">
      <c r="A152" s="66"/>
      <c r="B152" s="66" t="s">
        <v>1070</v>
      </c>
      <c r="C152" s="56"/>
      <c r="D152" s="56"/>
      <c r="E152" s="56"/>
      <c r="F152" s="56"/>
      <c r="G152" s="56"/>
      <c r="H152" s="56"/>
      <c r="I152" s="35">
        <f t="shared" si="0"/>
        <v>0</v>
      </c>
      <c r="J152" s="10"/>
      <c r="K152" s="10"/>
      <c r="L152" s="10"/>
      <c r="M152" s="155" t="str">
        <f>HYPERLINK("https://github.com/WaleedAbdelhakim/Competitive-Programming/blob/master/ZOJ/2587.cpp","Sol")</f>
        <v>Sol</v>
      </c>
    </row>
    <row r="153" spans="1:13" ht="13.2">
      <c r="A153" s="66"/>
      <c r="B153" s="66" t="s">
        <v>1071</v>
      </c>
      <c r="C153" s="56"/>
      <c r="D153" s="56"/>
      <c r="E153" s="56"/>
      <c r="F153" s="56"/>
      <c r="G153" s="56"/>
      <c r="H153" s="56"/>
      <c r="I153" s="35">
        <f t="shared" si="0"/>
        <v>0</v>
      </c>
      <c r="J153" s="10"/>
      <c r="K153" s="10"/>
      <c r="L153" s="10"/>
      <c r="M153" s="126" t="str">
        <f>HYPERLINK("https://github.com/OmarHashim/Competitive-Programming/blob/master/UVA/10180.cpp","Sol")</f>
        <v>Sol</v>
      </c>
    </row>
    <row r="154" spans="1:13" ht="13.2">
      <c r="A154" s="66"/>
      <c r="B154" s="66" t="s">
        <v>1072</v>
      </c>
      <c r="C154" s="56"/>
      <c r="D154" s="56"/>
      <c r="E154" s="56"/>
      <c r="F154" s="56"/>
      <c r="G154" s="56"/>
      <c r="H154" s="56"/>
      <c r="I154" s="35">
        <f t="shared" si="0"/>
        <v>0</v>
      </c>
      <c r="J154" s="10"/>
      <c r="K154" s="10"/>
      <c r="L154" s="10"/>
      <c r="M154" s="111" t="str">
        <f>HYPERLINK("https://github.com/AhmedRamadanAbdElghany/CompetitiveProgramming/blob/master/UVA/1184.cpp","Sol")</f>
        <v>Sol</v>
      </c>
    </row>
    <row r="155" spans="1:13" ht="13.2">
      <c r="A155" s="66"/>
      <c r="B155" s="66" t="s">
        <v>1073</v>
      </c>
      <c r="C155" s="56"/>
      <c r="D155" s="56"/>
      <c r="E155" s="56"/>
      <c r="F155" s="56"/>
      <c r="G155" s="56"/>
      <c r="H155" s="56"/>
      <c r="I155" s="35">
        <f t="shared" si="0"/>
        <v>0</v>
      </c>
      <c r="J155" s="10"/>
      <c r="K155" s="10"/>
      <c r="L155" s="10"/>
      <c r="M155" s="111" t="str">
        <f>HYPERLINK("https://github.com/tanmoy13/CompetitveProgramming/blob/master/Online-Judge-Solutions/UVA/670%20-%20The%20dog%20task.cpp","Sol")</f>
        <v>Sol</v>
      </c>
    </row>
    <row r="156" spans="1:13" ht="13.2">
      <c r="A156" s="66"/>
      <c r="B156" s="66" t="s">
        <v>1074</v>
      </c>
      <c r="C156" s="56"/>
      <c r="D156" s="56"/>
      <c r="E156" s="56"/>
      <c r="F156" s="56"/>
      <c r="G156" s="56"/>
      <c r="H156" s="56"/>
      <c r="I156" s="35">
        <f t="shared" si="0"/>
        <v>0</v>
      </c>
      <c r="J156" s="10"/>
      <c r="K156" s="10"/>
      <c r="L156" s="10"/>
      <c r="M156" s="41"/>
    </row>
    <row r="157" spans="1:13" ht="13.2">
      <c r="A157" s="66"/>
      <c r="B157" s="66" t="s">
        <v>1075</v>
      </c>
      <c r="C157" s="56"/>
      <c r="D157" s="56"/>
      <c r="E157" s="56"/>
      <c r="F157" s="56"/>
      <c r="G157" s="56"/>
      <c r="H157" s="56"/>
      <c r="I157" s="35">
        <f t="shared" si="0"/>
        <v>0</v>
      </c>
      <c r="J157" s="10"/>
      <c r="K157" s="10"/>
      <c r="L157" s="10"/>
      <c r="M157" s="41"/>
    </row>
    <row r="158" spans="1:13" ht="13.2">
      <c r="A158" s="66"/>
      <c r="B158" s="66" t="s">
        <v>1076</v>
      </c>
      <c r="C158" s="56"/>
      <c r="D158" s="56"/>
      <c r="E158" s="56"/>
      <c r="F158" s="56"/>
      <c r="G158" s="56"/>
      <c r="H158" s="56"/>
      <c r="I158" s="35">
        <f t="shared" si="0"/>
        <v>0</v>
      </c>
      <c r="J158" s="10"/>
      <c r="K158" s="10"/>
      <c r="L158" s="10"/>
      <c r="M158" s="10"/>
    </row>
  </sheetData>
  <conditionalFormatting sqref="C3:C158 A131 A136:B136">
    <cfRule type="cellIs" dxfId="15" priority="4" operator="equal">
      <formula>"AC"</formula>
    </cfRule>
    <cfRule type="containsText" dxfId="14" priority="5" operator="containsText" text="WA">
      <formula>NOT(ISERROR(SEARCH(("WA"),(C3))))</formula>
    </cfRule>
    <cfRule type="containsText" dxfId="13" priority="7" operator="containsText" text="TLE">
      <formula>NOT(ISERROR(SEARCH(("TLE"),(C3))))</formula>
    </cfRule>
    <cfRule type="containsText" dxfId="12" priority="9" operator="containsText" text="RTE">
      <formula>NOT(ISERROR(SEARCH(("RTE"),(C3))))</formula>
    </cfRule>
    <cfRule type="containsText" dxfId="11" priority="11" operator="containsText" text="CS">
      <formula>NOT(ISERROR(SEARCH(("CS"),(C3))))</formula>
    </cfRule>
  </conditionalFormatting>
  <conditionalFormatting sqref="K3:K158">
    <cfRule type="cellIs" dxfId="10" priority="1" operator="equal">
      <formula>"No"</formula>
    </cfRule>
    <cfRule type="cellIs" dxfId="9" priority="2" operator="equal">
      <formula>"no"</formula>
    </cfRule>
    <cfRule type="cellIs" dxfId="8" priority="3" operator="equal">
      <formula>"NO"</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87"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88"/>
      <c r="B2" s="10" t="s">
        <v>159</v>
      </c>
      <c r="C2" s="36">
        <f>COUNTIF(C3:C10556, "AC")</f>
        <v>0</v>
      </c>
      <c r="D2" s="36" t="e">
        <f ca="1">ROUND(SUMPRODUCT(D3:D10556,INT(EQ(C3:C10556, "AC")))/MAX(1, C2),1)</f>
        <v>#NAME?</v>
      </c>
      <c r="E2" s="36" t="e">
        <f ca="1">ROUND(SUMPRODUCT(E3:E10578,INT(EQ(C3:C10578, "AC")))/MAX(1, C2),0)</f>
        <v>#NAME?</v>
      </c>
      <c r="F2" s="36" t="e">
        <f ca="1">ROUND(SUMPRODUCT(F3:F10581,INT(EQ(C3:C10581, "AC")))/MAX(1, C2),0)</f>
        <v>#NAME?</v>
      </c>
      <c r="G2" s="36" t="e">
        <f ca="1">ROUND(SUMPRODUCT(G3:G10581,INT(EQ(C3:C10581, "AC")))/MAX(1, C2),0)</f>
        <v>#NAME?</v>
      </c>
      <c r="H2" s="36" t="e">
        <f ca="1">ROUND(SUMPRODUCT(H3:H10581,INT(EQ(C3:C10581, "AC")))/MAX(1, C2),0)</f>
        <v>#NAME?</v>
      </c>
      <c r="I2" s="36" t="e">
        <f ca="1">ROUND(SUMPRODUCT(I3:I10553,INT(EQ(C3:C10553, "AC")))/MAX(1, C2),0)</f>
        <v>#NAME?</v>
      </c>
      <c r="J2" s="36" t="e">
        <f ca="1">ROUND(SUMPRODUCT(J3:J10551,INT(EQ(C3:C10551, "AC")))/MAX(1, C2),1)</f>
        <v>#NAME?</v>
      </c>
      <c r="K2" s="36" t="e">
        <f ca="1">SUMPRODUCT(EQ(K3:K10556, "YES"),INT(EQ(C3:C10581, "AC")))</f>
        <v>#NAME?</v>
      </c>
      <c r="L2" s="37">
        <f ca="1">IFERROR(__xludf.DUMMYFUNCTION("COUNTA(FILTER(C3:C10048, NOT(REGEXMATCH(C3:C10048, ""AC""))))"),0)</f>
        <v>0</v>
      </c>
      <c r="M2" s="38">
        <f ca="1">IFERROR(__xludf.DUMMYFUNCTION("COUNTA(FILTER(C3:C10042, NOT(REGEXMATCH(C3:C10042, ""AC""))))"),0)</f>
        <v>0</v>
      </c>
    </row>
    <row r="3" spans="1:13" ht="15.75" customHeight="1">
      <c r="C3" s="56"/>
      <c r="D3" s="56"/>
      <c r="E3" s="56"/>
      <c r="F3" s="56"/>
      <c r="G3" s="56"/>
      <c r="H3" s="56"/>
      <c r="I3" s="35">
        <f t="shared" ref="I3:I168" si="0">SUM(E3:H3)</f>
        <v>0</v>
      </c>
      <c r="J3" s="35"/>
      <c r="K3" s="35"/>
      <c r="L3" s="56"/>
      <c r="M3" s="173" t="str">
        <f>HYPERLINK("https://www.youtube.com/watch?v=xVMe4JSEQo0&amp;index=14&amp;list=PLPt2dINI2MIb4OXlJ_EEwIDV9WVUpRQ5K","Graph Theory - SCC (2 vid)")</f>
        <v>Graph Theory - SCC (2 vid)</v>
      </c>
    </row>
    <row r="4" spans="1:13" ht="15.75" customHeight="1">
      <c r="A4" s="158" t="s">
        <v>1077</v>
      </c>
      <c r="B4" s="212" t="str">
        <f>HYPERLINK("http://www.spoj.com/problems/BOTTOM/","SPOJ BOTTOM")</f>
        <v>SPOJ BOTTOM</v>
      </c>
      <c r="C4" s="56"/>
      <c r="D4" s="56"/>
      <c r="E4" s="56"/>
      <c r="F4" s="56"/>
      <c r="G4" s="56"/>
      <c r="H4" s="56"/>
      <c r="I4" s="35">
        <f t="shared" si="0"/>
        <v>0</v>
      </c>
      <c r="J4" s="35"/>
      <c r="K4" s="35"/>
      <c r="L4" s="10"/>
      <c r="M4" s="109" t="str">
        <f>HYPERLINK("https://github.com/BRAINOOOO/CompetitiveProgramming/blob/master/Spoj/SPOJ%20BOTTOM.Cpp","Sol")</f>
        <v>Sol</v>
      </c>
    </row>
    <row r="5" spans="1:13" ht="15.75" customHeight="1">
      <c r="A5" s="208" t="s">
        <v>1078</v>
      </c>
      <c r="B5" s="234" t="str">
        <f>HYPERLINK("https://uva.onlinejudge.org/index.php?option=onlinejudge&amp;page=show_problem&amp;problem=1672","UVA 10731")</f>
        <v>UVA 10731</v>
      </c>
      <c r="C5" s="56"/>
      <c r="D5" s="56"/>
      <c r="E5" s="56"/>
      <c r="F5" s="56"/>
      <c r="G5" s="56"/>
      <c r="H5" s="56"/>
      <c r="I5" s="35">
        <f t="shared" si="0"/>
        <v>0</v>
      </c>
      <c r="J5" s="10"/>
      <c r="K5" s="10"/>
      <c r="L5" s="10"/>
      <c r="M5" s="109" t="str">
        <f>HYPERLINK("https://github.com/goar5670/CompetitiveProgramming/blob/master/UVA%2010731.cpp","Sol")</f>
        <v>Sol</v>
      </c>
    </row>
    <row r="6" spans="1:13" ht="15.75" customHeight="1">
      <c r="A6" s="208"/>
      <c r="B6" s="208" t="s">
        <v>1079</v>
      </c>
      <c r="C6" s="56"/>
      <c r="D6" s="56"/>
      <c r="E6" s="56"/>
      <c r="F6" s="56"/>
      <c r="G6" s="56"/>
      <c r="H6" s="56"/>
      <c r="I6" s="35">
        <f t="shared" si="0"/>
        <v>0</v>
      </c>
      <c r="J6" s="10"/>
      <c r="K6" s="10"/>
      <c r="L6" s="10"/>
    </row>
    <row r="7" spans="1:13" ht="15.75" customHeight="1">
      <c r="A7" s="208"/>
      <c r="B7" s="235" t="str">
        <f>HYPERLINK("http://codeforces.com/contest/467/problem/D","CF467-D2-D")</f>
        <v>CF467-D2-D</v>
      </c>
      <c r="C7" s="56"/>
      <c r="D7" s="56"/>
      <c r="E7" s="56"/>
      <c r="F7" s="56"/>
      <c r="G7" s="56"/>
      <c r="H7" s="56"/>
      <c r="I7" s="35">
        <f t="shared" si="0"/>
        <v>0</v>
      </c>
      <c r="J7" s="10"/>
      <c r="K7" s="10"/>
      <c r="L7" s="10"/>
    </row>
    <row r="8" spans="1:13" ht="15.75" customHeight="1">
      <c r="A8" s="184" t="s">
        <v>1080</v>
      </c>
      <c r="B8" s="236" t="str">
        <f>HYPERLINK("http://codeforces.com/contest/676/problem/D","CF676-D2-D")</f>
        <v>CF676-D2-D</v>
      </c>
      <c r="C8" s="56"/>
      <c r="D8" s="56"/>
      <c r="E8" s="56"/>
      <c r="F8" s="56"/>
      <c r="G8" s="56"/>
      <c r="H8" s="56"/>
      <c r="I8" s="35">
        <f t="shared" si="0"/>
        <v>0</v>
      </c>
      <c r="J8" s="10"/>
      <c r="K8" s="10"/>
      <c r="L8" s="10"/>
    </row>
    <row r="9" spans="1:13" ht="15.75" customHeight="1">
      <c r="A9" s="184" t="s">
        <v>1081</v>
      </c>
      <c r="B9" s="237" t="str">
        <f>HYPERLINK("http://codeforces.com/contest/418/problem/B","CF418-D1-B")</f>
        <v>CF418-D1-B</v>
      </c>
      <c r="C9" s="56"/>
      <c r="D9" s="56"/>
      <c r="E9" s="56"/>
      <c r="F9" s="56"/>
      <c r="G9" s="56"/>
      <c r="H9" s="56"/>
      <c r="I9" s="35">
        <f t="shared" si="0"/>
        <v>0</v>
      </c>
      <c r="J9" s="35"/>
      <c r="K9" s="35"/>
      <c r="L9" s="10"/>
    </row>
    <row r="10" spans="1:13" ht="15.75" customHeight="1">
      <c r="A10" s="184" t="s">
        <v>1082</v>
      </c>
      <c r="B10" s="237" t="str">
        <f>HYPERLINK("https://uva.onlinejudge.org/index.php?option=onlinejudge&amp;page=show_problem&amp;problem=1421","UVA 10480")</f>
        <v>UVA 10480</v>
      </c>
      <c r="C10" s="56"/>
      <c r="D10" s="56"/>
      <c r="E10" s="56"/>
      <c r="F10" s="56"/>
      <c r="G10" s="56"/>
      <c r="H10" s="56"/>
      <c r="I10" s="35">
        <f t="shared" si="0"/>
        <v>0</v>
      </c>
      <c r="J10" s="35"/>
      <c r="K10" s="35"/>
      <c r="L10" s="10"/>
      <c r="M10" s="109" t="str">
        <f>HYPERLINK("https://github.com/abdullaAshraf/Problem-Solving/blob/master/UVA/10480.cpp","Sol")</f>
        <v>Sol</v>
      </c>
    </row>
    <row r="11" spans="1:13" ht="15.75" customHeight="1">
      <c r="A11" s="66"/>
      <c r="B11" s="184" t="s">
        <v>1083</v>
      </c>
      <c r="C11" s="56"/>
      <c r="D11" s="56"/>
      <c r="E11" s="56"/>
      <c r="F11" s="56"/>
      <c r="G11" s="56"/>
      <c r="H11" s="56"/>
      <c r="I11" s="35">
        <f t="shared" si="0"/>
        <v>0</v>
      </c>
      <c r="J11" s="35"/>
      <c r="K11" s="35"/>
      <c r="L11" s="10"/>
    </row>
    <row r="12" spans="1:13" ht="15.75" customHeight="1">
      <c r="A12" s="66" t="s">
        <v>516</v>
      </c>
      <c r="B12" s="238" t="str">
        <f>HYPERLINK("https://uva.onlinejudge.org/index.php?option=onlinejudge&amp;page=show_problem&amp;problem=4330","UVA 1555")</f>
        <v>UVA 1555</v>
      </c>
      <c r="C12" s="56"/>
      <c r="D12" s="56"/>
      <c r="E12" s="56"/>
      <c r="F12" s="56"/>
      <c r="G12" s="56"/>
      <c r="H12" s="56"/>
      <c r="I12" s="35">
        <f t="shared" si="0"/>
        <v>0</v>
      </c>
      <c r="J12" s="10"/>
      <c r="K12" s="10"/>
      <c r="L12" s="10"/>
      <c r="M12" s="109" t="str">
        <f>HYPERLINK("https://github.com/achrafmam2/CompetitiveProgramming/blob/master/UVA/1555.cc","Sol")</f>
        <v>Sol</v>
      </c>
    </row>
    <row r="13" spans="1:13" ht="15.75" customHeight="1">
      <c r="A13" s="66"/>
      <c r="B13" s="239" t="str">
        <f>HYPERLINK("http://codeforces.com/gym/101589/problem/F","CF101589-GYM-F")</f>
        <v>CF101589-GYM-F</v>
      </c>
      <c r="C13" s="56"/>
      <c r="D13" s="56"/>
      <c r="E13" s="56"/>
      <c r="F13" s="56"/>
      <c r="G13" s="56"/>
      <c r="H13" s="56"/>
      <c r="I13" s="35">
        <f t="shared" si="0"/>
        <v>0</v>
      </c>
      <c r="J13" s="10"/>
      <c r="K13" s="10"/>
      <c r="L13" s="10"/>
      <c r="M13" s="109" t="str">
        <f>HYPERLINK("https://github.com/SpeedOfMagic/CompetitiveProgramming/blob/master/CodeforcesGym/CF101589-GYM-F.cpp","Sol")</f>
        <v>Sol</v>
      </c>
    </row>
    <row r="14" spans="1:13" ht="15.75" customHeight="1">
      <c r="A14" s="66"/>
      <c r="B14" s="239" t="str">
        <f>HYPERLINK("http://codeforces.com/problemset/problem/1016/D","CF1016-D12-D")</f>
        <v>CF1016-D12-D</v>
      </c>
      <c r="C14" s="56"/>
      <c r="D14" s="56"/>
      <c r="E14" s="56"/>
      <c r="F14" s="56"/>
      <c r="G14" s="56"/>
      <c r="H14" s="56"/>
      <c r="I14" s="35">
        <f t="shared" si="0"/>
        <v>0</v>
      </c>
      <c r="J14" s="10"/>
      <c r="K14" s="10"/>
      <c r="L14" s="10"/>
    </row>
    <row r="15" spans="1:13" ht="15.75" customHeight="1">
      <c r="A15" s="66"/>
      <c r="B15" s="239" t="str">
        <f>HYPERLINK("http://codeforces.com/contest/26/problem/D","CF26-D12-D")</f>
        <v>CF26-D12-D</v>
      </c>
      <c r="C15" s="56"/>
      <c r="D15" s="56"/>
      <c r="E15" s="56"/>
      <c r="F15" s="56"/>
      <c r="G15" s="56"/>
      <c r="H15" s="56"/>
      <c r="I15" s="35">
        <f t="shared" si="0"/>
        <v>0</v>
      </c>
      <c r="J15" s="10"/>
      <c r="K15" s="10"/>
      <c r="L15" s="10"/>
      <c r="M15" s="109" t="str">
        <f>HYPERLINK("https://github.com/mostafa-saad/MyCompetitiveProgramming/blob/master/Codeforces/CF26-D12-D.txt","Sol - must read")</f>
        <v>Sol - must read</v>
      </c>
    </row>
    <row r="16" spans="1:13" ht="15.75" customHeight="1">
      <c r="A16" s="66"/>
      <c r="B16" s="239" t="str">
        <f>HYPERLINK("http://codeforces.com/contest/1012/problem/B","CF1012-D1-B")</f>
        <v>CF1012-D1-B</v>
      </c>
      <c r="C16" s="56"/>
      <c r="D16" s="56"/>
      <c r="E16" s="56"/>
      <c r="F16" s="56"/>
      <c r="G16" s="56"/>
      <c r="H16" s="56"/>
      <c r="I16" s="35">
        <f t="shared" si="0"/>
        <v>0</v>
      </c>
      <c r="J16" s="10"/>
      <c r="K16" s="10"/>
      <c r="L16" s="10"/>
    </row>
    <row r="17" spans="1:13" ht="15.75" customHeight="1">
      <c r="A17" s="66"/>
      <c r="B17" s="239" t="str">
        <f>HYPERLINK("http://codeforces.com/contest/1010/problem/C","CF1010-D1-C")</f>
        <v>CF1010-D1-C</v>
      </c>
      <c r="C17" s="56"/>
      <c r="D17" s="56"/>
      <c r="E17" s="56"/>
      <c r="F17" s="56"/>
      <c r="G17" s="56"/>
      <c r="H17" s="56"/>
      <c r="I17" s="35">
        <f t="shared" si="0"/>
        <v>0</v>
      </c>
      <c r="J17" s="10"/>
      <c r="K17" s="10"/>
      <c r="L17" s="10"/>
    </row>
    <row r="18" spans="1:13" ht="15.75" customHeight="1">
      <c r="A18" s="66"/>
      <c r="B18" s="239" t="str">
        <f>HYPERLINK("http://codeforces.com/contest/633/problem/D","CF633-D12-D")</f>
        <v>CF633-D12-D</v>
      </c>
      <c r="C18" s="56"/>
      <c r="D18" s="56"/>
      <c r="E18" s="56"/>
      <c r="F18" s="56"/>
      <c r="G18" s="56"/>
      <c r="H18" s="56"/>
      <c r="I18" s="35">
        <f t="shared" si="0"/>
        <v>0</v>
      </c>
      <c r="J18" s="10"/>
      <c r="K18" s="10"/>
      <c r="L18" s="10"/>
    </row>
    <row r="19" spans="1:13" ht="15.75" customHeight="1">
      <c r="A19" s="66"/>
      <c r="B19" s="239" t="str">
        <f>HYPERLINK("https://www.hackerrank.com/challenges/house-location","HACKR house-location")</f>
        <v>HACKR house-location</v>
      </c>
      <c r="C19" s="56"/>
      <c r="D19" s="56"/>
      <c r="E19" s="56"/>
      <c r="F19" s="56"/>
      <c r="G19" s="56"/>
      <c r="H19" s="56"/>
      <c r="I19" s="35">
        <f t="shared" si="0"/>
        <v>0</v>
      </c>
      <c r="J19" s="10"/>
      <c r="K19" s="10"/>
      <c r="L19" s="10"/>
      <c r="M19" s="109" t="str">
        <f>HYPERLINK("https://github.com/arvindr9/CompetitiveProgramming/blob/master/Hackerrank/HACKR%20house-location.cpp","Sol")</f>
        <v>Sol</v>
      </c>
    </row>
    <row r="20" spans="1:13" ht="15.75" customHeight="1">
      <c r="A20" s="66"/>
      <c r="B20" s="239" t="str">
        <f>HYPERLINK("http://codeforces.com/contest/621/problem/D","CF621-D2-D")</f>
        <v>CF621-D2-D</v>
      </c>
      <c r="C20" s="56"/>
      <c r="D20" s="56"/>
      <c r="E20" s="56"/>
      <c r="F20" s="56"/>
      <c r="G20" s="56"/>
      <c r="H20" s="56"/>
      <c r="I20" s="35">
        <f t="shared" si="0"/>
        <v>0</v>
      </c>
      <c r="J20" s="10"/>
      <c r="K20" s="10"/>
      <c r="L20" s="10"/>
      <c r="M20" s="109" t="str">
        <f>HYPERLINK("https://github.com/MedoN11/CompetitiveProgramming/blob/master/CodeForces/CF621-D2-D-Complex.cpp","Sol")</f>
        <v>Sol</v>
      </c>
    </row>
    <row r="21" spans="1:13" ht="15.75" customHeight="1">
      <c r="A21" s="66"/>
      <c r="B21" s="239" t="str">
        <f>HYPERLINK("https://codeforces.com/gym/101992/problem/D","CF101992-GYM-D")</f>
        <v>CF101992-GYM-D</v>
      </c>
      <c r="C21" s="56"/>
      <c r="D21" s="56"/>
      <c r="E21" s="56"/>
      <c r="F21" s="56"/>
      <c r="G21" s="56"/>
      <c r="H21" s="56"/>
      <c r="I21" s="35">
        <f t="shared" si="0"/>
        <v>0</v>
      </c>
      <c r="J21" s="10"/>
      <c r="K21" s="10"/>
      <c r="L21" s="10"/>
      <c r="M21" s="109" t="str">
        <f>HYPERLINK("https://ideone.com/bDMQGD","Sol")</f>
        <v>Sol</v>
      </c>
    </row>
    <row r="22" spans="1:13" ht="15.75" customHeight="1">
      <c r="A22" s="66"/>
      <c r="B22" s="66" t="s">
        <v>1084</v>
      </c>
      <c r="C22" s="56"/>
      <c r="D22" s="56"/>
      <c r="E22" s="56"/>
      <c r="F22" s="56"/>
      <c r="G22" s="56"/>
      <c r="H22" s="56"/>
      <c r="I22" s="35">
        <f t="shared" si="0"/>
        <v>0</v>
      </c>
      <c r="J22" s="10"/>
      <c r="K22" s="10"/>
      <c r="L22" s="10"/>
      <c r="M22" s="109" t="str">
        <f>HYPERLINK("https://github.com/mostafa-saad/MyCompetitiveProgramming/blob/master/TopCoder/SRM608-D2-1000.txt","Sol")</f>
        <v>Sol</v>
      </c>
    </row>
    <row r="23" spans="1:13" ht="15.75" customHeight="1">
      <c r="A23" s="41"/>
      <c r="C23" s="56"/>
      <c r="D23" s="56"/>
      <c r="E23" s="56"/>
      <c r="F23" s="56"/>
      <c r="G23" s="56"/>
      <c r="H23" s="56"/>
      <c r="I23" s="35">
        <f t="shared" si="0"/>
        <v>0</v>
      </c>
      <c r="J23" s="35"/>
      <c r="K23" s="35"/>
      <c r="L23" s="10"/>
    </row>
    <row r="24" spans="1:13" ht="15.75" customHeight="1">
      <c r="A24" s="41" t="s">
        <v>1085</v>
      </c>
      <c r="B24" s="240" t="str">
        <f>HYPERLINK("http://codeforces.com/contest/681/problem/D","CF681-D2-D")</f>
        <v>CF681-D2-D</v>
      </c>
      <c r="C24" s="56"/>
      <c r="D24" s="56"/>
      <c r="E24" s="56"/>
      <c r="F24" s="56"/>
      <c r="G24" s="56"/>
      <c r="H24" s="56"/>
      <c r="I24" s="35">
        <f t="shared" si="0"/>
        <v>0</v>
      </c>
      <c r="J24" s="35"/>
      <c r="K24" s="35"/>
      <c r="L24" s="10"/>
    </row>
    <row r="25" spans="1:13" ht="15.75" customHeight="1">
      <c r="A25" s="41" t="s">
        <v>1086</v>
      </c>
      <c r="B25" s="240" t="str">
        <f>HYPERLINK("http://codeforces.com/contest/447/problem/D","CF447-D2-D")</f>
        <v>CF447-D2-D</v>
      </c>
      <c r="C25" s="56"/>
      <c r="D25" s="56"/>
      <c r="E25" s="56"/>
      <c r="F25" s="56"/>
      <c r="G25" s="56"/>
      <c r="H25" s="56"/>
      <c r="I25" s="35">
        <f t="shared" si="0"/>
        <v>0</v>
      </c>
      <c r="J25" s="35"/>
      <c r="K25" s="35"/>
      <c r="M25" s="12" t="s">
        <v>1087</v>
      </c>
    </row>
    <row r="26" spans="1:13" ht="15.75" customHeight="1">
      <c r="A26" s="41" t="s">
        <v>1088</v>
      </c>
      <c r="B26" s="240" t="str">
        <f>HYPERLINK("http://codeforces.com/contest/548/problem/D","CF548-D2-D")</f>
        <v>CF548-D2-D</v>
      </c>
      <c r="C26" s="56"/>
      <c r="D26" s="56"/>
      <c r="E26" s="56"/>
      <c r="F26" s="56"/>
      <c r="G26" s="56"/>
      <c r="H26" s="56"/>
      <c r="I26" s="35">
        <f t="shared" si="0"/>
        <v>0</v>
      </c>
      <c r="J26" s="35"/>
      <c r="K26" s="35"/>
    </row>
    <row r="27" spans="1:13" ht="15.75" customHeight="1">
      <c r="A27" s="41" t="s">
        <v>1089</v>
      </c>
      <c r="B27" s="240" t="str">
        <f>HYPERLINK("http://codeforces.com/contest/435/problem/D","CF435-D2-D")</f>
        <v>CF435-D2-D</v>
      </c>
      <c r="C27" s="56"/>
      <c r="D27" s="56"/>
      <c r="E27" s="56"/>
      <c r="F27" s="56"/>
      <c r="G27" s="56"/>
      <c r="H27" s="56"/>
      <c r="I27" s="35">
        <f t="shared" si="0"/>
        <v>0</v>
      </c>
      <c r="J27" s="35"/>
      <c r="K27" s="35"/>
    </row>
    <row r="28" spans="1:13" ht="15.75" customHeight="1">
      <c r="A28" s="41" t="s">
        <v>1090</v>
      </c>
      <c r="B28" s="240" t="str">
        <f>HYPERLINK("http://codeforces.com/contest/401/problem/D","CF401-D2-D")</f>
        <v>CF401-D2-D</v>
      </c>
      <c r="C28" s="56"/>
      <c r="D28" s="56"/>
      <c r="E28" s="56"/>
      <c r="F28" s="56"/>
      <c r="G28" s="56"/>
      <c r="H28" s="56"/>
      <c r="I28" s="35">
        <f t="shared" si="0"/>
        <v>0</v>
      </c>
      <c r="J28" s="35"/>
      <c r="K28" s="35"/>
    </row>
    <row r="29" spans="1:13" ht="15.75" customHeight="1">
      <c r="A29" s="41" t="s">
        <v>1091</v>
      </c>
      <c r="B29" s="240" t="str">
        <f>HYPERLINK("http://codeforces.com/contest/707/problem/D","CF707-D2-D")</f>
        <v>CF707-D2-D</v>
      </c>
      <c r="C29" s="56"/>
      <c r="D29" s="56"/>
      <c r="E29" s="56"/>
      <c r="F29" s="56"/>
      <c r="G29" s="56"/>
      <c r="H29" s="56"/>
      <c r="I29" s="35">
        <f t="shared" si="0"/>
        <v>0</v>
      </c>
      <c r="J29" s="35"/>
      <c r="K29" s="35"/>
      <c r="M29" s="109" t="str">
        <f>HYPERLINK("https://github.com/AbdelrahmanRamadan/competitive-programming/blob/master/Codeforces/CF707-D2-D.cpp","Sol")</f>
        <v>Sol</v>
      </c>
    </row>
    <row r="30" spans="1:13" ht="13.2">
      <c r="A30" s="48" t="s">
        <v>1092</v>
      </c>
      <c r="B30" s="53" t="str">
        <f>HYPERLINK("http://codeforces.com/contest/550/problem/D","CF550-D2-D")</f>
        <v>CF550-D2-D</v>
      </c>
      <c r="C30" s="56"/>
      <c r="D30" s="56"/>
      <c r="E30" s="56"/>
      <c r="F30" s="56"/>
      <c r="G30" s="56"/>
      <c r="H30" s="56"/>
      <c r="I30" s="35">
        <f t="shared" si="0"/>
        <v>0</v>
      </c>
      <c r="J30" s="10"/>
      <c r="K30" s="10"/>
      <c r="M30" s="10"/>
    </row>
    <row r="31" spans="1:13" ht="13.2">
      <c r="A31" s="48"/>
      <c r="B31" s="53" t="str">
        <f>HYPERLINK("https://codeforces.com/contest/1059/problem/D","CF1059-D2-D")</f>
        <v>CF1059-D2-D</v>
      </c>
      <c r="C31" s="56"/>
      <c r="D31" s="56"/>
      <c r="E31" s="56"/>
      <c r="F31" s="56"/>
      <c r="G31" s="56"/>
      <c r="H31" s="56"/>
      <c r="I31" s="35">
        <f t="shared" si="0"/>
        <v>0</v>
      </c>
      <c r="J31" s="10"/>
      <c r="K31" s="10"/>
      <c r="M31" s="10"/>
    </row>
    <row r="32" spans="1:13" ht="13.2">
      <c r="A32" s="129" t="s">
        <v>1093</v>
      </c>
      <c r="B32" s="190" t="str">
        <f>HYPERLINK("http://codeforces.com/contest/255/problem/C","CF255-D2-C")</f>
        <v>CF255-D2-C</v>
      </c>
      <c r="C32" s="56"/>
      <c r="D32" s="56"/>
      <c r="E32" s="56"/>
      <c r="F32" s="56"/>
      <c r="G32" s="56"/>
      <c r="H32" s="56"/>
      <c r="I32" s="35">
        <f t="shared" si="0"/>
        <v>0</v>
      </c>
      <c r="J32" s="10"/>
      <c r="K32" s="10"/>
      <c r="M32" s="10"/>
    </row>
    <row r="33" spans="1:13" ht="13.2">
      <c r="A33" s="129" t="s">
        <v>1094</v>
      </c>
      <c r="B33" s="190" t="str">
        <f>HYPERLINK("http://codeforces.com/contest/59/problem/C","CF59-D2-C")</f>
        <v>CF59-D2-C</v>
      </c>
      <c r="C33" s="56"/>
      <c r="D33" s="56"/>
      <c r="E33" s="56"/>
      <c r="F33" s="56"/>
      <c r="G33" s="56"/>
      <c r="H33" s="56"/>
      <c r="I33" s="35">
        <f t="shared" si="0"/>
        <v>0</v>
      </c>
      <c r="J33" s="10"/>
      <c r="K33" s="10"/>
      <c r="M33" s="10"/>
    </row>
    <row r="34" spans="1:13" ht="13.2">
      <c r="A34" s="129" t="s">
        <v>1095</v>
      </c>
      <c r="B34" s="190" t="str">
        <f>HYPERLINK("http://codeforces.com/contest/495/problem/C","CF495-D2-C")</f>
        <v>CF495-D2-C</v>
      </c>
      <c r="C34" s="56"/>
      <c r="D34" s="56"/>
      <c r="E34" s="56"/>
      <c r="F34" s="56"/>
      <c r="G34" s="56"/>
      <c r="H34" s="56"/>
      <c r="I34" s="35">
        <f t="shared" si="0"/>
        <v>0</v>
      </c>
      <c r="J34" s="10"/>
      <c r="K34" s="10"/>
      <c r="M34" s="10"/>
    </row>
    <row r="35" spans="1:13" ht="13.2">
      <c r="A35" s="41"/>
      <c r="C35" s="56"/>
      <c r="D35" s="56"/>
      <c r="E35" s="56"/>
      <c r="F35" s="56"/>
      <c r="G35" s="56"/>
      <c r="H35" s="56"/>
      <c r="I35" s="35">
        <f t="shared" si="0"/>
        <v>0</v>
      </c>
      <c r="J35" s="35"/>
      <c r="K35" s="35"/>
      <c r="M35" s="10"/>
    </row>
    <row r="36" spans="1:13" ht="13.2">
      <c r="A36" s="213" t="s">
        <v>1096</v>
      </c>
      <c r="B36" s="241" t="str">
        <f>HYPERLINK("http://acm.zju.edu.cn/onlinejudge/showProblem.do?problemCode=2587","ZOJ 2587")</f>
        <v>ZOJ 2587</v>
      </c>
      <c r="C36" s="56"/>
      <c r="D36" s="56"/>
      <c r="E36" s="56"/>
      <c r="F36" s="56"/>
      <c r="G36" s="56"/>
      <c r="H36" s="56"/>
      <c r="I36" s="35">
        <f t="shared" si="0"/>
        <v>0</v>
      </c>
      <c r="J36" s="35"/>
      <c r="K36" s="35"/>
      <c r="M36" s="10"/>
    </row>
    <row r="37" spans="1:13" ht="13.2">
      <c r="A37" s="213" t="s">
        <v>1097</v>
      </c>
      <c r="B37" s="242" t="str">
        <f>HYPERLINK("http://www.spoj.com/problems/DCEPC12E","SPOJ DCEPC12E")</f>
        <v>SPOJ DCEPC12E</v>
      </c>
      <c r="C37" s="56"/>
      <c r="D37" s="56"/>
      <c r="E37" s="56"/>
      <c r="F37" s="56"/>
      <c r="G37" s="56"/>
      <c r="H37" s="56"/>
      <c r="I37" s="35">
        <f t="shared" si="0"/>
        <v>0</v>
      </c>
      <c r="J37" s="35"/>
      <c r="K37" s="35"/>
      <c r="M37" s="10"/>
    </row>
    <row r="38" spans="1:13" ht="13.2">
      <c r="A38" s="213" t="s">
        <v>1098</v>
      </c>
      <c r="B38" s="237" t="str">
        <f>HYPERLINK("https://uva.onlinejudge.org/index.php?option=onlinejudge&amp;page=show_problem&amp;problem=563","UVA 622")</f>
        <v>UVA 622</v>
      </c>
      <c r="C38" s="56"/>
      <c r="D38" s="56"/>
      <c r="E38" s="56"/>
      <c r="F38" s="56"/>
      <c r="G38" s="56"/>
      <c r="H38" s="56"/>
      <c r="I38" s="35">
        <f t="shared" si="0"/>
        <v>0</v>
      </c>
      <c r="J38" s="35"/>
      <c r="K38" s="35"/>
      <c r="M38" s="109" t="str">
        <f>HYPERLINK("https://github.com/mostafa-saad/MyCompetitiveProgramming/blob/master/UVA/622.cpp","Sol")</f>
        <v>Sol</v>
      </c>
    </row>
    <row r="39" spans="1:13" ht="13.2">
      <c r="A39" s="213" t="s">
        <v>1099</v>
      </c>
      <c r="B39" s="237" t="str">
        <f>HYPERLINK("https://uva.onlinejudge.org/index.php?option=com_onlinejudge&amp;Itemid=8&amp;page=show_problem&amp;problem=1052","UVA 10111")</f>
        <v>UVA 10111</v>
      </c>
      <c r="C39" s="56"/>
      <c r="D39" s="56"/>
      <c r="E39" s="56"/>
      <c r="F39" s="56"/>
      <c r="G39" s="56"/>
      <c r="H39" s="56"/>
      <c r="I39" s="35">
        <f t="shared" si="0"/>
        <v>0</v>
      </c>
      <c r="J39" s="35"/>
      <c r="K39" s="35"/>
      <c r="M39" s="109" t="str">
        <f>HYPERLINK("https://github.com/mostafa-saad/MyCompetitiveProgramming/blob/master/UVA/UVA_10111.txt","Sol")</f>
        <v>Sol</v>
      </c>
    </row>
    <row r="40" spans="1:13" ht="13.2">
      <c r="A40" s="213" t="s">
        <v>1100</v>
      </c>
      <c r="B40" s="243" t="str">
        <f>HYPERLINK("http://poj.org/problem?id=2151","PKU 2151")</f>
        <v>PKU 2151</v>
      </c>
      <c r="C40" s="56"/>
      <c r="D40" s="56"/>
      <c r="E40" s="56"/>
      <c r="F40" s="56"/>
      <c r="G40" s="56"/>
      <c r="H40" s="56"/>
      <c r="I40" s="35">
        <f t="shared" si="0"/>
        <v>0</v>
      </c>
      <c r="J40" s="10"/>
      <c r="K40" s="10"/>
      <c r="M40" s="109" t="str">
        <f>HYPERLINK("https://github.com/mostafa-saad/MyCompetitiveProgramming/blob/master/PKU/PKU_2151.txt","Sol")</f>
        <v>Sol</v>
      </c>
    </row>
    <row r="41" spans="1:13" ht="13.2">
      <c r="A41" s="213" t="s">
        <v>1101</v>
      </c>
      <c r="B41" s="242" t="str">
        <f>HYPERLINK("https://uva.onlinejudge.org/index.php?option=com_onlinejudge&amp;Itemid=8&amp;page=show_problem&amp;problem=3319","UVA 12167")</f>
        <v>UVA 12167</v>
      </c>
      <c r="C41" s="56"/>
      <c r="D41" s="56"/>
      <c r="E41" s="56"/>
      <c r="F41" s="56"/>
      <c r="G41" s="56"/>
      <c r="H41" s="56"/>
      <c r="I41" s="35">
        <f t="shared" si="0"/>
        <v>0</v>
      </c>
      <c r="J41" s="35"/>
      <c r="K41" s="35"/>
      <c r="M41" s="109" t="str">
        <f>HYPERLINK("https://github.com/abdullaAshraf/Problem-Solving/blob/master/UVA/12167.cpp","Sol")</f>
        <v>Sol</v>
      </c>
    </row>
    <row r="42" spans="1:13" ht="13.2">
      <c r="A42" s="213" t="s">
        <v>1102</v>
      </c>
      <c r="B42" s="237" t="str">
        <f>HYPERLINK("https://uva.onlinejudge.org/index.php?option=onlinejudge&amp;page=show_problem&amp;problem=488","UVA 547")</f>
        <v>UVA 547</v>
      </c>
      <c r="C42" s="56"/>
      <c r="D42" s="56"/>
      <c r="E42" s="56"/>
      <c r="F42" s="56"/>
      <c r="G42" s="56"/>
      <c r="H42" s="56"/>
      <c r="I42" s="35">
        <f t="shared" si="0"/>
        <v>0</v>
      </c>
      <c r="J42" s="35"/>
      <c r="K42" s="35"/>
    </row>
    <row r="43" spans="1:13" ht="13.2">
      <c r="A43" s="213" t="s">
        <v>1103</v>
      </c>
      <c r="B43" s="243" t="str">
        <f>HYPERLINK("https://uva.onlinejudge.org/index.php?option=onlinejudge&amp;page=show_problem&amp;problem=2499","UVA 11504")</f>
        <v>UVA 11504</v>
      </c>
      <c r="C43" s="56"/>
      <c r="D43" s="56"/>
      <c r="E43" s="56"/>
      <c r="F43" s="56"/>
      <c r="G43" s="56"/>
      <c r="H43" s="56"/>
      <c r="I43" s="35">
        <f t="shared" si="0"/>
        <v>0</v>
      </c>
      <c r="J43" s="10"/>
      <c r="K43" s="10"/>
      <c r="M43" s="109" t="str">
        <f>HYPERLINK("https://github.com/mostafa-saad/MyCompetitiveProgramming/blob/master/UVA/UVA_11504.txt","Sol")</f>
        <v>Sol</v>
      </c>
    </row>
    <row r="44" spans="1:13" ht="13.2">
      <c r="A44" s="213"/>
      <c r="B44" s="213" t="s">
        <v>1104</v>
      </c>
      <c r="C44" s="56"/>
      <c r="D44" s="56"/>
      <c r="E44" s="56"/>
      <c r="F44" s="56"/>
      <c r="G44" s="56"/>
      <c r="H44" s="56"/>
      <c r="I44" s="35">
        <f t="shared" si="0"/>
        <v>0</v>
      </c>
      <c r="J44" s="10"/>
      <c r="K44" s="10"/>
    </row>
    <row r="45" spans="1:13" ht="13.2">
      <c r="A45" s="213" t="s">
        <v>1105</v>
      </c>
      <c r="B45" s="214" t="str">
        <f>HYPERLINK("https://uva.onlinejudge.org/index.php?option=com_onlinejudge&amp;Itemid=8&amp;page=show_problem&amp;problem=2117","UVA 11176")</f>
        <v>UVA 11176</v>
      </c>
      <c r="C45" s="56"/>
      <c r="D45" s="56"/>
      <c r="E45" s="56"/>
      <c r="F45" s="56"/>
      <c r="G45" s="56"/>
      <c r="H45" s="56"/>
      <c r="I45" s="35">
        <f t="shared" si="0"/>
        <v>0</v>
      </c>
      <c r="J45" s="10"/>
      <c r="K45" s="10"/>
      <c r="M45" s="109" t="str">
        <f>HYPERLINK("https://github.com/VAMPIER000001/CompetitiveProgramming/blob/master/UVA/V-111/UVA%2011176.cpp","Sol")</f>
        <v>Sol</v>
      </c>
    </row>
    <row r="46" spans="1:13" ht="13.2">
      <c r="A46" s="213"/>
      <c r="B46" s="213" t="s">
        <v>1106</v>
      </c>
      <c r="C46" s="56"/>
      <c r="D46" s="56"/>
      <c r="E46" s="56"/>
      <c r="F46" s="56"/>
      <c r="G46" s="56"/>
      <c r="H46" s="56"/>
      <c r="I46" s="35">
        <f t="shared" si="0"/>
        <v>0</v>
      </c>
      <c r="J46" s="10"/>
      <c r="K46" s="10"/>
    </row>
    <row r="47" spans="1:13" ht="13.2">
      <c r="A47" s="213"/>
      <c r="B47" s="213" t="s">
        <v>1107</v>
      </c>
      <c r="C47" s="56"/>
      <c r="D47" s="56"/>
      <c r="E47" s="56"/>
      <c r="F47" s="56"/>
      <c r="G47" s="56"/>
      <c r="H47" s="56"/>
      <c r="I47" s="35">
        <f t="shared" si="0"/>
        <v>0</v>
      </c>
      <c r="J47" s="10"/>
      <c r="K47" s="10"/>
      <c r="M47" s="109" t="str">
        <f>HYPERLINK("https://github.com/yazanKabbany/CompetitiveProgramming/blob/master/Topcoder/SRM465-D1-500.cpp","Sol")</f>
        <v>Sol</v>
      </c>
    </row>
    <row r="48" spans="1:13" ht="13.2">
      <c r="A48" s="213"/>
      <c r="B48" s="213" t="s">
        <v>1108</v>
      </c>
      <c r="C48" s="56"/>
      <c r="D48" s="56"/>
      <c r="E48" s="56"/>
      <c r="F48" s="56"/>
      <c r="G48" s="56"/>
      <c r="H48" s="56"/>
      <c r="I48" s="35">
        <f t="shared" si="0"/>
        <v>0</v>
      </c>
      <c r="J48" s="10"/>
      <c r="K48" s="10"/>
      <c r="M48" s="109" t="str">
        <f>HYPERLINK("https://github.com/mostafa-saad/MyCompetitiveProgramming/blob/master/UVA/UVA_10740.txt","Sol")</f>
        <v>Sol</v>
      </c>
    </row>
    <row r="49" spans="1:13" ht="13.2">
      <c r="A49" s="213"/>
      <c r="B49" s="213" t="s">
        <v>1109</v>
      </c>
      <c r="C49" s="56"/>
      <c r="D49" s="56"/>
      <c r="E49" s="56"/>
      <c r="F49" s="56"/>
      <c r="G49" s="56"/>
      <c r="H49" s="56"/>
      <c r="I49" s="35">
        <f t="shared" si="0"/>
        <v>0</v>
      </c>
      <c r="J49" s="10"/>
      <c r="K49" s="10"/>
    </row>
    <row r="50" spans="1:13" ht="13.2">
      <c r="A50" s="213"/>
      <c r="B50" s="213" t="s">
        <v>1110</v>
      </c>
      <c r="C50" s="56"/>
      <c r="D50" s="56"/>
      <c r="E50" s="56"/>
      <c r="F50" s="56"/>
      <c r="G50" s="56"/>
      <c r="H50" s="56"/>
      <c r="I50" s="35">
        <f t="shared" si="0"/>
        <v>0</v>
      </c>
      <c r="J50" s="10"/>
      <c r="K50" s="10"/>
    </row>
    <row r="51" spans="1:13" ht="13.2">
      <c r="A51" s="213"/>
      <c r="B51" s="213" t="s">
        <v>1111</v>
      </c>
      <c r="C51" s="56"/>
      <c r="D51" s="56"/>
      <c r="E51" s="56"/>
      <c r="F51" s="56"/>
      <c r="G51" s="56"/>
      <c r="H51" s="56"/>
      <c r="I51" s="35">
        <f t="shared" si="0"/>
        <v>0</v>
      </c>
      <c r="J51" s="10"/>
      <c r="K51" s="10"/>
      <c r="M51" s="109" t="str">
        <f>HYPERLINK("https://github.com/morris821028/UVa/blob/master/volume013/1342%20-%20That%20Nice%20Euler%20Circuit.cpp","Sol")</f>
        <v>Sol</v>
      </c>
    </row>
    <row r="52" spans="1:13" ht="13.2">
      <c r="A52" s="213"/>
      <c r="B52" s="214" t="str">
        <f>HYPERLINK("http://codeforces.com/contest/811/problem/D","CF811-D2-D")</f>
        <v>CF811-D2-D</v>
      </c>
      <c r="C52" s="56"/>
      <c r="D52" s="56"/>
      <c r="E52" s="56"/>
      <c r="F52" s="56"/>
      <c r="G52" s="56"/>
      <c r="H52" s="56"/>
      <c r="I52" s="35">
        <f t="shared" si="0"/>
        <v>0</v>
      </c>
      <c r="J52" s="10"/>
      <c r="K52" s="10"/>
    </row>
    <row r="53" spans="1:13" ht="13.2">
      <c r="A53" s="213"/>
      <c r="B53" s="214" t="str">
        <f>HYPERLINK("https://beta.atcoder.jp/contests/agc026/tasks/agc026_b","AtCoder026-AGC-B")</f>
        <v>AtCoder026-AGC-B</v>
      </c>
      <c r="C53" s="56"/>
      <c r="D53" s="56"/>
      <c r="E53" s="56"/>
      <c r="F53" s="56"/>
      <c r="G53" s="56"/>
      <c r="H53" s="56"/>
      <c r="I53" s="35">
        <f t="shared" si="0"/>
        <v>0</v>
      </c>
      <c r="J53" s="10"/>
      <c r="K53" s="10"/>
      <c r="M53" s="109" t="str">
        <f>HYPERLINK("https://github.com/dasannagariraja/CompetitiveProgramming/blob/master/AtCoder/AtCoder026-AGC-B.cpp","Sol")</f>
        <v>Sol</v>
      </c>
    </row>
    <row r="54" spans="1:13" ht="13.2">
      <c r="A54" s="213"/>
      <c r="B54" s="213" t="s">
        <v>1112</v>
      </c>
      <c r="C54" s="56"/>
      <c r="D54" s="56"/>
      <c r="E54" s="56"/>
      <c r="F54" s="56"/>
      <c r="G54" s="56"/>
      <c r="H54" s="56"/>
      <c r="I54" s="35">
        <f t="shared" si="0"/>
        <v>0</v>
      </c>
      <c r="J54" s="35"/>
      <c r="K54" s="35"/>
      <c r="M54" s="111" t="str">
        <f>HYPERLINK("https://github.com/mostafa-saad/MyCompetitiveProgramming/blob/master/SPOJ/SPOJ_FISHES.txt","Sol")</f>
        <v>Sol</v>
      </c>
    </row>
    <row r="55" spans="1:13" ht="13.2">
      <c r="A55" s="213"/>
      <c r="B55" s="213" t="s">
        <v>1113</v>
      </c>
      <c r="C55" s="56"/>
      <c r="D55" s="56"/>
      <c r="E55" s="56"/>
      <c r="F55" s="56"/>
      <c r="G55" s="56"/>
      <c r="H55" s="56"/>
      <c r="I55" s="35">
        <f t="shared" si="0"/>
        <v>0</v>
      </c>
      <c r="J55" s="35"/>
      <c r="K55" s="35"/>
      <c r="M55" s="111" t="str">
        <f>HYPERLINK("https://github.com/Huvok/CompetitiveProgramming/blob/master/UVA/11475.cpp", "Sol")</f>
        <v>Sol</v>
      </c>
    </row>
    <row r="56" spans="1:13" ht="13.2">
      <c r="A56" s="41"/>
      <c r="B56" s="99"/>
      <c r="C56" s="56"/>
      <c r="D56" s="56"/>
      <c r="E56" s="56"/>
      <c r="F56" s="56"/>
      <c r="G56" s="56"/>
      <c r="H56" s="56"/>
      <c r="I56" s="35">
        <f t="shared" si="0"/>
        <v>0</v>
      </c>
      <c r="J56" s="35"/>
      <c r="K56" s="35"/>
      <c r="M56" s="10"/>
    </row>
    <row r="57" spans="1:13" ht="13.2">
      <c r="A57" s="41" t="s">
        <v>1114</v>
      </c>
      <c r="B57" s="240" t="str">
        <f>HYPERLINK("http://codeforces.com/contest/478/problem/D","CF478-D2-D")</f>
        <v>CF478-D2-D</v>
      </c>
      <c r="C57" s="56"/>
      <c r="D57" s="56"/>
      <c r="E57" s="56"/>
      <c r="F57" s="56"/>
      <c r="G57" s="56"/>
      <c r="H57" s="56"/>
      <c r="I57" s="35">
        <f t="shared" si="0"/>
        <v>0</v>
      </c>
      <c r="J57" s="35"/>
      <c r="K57" s="35"/>
      <c r="M57" s="10"/>
    </row>
    <row r="58" spans="1:13" ht="13.2">
      <c r="A58" s="41" t="s">
        <v>1115</v>
      </c>
      <c r="B58" s="240" t="str">
        <f>HYPERLINK("http://codeforces.com/contest/363/problem/D","CF363-D2-D")</f>
        <v>CF363-D2-D</v>
      </c>
      <c r="C58" s="56"/>
      <c r="D58" s="56"/>
      <c r="E58" s="56"/>
      <c r="F58" s="56"/>
      <c r="G58" s="56"/>
      <c r="H58" s="56"/>
      <c r="I58" s="35">
        <f t="shared" si="0"/>
        <v>0</v>
      </c>
      <c r="J58" s="35"/>
      <c r="K58" s="35"/>
      <c r="M58" s="10"/>
    </row>
    <row r="59" spans="1:13" ht="13.2">
      <c r="A59" s="48" t="s">
        <v>1116</v>
      </c>
      <c r="B59" s="53" t="str">
        <f>HYPERLINK("http://codeforces.com/contest/146/problem/D","CF146-D2-D")</f>
        <v>CF146-D2-D</v>
      </c>
      <c r="C59" s="56"/>
      <c r="D59" s="56"/>
      <c r="E59" s="56"/>
      <c r="F59" s="56"/>
      <c r="G59" s="56"/>
      <c r="H59" s="56"/>
      <c r="I59" s="35">
        <f t="shared" si="0"/>
        <v>0</v>
      </c>
      <c r="J59" s="10"/>
      <c r="K59" s="10"/>
      <c r="M59" s="10"/>
    </row>
    <row r="60" spans="1:13" ht="13.2">
      <c r="A60" s="48" t="s">
        <v>1117</v>
      </c>
      <c r="B60" s="53" t="str">
        <f>HYPERLINK("http://codeforces.com/contest/496/problem/D","CF496-D2-D")</f>
        <v>CF496-D2-D</v>
      </c>
      <c r="C60" s="56"/>
      <c r="D60" s="56"/>
      <c r="E60" s="56"/>
      <c r="F60" s="56"/>
      <c r="G60" s="56"/>
      <c r="H60" s="56"/>
      <c r="I60" s="35">
        <f t="shared" si="0"/>
        <v>0</v>
      </c>
      <c r="J60" s="10"/>
      <c r="K60" s="10"/>
      <c r="M60" s="10"/>
    </row>
    <row r="61" spans="1:13" ht="13.2">
      <c r="A61" s="48" t="s">
        <v>1118</v>
      </c>
      <c r="B61" s="53" t="str">
        <f>HYPERLINK("http://codeforces.com/contest/340/problem/D","CF340-D2-D")</f>
        <v>CF340-D2-D</v>
      </c>
      <c r="C61" s="56"/>
      <c r="D61" s="56"/>
      <c r="E61" s="56"/>
      <c r="F61" s="56"/>
      <c r="G61" s="56"/>
      <c r="H61" s="56"/>
      <c r="I61" s="35">
        <f t="shared" si="0"/>
        <v>0</v>
      </c>
      <c r="J61" s="10"/>
      <c r="K61" s="10"/>
      <c r="M61" s="10"/>
    </row>
    <row r="62" spans="1:13" ht="13.2">
      <c r="A62" s="41" t="s">
        <v>1119</v>
      </c>
      <c r="B62" s="240" t="str">
        <f>HYPERLINK("http://codeforces.com/contest/402/problem/D","CF402-D2-D")</f>
        <v>CF402-D2-D</v>
      </c>
      <c r="C62" s="56"/>
      <c r="D62" s="56"/>
      <c r="E62" s="56"/>
      <c r="F62" s="56"/>
      <c r="G62" s="56"/>
      <c r="H62" s="56"/>
      <c r="I62" s="35">
        <f t="shared" si="0"/>
        <v>0</v>
      </c>
      <c r="J62" s="35"/>
      <c r="K62" s="35"/>
      <c r="M62" s="10"/>
    </row>
    <row r="63" spans="1:13" ht="13.2">
      <c r="A63" s="41"/>
      <c r="B63" s="240" t="s">
        <v>1120</v>
      </c>
      <c r="C63" s="56"/>
      <c r="D63" s="56"/>
      <c r="E63" s="56"/>
      <c r="F63" s="56"/>
      <c r="G63" s="56"/>
      <c r="H63" s="56"/>
      <c r="I63" s="35">
        <f t="shared" si="0"/>
        <v>0</v>
      </c>
      <c r="J63" s="35"/>
      <c r="K63" s="35"/>
      <c r="M63" s="111" t="str">
        <f>HYPERLINK("https://github.com/magdy-hasan/competitive-programming/blob/master/Other/ZOJ%20Get%20Sauce.cpp","Sol")</f>
        <v>Sol</v>
      </c>
    </row>
    <row r="64" spans="1:13" ht="13.2">
      <c r="A64" s="41"/>
      <c r="B64" s="240" t="str">
        <f>HYPERLINK("http://codeforces.com/problemset/problem/1017/D","CF1017-D12-D")</f>
        <v>CF1017-D12-D</v>
      </c>
      <c r="C64" s="56"/>
      <c r="D64" s="56"/>
      <c r="E64" s="56"/>
      <c r="F64" s="56"/>
      <c r="G64" s="56"/>
      <c r="H64" s="56"/>
      <c r="I64" s="35">
        <f t="shared" si="0"/>
        <v>0</v>
      </c>
      <c r="J64" s="35"/>
      <c r="K64" s="35"/>
      <c r="M64" s="10"/>
    </row>
    <row r="65" spans="1:13" ht="13.2">
      <c r="A65" s="129" t="s">
        <v>1121</v>
      </c>
      <c r="B65" s="190" t="str">
        <f>HYPERLINK("http://codeforces.com/contest/69/problem/C","CF69-D2-C")</f>
        <v>CF69-D2-C</v>
      </c>
      <c r="C65" s="56"/>
      <c r="D65" s="56"/>
      <c r="E65" s="56"/>
      <c r="F65" s="56"/>
      <c r="G65" s="56"/>
      <c r="H65" s="56"/>
      <c r="I65" s="35">
        <f t="shared" si="0"/>
        <v>0</v>
      </c>
      <c r="J65" s="35"/>
      <c r="K65" s="35"/>
      <c r="M65" s="10"/>
    </row>
    <row r="66" spans="1:13" ht="13.2">
      <c r="A66" s="129" t="s">
        <v>1122</v>
      </c>
      <c r="B66" s="190" t="str">
        <f>HYPERLINK("http://codeforces.com/contest/322/problem/C","CF322-D2-C")</f>
        <v>CF322-D2-C</v>
      </c>
      <c r="C66" s="56"/>
      <c r="D66" s="56"/>
      <c r="E66" s="56"/>
      <c r="F66" s="56"/>
      <c r="G66" s="56"/>
      <c r="H66" s="56"/>
      <c r="I66" s="35">
        <f t="shared" si="0"/>
        <v>0</v>
      </c>
      <c r="J66" s="35"/>
      <c r="K66" s="35"/>
      <c r="M66" s="10"/>
    </row>
    <row r="67" spans="1:13" ht="13.2">
      <c r="A67" s="129" t="s">
        <v>1123</v>
      </c>
      <c r="B67" s="190" t="str">
        <f>HYPERLINK("http://codeforces.com/contest/716/problem/C","CF716-D2-C")</f>
        <v>CF716-D2-C</v>
      </c>
      <c r="C67" s="56"/>
      <c r="D67" s="56"/>
      <c r="E67" s="56"/>
      <c r="F67" s="56"/>
      <c r="G67" s="56"/>
      <c r="H67" s="56"/>
      <c r="I67" s="35">
        <f t="shared" si="0"/>
        <v>0</v>
      </c>
      <c r="J67" s="35"/>
      <c r="K67" s="35"/>
      <c r="M67" s="10"/>
    </row>
    <row r="68" spans="1:13" ht="13.2">
      <c r="A68" s="41"/>
      <c r="B68" s="99"/>
      <c r="C68" s="56"/>
      <c r="D68" s="56"/>
      <c r="E68" s="56"/>
      <c r="F68" s="56"/>
      <c r="G68" s="56"/>
      <c r="H68" s="56"/>
      <c r="I68" s="35">
        <f t="shared" si="0"/>
        <v>0</v>
      </c>
      <c r="J68" s="35"/>
      <c r="K68" s="35"/>
      <c r="M68" s="10"/>
    </row>
    <row r="69" spans="1:13" ht="13.2">
      <c r="A69" s="66" t="s">
        <v>1124</v>
      </c>
      <c r="B69" s="127" t="str">
        <f>HYPERLINK("https://uva.onlinejudge.org/index.php?option=com_onlinejudge&amp;Itemid=8&amp;page=show_problem&amp;problem=4395","UVA 12657")</f>
        <v>UVA 12657</v>
      </c>
      <c r="C69" s="56"/>
      <c r="D69" s="56"/>
      <c r="E69" s="56"/>
      <c r="F69" s="56"/>
      <c r="G69" s="56"/>
      <c r="H69" s="56"/>
      <c r="I69" s="35">
        <f t="shared" si="0"/>
        <v>0</v>
      </c>
      <c r="J69" s="10"/>
      <c r="K69" s="10"/>
      <c r="M69" s="109" t="str">
        <f>HYPERLINK("http://qkxue.net/info/113260/UVA-Boxes-Line-12657","Sol")</f>
        <v>Sol</v>
      </c>
    </row>
    <row r="70" spans="1:13" ht="13.2">
      <c r="A70" s="66"/>
      <c r="B70" s="66" t="s">
        <v>1125</v>
      </c>
      <c r="C70" s="56"/>
      <c r="D70" s="56"/>
      <c r="E70" s="56"/>
      <c r="F70" s="56"/>
      <c r="G70" s="56"/>
      <c r="H70" s="56"/>
      <c r="I70" s="35">
        <f t="shared" si="0"/>
        <v>0</v>
      </c>
      <c r="J70" s="35"/>
      <c r="K70" s="35"/>
      <c r="M70" s="109" t="str">
        <f>HYPERLINK("https://github.com/BRAINOOOO/CompetitiveProgramming/blob/master/Spoj/SPOJ%20QUEST4.Cpp","Sol")</f>
        <v>Sol</v>
      </c>
    </row>
    <row r="71" spans="1:13" ht="13.2">
      <c r="A71" s="66" t="s">
        <v>1126</v>
      </c>
      <c r="B71" s="242" t="str">
        <f>HYPERLINK("https://uva.onlinejudge.org/index.php?option=onlinejudge&amp;page=show_problem&amp;problem=2322","UVA 11347")</f>
        <v>UVA 11347</v>
      </c>
      <c r="C71" s="56"/>
      <c r="D71" s="56"/>
      <c r="E71" s="56"/>
      <c r="F71" s="56"/>
      <c r="G71" s="56"/>
      <c r="H71" s="56"/>
      <c r="I71" s="35">
        <f t="shared" si="0"/>
        <v>0</v>
      </c>
      <c r="J71" s="35"/>
      <c r="K71" s="35"/>
    </row>
    <row r="72" spans="1:13" ht="13.2">
      <c r="A72" s="168" t="s">
        <v>1127</v>
      </c>
      <c r="B72" s="244" t="str">
        <f>HYPERLINK("https://uva.onlinejudge.org/index.php?option=com_onlinejudge&amp;Itemid=8&amp;page=show_problem&amp;problem=504","UVA 563")</f>
        <v>UVA 563</v>
      </c>
      <c r="C72" s="56"/>
      <c r="D72" s="56"/>
      <c r="E72" s="56"/>
      <c r="F72" s="56"/>
      <c r="G72" s="56"/>
      <c r="H72" s="56"/>
      <c r="I72" s="35">
        <f t="shared" si="0"/>
        <v>0</v>
      </c>
      <c r="J72" s="35"/>
      <c r="K72" s="35"/>
      <c r="M72" s="109" t="str">
        <f>HYPERLINK("https://github.com/BRAINOOOO/CompetitiveProgramming/blob/d60a5d1364a8f6aba3cd785c1e5d7825bf3818bc/UVA/UVA%20563.Cpp","Sol")</f>
        <v>Sol</v>
      </c>
    </row>
    <row r="73" spans="1:13" ht="13.2">
      <c r="A73" s="184"/>
      <c r="B73" s="245" t="s">
        <v>1128</v>
      </c>
      <c r="C73" s="56"/>
      <c r="D73" s="56"/>
      <c r="E73" s="56"/>
      <c r="F73" s="56"/>
      <c r="G73" s="56"/>
      <c r="H73" s="56"/>
      <c r="I73" s="35">
        <f t="shared" si="0"/>
        <v>0</v>
      </c>
      <c r="J73" s="35"/>
      <c r="K73" s="35"/>
    </row>
    <row r="74" spans="1:13" ht="13.2">
      <c r="A74" s="184"/>
      <c r="B74" s="245" t="s">
        <v>1129</v>
      </c>
      <c r="C74" s="56"/>
      <c r="D74" s="56"/>
      <c r="E74" s="56"/>
      <c r="F74" s="56"/>
      <c r="G74" s="56"/>
      <c r="H74" s="56"/>
      <c r="I74" s="35">
        <f t="shared" si="0"/>
        <v>0</v>
      </c>
      <c r="J74" s="35"/>
      <c r="K74" s="35"/>
    </row>
    <row r="75" spans="1:13" ht="13.2">
      <c r="A75" s="184" t="s">
        <v>1130</v>
      </c>
      <c r="B75" s="237" t="str">
        <f>HYPERLINK("http://www.spoj.com/problems/PROOT/","SPOJ PROOT")</f>
        <v>SPOJ PROOT</v>
      </c>
      <c r="C75" s="56"/>
      <c r="D75" s="56"/>
      <c r="E75" s="56"/>
      <c r="F75" s="56"/>
      <c r="G75" s="56"/>
      <c r="H75" s="56"/>
      <c r="I75" s="35">
        <f t="shared" si="0"/>
        <v>0</v>
      </c>
      <c r="J75" s="35"/>
      <c r="K75" s="35"/>
      <c r="M75" s="109" t="str">
        <f>HYPERLINK("http://zobayer.blogspot.com/2010/02/primitive-root.html","Sol")</f>
        <v>Sol</v>
      </c>
    </row>
    <row r="76" spans="1:13" ht="13.2">
      <c r="A76" s="184" t="s">
        <v>1131</v>
      </c>
      <c r="B76" s="246" t="str">
        <f>HYPERLINK("http://codeforces.com/problemset/gymProblem/101149/G","CF101149-GYM-G")</f>
        <v>CF101149-GYM-G</v>
      </c>
      <c r="C76" s="56"/>
      <c r="D76" s="56"/>
      <c r="E76" s="56"/>
      <c r="F76" s="56"/>
      <c r="G76" s="56"/>
      <c r="H76" s="56"/>
      <c r="I76" s="35">
        <f t="shared" si="0"/>
        <v>0</v>
      </c>
      <c r="J76" s="35"/>
      <c r="K76" s="35"/>
      <c r="M76" s="109" t="str">
        <f>HYPERLINK("https://github.com/BRAINOOOO/CompetitiveProgramming/blob/3057480d3a311cc86a6d64546655a9bb4017cbd6/CF/CF101149-GYM-G.Cpp","Sol")</f>
        <v>Sol</v>
      </c>
    </row>
    <row r="77" spans="1:13" ht="13.2">
      <c r="A77" s="66" t="s">
        <v>1132</v>
      </c>
      <c r="B77" s="247" t="str">
        <f>HYPERLINK("http://codeforces.com/contest/292/problem/D","CF292-D12-D")</f>
        <v>CF292-D12-D</v>
      </c>
      <c r="C77" s="56"/>
      <c r="D77" s="56"/>
      <c r="E77" s="56"/>
      <c r="F77" s="56"/>
      <c r="G77" s="56"/>
      <c r="H77" s="56"/>
      <c r="I77" s="35">
        <f t="shared" si="0"/>
        <v>0</v>
      </c>
      <c r="J77" s="35"/>
      <c r="K77" s="35"/>
    </row>
    <row r="78" spans="1:13" ht="13.2">
      <c r="A78" s="66" t="s">
        <v>1133</v>
      </c>
      <c r="B78" s="248" t="str">
        <f>HYPERLINK("http://www.spoj.com/problems/ANDROUND","SPOJ ANDROUND")</f>
        <v>SPOJ ANDROUND</v>
      </c>
      <c r="C78" s="56"/>
      <c r="D78" s="56"/>
      <c r="E78" s="56"/>
      <c r="F78" s="56"/>
      <c r="G78" s="56"/>
      <c r="H78" s="56"/>
      <c r="I78" s="35">
        <f t="shared" si="0"/>
        <v>0</v>
      </c>
      <c r="J78" s="35"/>
      <c r="K78" s="35"/>
      <c r="M78" s="109" t="str">
        <f>HYPERLINK("https://github.com/AliOsm/CompetitiveProgramming/blob/master/SPOJ/ANDROUND%20-%20AND%20Rounds.cpp","Sol")</f>
        <v>Sol</v>
      </c>
    </row>
    <row r="79" spans="1:13" ht="13.2">
      <c r="A79" s="66" t="s">
        <v>1134</v>
      </c>
      <c r="B79" s="236" t="str">
        <f>HYPERLINK("https://uva.onlinejudge.org/index.php?option=onlinejudge&amp;page=show_problem&amp;problem=2468","UVA 11473")</f>
        <v>UVA 11473</v>
      </c>
      <c r="C79" s="56"/>
      <c r="D79" s="56"/>
      <c r="E79" s="56"/>
      <c r="F79" s="56"/>
      <c r="G79" s="56"/>
      <c r="H79" s="56"/>
      <c r="I79" s="35">
        <f t="shared" si="0"/>
        <v>0</v>
      </c>
      <c r="J79" s="35"/>
      <c r="K79" s="35"/>
      <c r="M79" s="109" t="str">
        <f>HYPERLINK("https://github.com/osamahatem/CompetitiveProgramming/blob/master/UVA/11473%20-%20Campus%20Roads.cpp","Sol")</f>
        <v>Sol</v>
      </c>
    </row>
    <row r="80" spans="1:13" ht="13.2">
      <c r="A80" s="66" t="s">
        <v>1135</v>
      </c>
      <c r="B80" s="247" t="str">
        <f>HYPERLINK("http://codeforces.com/contest/437/problem/D","CF437-D2-D")</f>
        <v>CF437-D2-D</v>
      </c>
      <c r="C80" s="56"/>
      <c r="D80" s="56"/>
      <c r="E80" s="56"/>
      <c r="F80" s="56"/>
      <c r="G80" s="56"/>
      <c r="H80" s="56"/>
      <c r="I80" s="35">
        <f t="shared" si="0"/>
        <v>0</v>
      </c>
      <c r="J80" s="35"/>
      <c r="K80" s="35"/>
      <c r="M80" s="109" t="str">
        <f>HYPERLINK("https://github.com/abdullaAshraf/Problem-Solving/blob/master/CodeForces/CF437-D2-D.cpp","Sol")</f>
        <v>Sol</v>
      </c>
    </row>
    <row r="81" spans="1:13" ht="13.2">
      <c r="A81" s="66"/>
      <c r="B81" s="187" t="str">
        <f>HYPERLINK("http://codeforces.com/contest/403/problem/C","CF403-D1-C")</f>
        <v>CF403-D1-C</v>
      </c>
      <c r="C81" s="56"/>
      <c r="D81" s="56"/>
      <c r="E81" s="56"/>
      <c r="F81" s="56"/>
      <c r="G81" s="56"/>
      <c r="H81" s="56"/>
      <c r="I81" s="35">
        <f t="shared" si="0"/>
        <v>0</v>
      </c>
      <c r="J81" s="35"/>
      <c r="K81" s="35"/>
    </row>
    <row r="82" spans="1:13" ht="13.2">
      <c r="A82" s="66"/>
      <c r="B82" s="187" t="str">
        <f>HYPERLINK("http://codeforces.com/contest/787/problem/C","CF787-D2-C")</f>
        <v>CF787-D2-C</v>
      </c>
      <c r="C82" s="56"/>
      <c r="D82" s="56"/>
      <c r="E82" s="56"/>
      <c r="F82" s="56"/>
      <c r="G82" s="56"/>
      <c r="H82" s="56"/>
      <c r="I82" s="35">
        <f t="shared" si="0"/>
        <v>0</v>
      </c>
      <c r="J82" s="35"/>
      <c r="K82" s="35"/>
    </row>
    <row r="83" spans="1:13" ht="13.2">
      <c r="A83" s="66"/>
      <c r="B83" s="187" t="str">
        <f>HYPERLINK("http://codeforces.com/contest/309/problem/B","CF309-D12-B")</f>
        <v>CF309-D12-B</v>
      </c>
      <c r="C83" s="56"/>
      <c r="D83" s="56"/>
      <c r="E83" s="56"/>
      <c r="F83" s="56"/>
      <c r="G83" s="56"/>
      <c r="H83" s="56"/>
      <c r="I83" s="35">
        <f t="shared" si="0"/>
        <v>0</v>
      </c>
      <c r="J83" s="35"/>
      <c r="K83" s="35"/>
    </row>
    <row r="84" spans="1:13" ht="13.2">
      <c r="A84" s="66"/>
      <c r="B84" s="66" t="s">
        <v>1136</v>
      </c>
      <c r="C84" s="56"/>
      <c r="D84" s="56"/>
      <c r="E84" s="56"/>
      <c r="F84" s="56"/>
      <c r="G84" s="56"/>
      <c r="H84" s="56"/>
      <c r="I84" s="35">
        <f t="shared" si="0"/>
        <v>0</v>
      </c>
      <c r="J84" s="35"/>
      <c r="K84" s="35"/>
    </row>
    <row r="85" spans="1:13" ht="13.2">
      <c r="A85" s="66"/>
      <c r="B85" s="66" t="s">
        <v>1137</v>
      </c>
      <c r="C85" s="56"/>
      <c r="D85" s="56"/>
      <c r="E85" s="56"/>
      <c r="F85" s="56"/>
      <c r="G85" s="56"/>
      <c r="H85" s="56"/>
      <c r="I85" s="35">
        <f t="shared" si="0"/>
        <v>0</v>
      </c>
      <c r="J85" s="35"/>
      <c r="K85" s="35"/>
    </row>
    <row r="86" spans="1:13" ht="13.2">
      <c r="A86" s="66"/>
      <c r="B86" s="66" t="s">
        <v>1138</v>
      </c>
      <c r="C86" s="56"/>
      <c r="D86" s="56"/>
      <c r="E86" s="56"/>
      <c r="F86" s="56"/>
      <c r="G86" s="56"/>
      <c r="H86" s="56"/>
      <c r="I86" s="35">
        <f t="shared" si="0"/>
        <v>0</v>
      </c>
      <c r="J86" s="35"/>
      <c r="K86" s="35"/>
      <c r="M86" s="109" t="str">
        <f>HYPERLINK("https://github.com/MeGaCrazy/CompetitiveProgramming/blob/2a3c686ba85081a14c9df160224fc1659f7f93ab/Timus/TIMUS_1362.cpp","Sol")</f>
        <v>Sol</v>
      </c>
    </row>
    <row r="87" spans="1:13" ht="13.2">
      <c r="A87" s="66"/>
      <c r="B87" s="187" t="str">
        <f>HYPERLINK("http://codeforces.com/contest/1012/problem/C","CF1012-D1-C")</f>
        <v>CF1012-D1-C</v>
      </c>
      <c r="C87" s="56"/>
      <c r="D87" s="56"/>
      <c r="E87" s="56"/>
      <c r="F87" s="56"/>
      <c r="G87" s="56"/>
      <c r="H87" s="56"/>
      <c r="I87" s="35">
        <f t="shared" si="0"/>
        <v>0</v>
      </c>
      <c r="J87" s="35"/>
      <c r="K87" s="35"/>
    </row>
    <row r="88" spans="1:13" ht="13.2">
      <c r="A88" s="66"/>
      <c r="B88" s="66" t="s">
        <v>1139</v>
      </c>
      <c r="C88" s="56"/>
      <c r="D88" s="56"/>
      <c r="E88" s="56"/>
      <c r="F88" s="56"/>
      <c r="G88" s="56"/>
      <c r="H88" s="56"/>
      <c r="I88" s="35">
        <f t="shared" si="0"/>
        <v>0</v>
      </c>
      <c r="J88" s="35"/>
      <c r="K88" s="35"/>
      <c r="M88" s="109" t="str">
        <f>HYPERLINK("https://github.com/Huvok/CompetitiveProgramming/blob/master/SPOJ/COCONUTS.cpp","Sol")</f>
        <v>Sol</v>
      </c>
    </row>
    <row r="89" spans="1:13" ht="13.2">
      <c r="A89" s="66"/>
      <c r="B89" s="187" t="str">
        <f>HYPERLINK("https://www.facebook.com/hackercup/problem/1153996538071503/", "FbHkrCup 18-RQ-C")</f>
        <v>FbHkrCup 18-RQ-C</v>
      </c>
      <c r="C89" s="56"/>
      <c r="D89" s="56"/>
      <c r="E89" s="56"/>
      <c r="F89" s="56"/>
      <c r="G89" s="56"/>
      <c r="H89" s="56"/>
      <c r="I89" s="35">
        <f t="shared" si="0"/>
        <v>0</v>
      </c>
      <c r="J89" s="35"/>
      <c r="K89" s="35"/>
    </row>
    <row r="90" spans="1:13" ht="13.2">
      <c r="A90" s="66"/>
      <c r="B90" s="66" t="s">
        <v>1140</v>
      </c>
      <c r="C90" s="56"/>
      <c r="D90" s="56"/>
      <c r="E90" s="56"/>
      <c r="F90" s="56"/>
      <c r="G90" s="56"/>
      <c r="H90" s="56"/>
      <c r="I90" s="35">
        <f t="shared" si="0"/>
        <v>0</v>
      </c>
      <c r="J90" s="35"/>
      <c r="K90" s="35"/>
      <c r="M90" s="109" t="str">
        <f>HYPERLINK("https://github.com/HosamEissa/Competitive-programming-/blob/master/ACM-ICPC%20Live%20Archive/4682.cpp","Sol")</f>
        <v>Sol</v>
      </c>
    </row>
    <row r="91" spans="1:13" ht="13.2">
      <c r="A91" s="41"/>
      <c r="B91" s="99"/>
      <c r="C91" s="56"/>
      <c r="D91" s="56"/>
      <c r="E91" s="56"/>
      <c r="F91" s="56"/>
      <c r="G91" s="56"/>
      <c r="H91" s="56"/>
      <c r="I91" s="35">
        <f t="shared" si="0"/>
        <v>0</v>
      </c>
      <c r="J91" s="35"/>
      <c r="K91" s="35"/>
      <c r="M91" s="10"/>
    </row>
    <row r="92" spans="1:13" ht="13.2">
      <c r="A92" s="48" t="s">
        <v>1141</v>
      </c>
      <c r="B92" s="53" t="str">
        <f>HYPERLINK("http://codeforces.com/contest/651/problem/D","CF651-D2-D")</f>
        <v>CF651-D2-D</v>
      </c>
      <c r="C92" s="56"/>
      <c r="D92" s="56"/>
      <c r="E92" s="56"/>
      <c r="F92" s="56"/>
      <c r="G92" s="56"/>
      <c r="H92" s="56"/>
      <c r="I92" s="35">
        <f t="shared" si="0"/>
        <v>0</v>
      </c>
      <c r="J92" s="10"/>
      <c r="K92" s="10"/>
      <c r="M92" s="10"/>
    </row>
    <row r="93" spans="1:13" ht="13.2">
      <c r="A93" s="48" t="s">
        <v>1142</v>
      </c>
      <c r="B93" s="53" t="str">
        <f>HYPERLINK("http://codeforces.com/contest/281/problem/D","CF281-D2-D")</f>
        <v>CF281-D2-D</v>
      </c>
      <c r="C93" s="56"/>
      <c r="D93" s="56"/>
      <c r="E93" s="56"/>
      <c r="F93" s="56"/>
      <c r="G93" s="56"/>
      <c r="H93" s="56"/>
      <c r="I93" s="35">
        <f t="shared" si="0"/>
        <v>0</v>
      </c>
      <c r="J93" s="10"/>
      <c r="K93" s="10"/>
      <c r="M93" s="10"/>
    </row>
    <row r="94" spans="1:13" ht="13.2">
      <c r="A94" s="48" t="s">
        <v>1143</v>
      </c>
      <c r="B94" s="53" t="str">
        <f>HYPERLINK("http://codeforces.com/contest/313/problem/D","CF313-D2-D")</f>
        <v>CF313-D2-D</v>
      </c>
      <c r="C94" s="56"/>
      <c r="D94" s="56"/>
      <c r="E94" s="56"/>
      <c r="F94" s="56"/>
      <c r="G94" s="56"/>
      <c r="H94" s="56"/>
      <c r="I94" s="35">
        <f t="shared" si="0"/>
        <v>0</v>
      </c>
      <c r="J94" s="10"/>
      <c r="K94" s="10"/>
      <c r="M94" s="10"/>
    </row>
    <row r="95" spans="1:13" ht="13.2">
      <c r="A95" s="48" t="s">
        <v>1144</v>
      </c>
      <c r="B95" s="53" t="str">
        <f>HYPERLINK("http://codeforces.com/contest/255/problem/D","CF255-D2-D")</f>
        <v>CF255-D2-D</v>
      </c>
      <c r="C95" s="56"/>
      <c r="D95" s="56"/>
      <c r="E95" s="56"/>
      <c r="F95" s="56"/>
      <c r="G95" s="56"/>
      <c r="H95" s="56"/>
      <c r="I95" s="35">
        <f t="shared" si="0"/>
        <v>0</v>
      </c>
      <c r="J95" s="10"/>
      <c r="K95" s="10"/>
      <c r="M95" s="10"/>
    </row>
    <row r="96" spans="1:13" ht="13.2">
      <c r="A96" s="41" t="s">
        <v>1145</v>
      </c>
      <c r="B96" s="240" t="str">
        <f>HYPERLINK("http://codeforces.com/contest/298/problem/D","CF298-D2-D")</f>
        <v>CF298-D2-D</v>
      </c>
      <c r="C96" s="56"/>
      <c r="D96" s="56"/>
      <c r="E96" s="56"/>
      <c r="F96" s="56"/>
      <c r="G96" s="56"/>
      <c r="H96" s="56"/>
      <c r="I96" s="35">
        <f t="shared" si="0"/>
        <v>0</v>
      </c>
      <c r="J96" s="35"/>
      <c r="K96" s="35"/>
      <c r="M96" s="10"/>
    </row>
    <row r="97" spans="1:13" ht="13.2">
      <c r="A97" s="41" t="s">
        <v>1146</v>
      </c>
      <c r="B97" s="240" t="str">
        <f>HYPERLINK("http://codeforces.com/contest/237/problem/D","CF237-D2-D")</f>
        <v>CF237-D2-D</v>
      </c>
      <c r="C97" s="56"/>
      <c r="D97" s="56"/>
      <c r="E97" s="56"/>
      <c r="F97" s="56"/>
      <c r="G97" s="56"/>
      <c r="H97" s="56"/>
      <c r="I97" s="35">
        <f t="shared" si="0"/>
        <v>0</v>
      </c>
      <c r="J97" s="35"/>
      <c r="K97" s="35"/>
      <c r="M97" s="10"/>
    </row>
    <row r="98" spans="1:13" ht="13.2">
      <c r="A98" s="41" t="s">
        <v>1147</v>
      </c>
      <c r="B98" s="240" t="str">
        <f>HYPERLINK("http://codeforces.com/contest/168/problem/D","CF168-D2-D")</f>
        <v>CF168-D2-D</v>
      </c>
      <c r="C98" s="56"/>
      <c r="D98" s="56"/>
      <c r="E98" s="56"/>
      <c r="F98" s="56"/>
      <c r="G98" s="56"/>
      <c r="H98" s="56"/>
      <c r="I98" s="35">
        <f t="shared" si="0"/>
        <v>0</v>
      </c>
      <c r="J98" s="35"/>
      <c r="K98" s="35"/>
      <c r="M98" s="10"/>
    </row>
    <row r="99" spans="1:13" ht="26.4">
      <c r="A99" s="41"/>
      <c r="B99" s="240" t="str">
        <f>HYPERLINK("https://www.codechef.com/LTIME64B/problems/BJUDGE","CODECHEF BJUDGE")</f>
        <v>CODECHEF BJUDGE</v>
      </c>
      <c r="C99" s="56"/>
      <c r="D99" s="56"/>
      <c r="E99" s="56"/>
      <c r="F99" s="56"/>
      <c r="G99" s="56"/>
      <c r="H99" s="56"/>
      <c r="I99" s="35">
        <f t="shared" si="0"/>
        <v>0</v>
      </c>
      <c r="J99" s="35"/>
      <c r="K99" s="35"/>
      <c r="M99" s="10"/>
    </row>
    <row r="100" spans="1:13" ht="13.2">
      <c r="A100" s="129" t="s">
        <v>1148</v>
      </c>
      <c r="B100" s="190" t="str">
        <f>HYPERLINK("http://codeforces.com/contest/366/problem/C","CF366-D2-C")</f>
        <v>CF366-D2-C</v>
      </c>
      <c r="C100" s="56"/>
      <c r="D100" s="56"/>
      <c r="E100" s="56"/>
      <c r="F100" s="56"/>
      <c r="G100" s="56"/>
      <c r="H100" s="56"/>
      <c r="I100" s="35">
        <f t="shared" si="0"/>
        <v>0</v>
      </c>
      <c r="J100" s="35"/>
      <c r="K100" s="35"/>
      <c r="M100" s="10"/>
    </row>
    <row r="101" spans="1:13" ht="13.2">
      <c r="A101" s="41"/>
      <c r="C101" s="56"/>
      <c r="D101" s="56"/>
      <c r="E101" s="56"/>
      <c r="F101" s="56"/>
      <c r="G101" s="56"/>
      <c r="H101" s="56"/>
      <c r="I101" s="35">
        <f t="shared" si="0"/>
        <v>0</v>
      </c>
      <c r="J101" s="35"/>
      <c r="K101" s="35"/>
      <c r="M101" s="10"/>
    </row>
    <row r="102" spans="1:13" ht="13.2">
      <c r="A102" s="66" t="s">
        <v>1149</v>
      </c>
      <c r="B102" s="249" t="str">
        <f>HYPERLINK("https://uva.onlinejudge.org/index.php?option=com_onlinejudge&amp;Itemid=8&amp;page=show_problem&amp;problem=40","UVA 104")</f>
        <v>UVA 104</v>
      </c>
      <c r="C102" s="56"/>
      <c r="D102" s="56"/>
      <c r="E102" s="56"/>
      <c r="F102" s="56"/>
      <c r="G102" s="56"/>
      <c r="H102" s="56"/>
      <c r="I102" s="35">
        <f t="shared" si="0"/>
        <v>0</v>
      </c>
      <c r="J102" s="10"/>
      <c r="K102" s="10"/>
      <c r="M102" s="109" t="str">
        <f>HYPERLINK("https://github.com/abdullaAshraf/Problem-Solving/blob/master/UVA/104.cpp","Sol")</f>
        <v>Sol</v>
      </c>
    </row>
    <row r="103" spans="1:13" ht="13.2">
      <c r="A103" s="66" t="s">
        <v>1015</v>
      </c>
      <c r="B103" s="194" t="str">
        <f>HYPERLINK("http://codeforces.com/contest/431/problem/D","CF431-D2-D")</f>
        <v>CF431-D2-D</v>
      </c>
      <c r="C103" s="56"/>
      <c r="D103" s="56"/>
      <c r="E103" s="56"/>
      <c r="F103" s="56"/>
      <c r="G103" s="56"/>
      <c r="H103" s="56"/>
      <c r="I103" s="35">
        <f t="shared" si="0"/>
        <v>0</v>
      </c>
      <c r="J103" s="10"/>
      <c r="K103" s="10"/>
    </row>
    <row r="104" spans="1:13" ht="13.2">
      <c r="A104" s="66" t="s">
        <v>1150</v>
      </c>
      <c r="B104" s="127" t="str">
        <f>HYPERLINK("https://uva.onlinejudge.org/index.php?option=onlinejudge&amp;page=show_problem&amp;problem=442","UVA 501")</f>
        <v>UVA 501</v>
      </c>
      <c r="C104" s="56"/>
      <c r="D104" s="56"/>
      <c r="E104" s="56"/>
      <c r="F104" s="56"/>
      <c r="G104" s="56"/>
      <c r="H104" s="56"/>
      <c r="I104" s="35">
        <f t="shared" si="0"/>
        <v>0</v>
      </c>
      <c r="J104" s="10"/>
      <c r="K104" s="10"/>
      <c r="M104" s="109" t="str">
        <f>HYPERLINK("https://github.com/mostafa-saad/MyCompetitiveProgramming/blob/master/UVA/UVA_501.txt","Sol - Must Read")</f>
        <v>Sol - Must Read</v>
      </c>
    </row>
    <row r="105" spans="1:13" ht="13.2">
      <c r="A105" s="66" t="s">
        <v>1151</v>
      </c>
      <c r="B105" s="127" t="str">
        <f>HYPERLINK("https://uva.onlinejudge.org/index.php?option=com_onlinejudge&amp;Itemid=8&amp;page=show_problem&amp;problem=2175","UVA 11234")</f>
        <v>UVA 11234</v>
      </c>
      <c r="C105" s="56"/>
      <c r="D105" s="56"/>
      <c r="E105" s="56"/>
      <c r="F105" s="56"/>
      <c r="G105" s="56"/>
      <c r="H105" s="56"/>
      <c r="I105" s="35">
        <f t="shared" si="0"/>
        <v>0</v>
      </c>
      <c r="J105" s="10"/>
      <c r="K105" s="10"/>
      <c r="M105" s="109" t="str">
        <f>HYPERLINK("https://github.com/AbdelrahmanRamadan/competitive-programming/blob/master/UVA/11234%20-%20Expressions.cpp","Sol")</f>
        <v>Sol</v>
      </c>
    </row>
    <row r="106" spans="1:13" ht="13.2">
      <c r="A106" s="66" t="s">
        <v>1152</v>
      </c>
      <c r="B106" s="127" t="str">
        <f>HYPERLINK("http://www.spoj.com/problems/MSE07E/","SPOJ MSE07E")</f>
        <v>SPOJ MSE07E</v>
      </c>
      <c r="C106" s="56"/>
      <c r="D106" s="56"/>
      <c r="E106" s="56"/>
      <c r="F106" s="56"/>
      <c r="G106" s="56"/>
      <c r="H106" s="56"/>
      <c r="I106" s="35">
        <f t="shared" si="0"/>
        <v>0</v>
      </c>
      <c r="J106" s="10"/>
      <c r="K106" s="10"/>
      <c r="M106" s="109" t="str">
        <f>HYPERLINK("https://github.com/mostafa-saad/MyCompetitiveProgramming/blob/master/SPOJ/SPOJ_MSE07E.txt","Read SPOJ users' comments about IO. See here sol")</f>
        <v>Read SPOJ users' comments about IO. See here sol</v>
      </c>
    </row>
    <row r="107" spans="1:13" ht="13.2">
      <c r="A107" s="250" t="s">
        <v>1153</v>
      </c>
      <c r="B107" s="127" t="str">
        <f>HYPERLINK("http://www.spoj.com/problems/ANARC08A/","SPOJ ANARC08A")</f>
        <v>SPOJ ANARC08A</v>
      </c>
      <c r="C107" s="56"/>
      <c r="D107" s="56"/>
      <c r="E107" s="56"/>
      <c r="F107" s="56"/>
      <c r="G107" s="56"/>
      <c r="H107" s="56"/>
      <c r="I107" s="35">
        <f t="shared" si="0"/>
        <v>0</v>
      </c>
      <c r="J107" s="10"/>
      <c r="K107" s="10"/>
      <c r="M107" s="109" t="str">
        <f>HYPERLINK("https://github.com/mostafa-saad/MyCompetitiveProgramming/blob/master/SPOJ/SPOJ_ANARC08A.txt","Sol")</f>
        <v>Sol</v>
      </c>
    </row>
    <row r="108" spans="1:13" ht="13.2">
      <c r="A108" s="251" t="s">
        <v>1154</v>
      </c>
      <c r="B108" s="242" t="str">
        <f>HYPERLINK("https://uva.onlinejudge.org/index.php?option=com_onlinejudge&amp;Itemid=8&amp;page=show_problem&amp;problem=1360","UVA 10419")</f>
        <v>UVA 10419</v>
      </c>
      <c r="C108" s="56"/>
      <c r="D108" s="56"/>
      <c r="E108" s="56"/>
      <c r="F108" s="56"/>
      <c r="G108" s="56"/>
      <c r="H108" s="56"/>
      <c r="I108" s="35">
        <f t="shared" si="0"/>
        <v>0</v>
      </c>
      <c r="J108" s="35"/>
      <c r="K108" s="35"/>
      <c r="M108" s="109" t="str">
        <f>HYPERLINK("https://github.com/BRAINOOOO/CompetitiveProgramming/blob/master/UVA/V-104/UVA%2010419.Cpp","Sol")</f>
        <v>Sol</v>
      </c>
    </row>
    <row r="109" spans="1:13" ht="13.2">
      <c r="A109" s="252" t="s">
        <v>1155</v>
      </c>
      <c r="B109" s="237" t="str">
        <f>HYPERLINK("http://www.spoj.com/problems/HISTOGRA/","SPOJ HISTOGRA")</f>
        <v>SPOJ HISTOGRA</v>
      </c>
      <c r="C109" s="56"/>
      <c r="D109" s="56"/>
      <c r="E109" s="56"/>
      <c r="F109" s="56"/>
      <c r="G109" s="56"/>
      <c r="H109" s="56"/>
      <c r="I109" s="35">
        <f t="shared" si="0"/>
        <v>0</v>
      </c>
      <c r="J109" s="35"/>
      <c r="K109" s="35"/>
      <c r="M109" s="109" t="str">
        <f>HYPERLINK("https://github.com/mostafa-saad/MyCompetitiveProgramming/blob/master/SPOJ/SPOJ_HISTOGRA.txt","Sol. Don't implement as adhock/greedy/Pure STL. Use a data structure.")</f>
        <v>Sol. Don't implement as adhock/greedy/Pure STL. Use a data structure.</v>
      </c>
    </row>
    <row r="110" spans="1:13" ht="13.2">
      <c r="A110" s="253"/>
      <c r="B110" s="254" t="s">
        <v>1156</v>
      </c>
      <c r="C110" s="56"/>
      <c r="D110" s="56"/>
      <c r="E110" s="56"/>
      <c r="F110" s="56"/>
      <c r="G110" s="56"/>
      <c r="H110" s="56"/>
      <c r="I110" s="35">
        <f t="shared" si="0"/>
        <v>0</v>
      </c>
      <c r="J110" s="35"/>
      <c r="K110" s="35"/>
      <c r="M110" s="109" t="str">
        <f>HYPERLINK("https://github.com/BRAINOOOO/CompetitiveProgramming/blob/master/UVA/V-6/UVA%20663.Cpp","Sol")</f>
        <v>Sol</v>
      </c>
    </row>
    <row r="111" spans="1:13" ht="13.2">
      <c r="A111" s="255" t="str">
        <f>HYPERLINK("https://community.topcoder.com/stat?c=problem_statement&amp;pm=11282&amp;rd=14724","KingdomReorganization")</f>
        <v>KingdomReorganization</v>
      </c>
      <c r="B111" s="252" t="s">
        <v>1157</v>
      </c>
      <c r="C111" s="56"/>
      <c r="D111" s="56"/>
      <c r="E111" s="56"/>
      <c r="F111" s="56"/>
      <c r="G111" s="56"/>
      <c r="H111" s="56"/>
      <c r="I111" s="35">
        <f t="shared" si="0"/>
        <v>0</v>
      </c>
      <c r="J111" s="35"/>
      <c r="K111" s="35"/>
    </row>
    <row r="112" spans="1:13" ht="13.2">
      <c r="A112" s="253" t="s">
        <v>1158</v>
      </c>
      <c r="B112" s="237" t="str">
        <f>HYPERLINK("https://uva.onlinejudge.org/index.php?option=com_onlinejudge&amp;Itemid=8&amp;page=show_problem&amp;problem=1033","UVA 10092")</f>
        <v>UVA 10092</v>
      </c>
      <c r="C112" s="56"/>
      <c r="D112" s="56"/>
      <c r="E112" s="56"/>
      <c r="F112" s="56"/>
      <c r="G112" s="56"/>
      <c r="H112" s="56"/>
      <c r="I112" s="35">
        <f t="shared" si="0"/>
        <v>0</v>
      </c>
      <c r="J112" s="35"/>
      <c r="K112" s="35"/>
    </row>
    <row r="113" spans="1:13" ht="13.2">
      <c r="A113" s="253" t="s">
        <v>1159</v>
      </c>
      <c r="B113" s="237" t="str">
        <f>HYPERLINK("http://www.spoj.com/problems/PSYCHON/","SPOJ PSYCHON")</f>
        <v>SPOJ PSYCHON</v>
      </c>
      <c r="C113" s="56"/>
      <c r="D113" s="56"/>
      <c r="E113" s="56"/>
      <c r="F113" s="56"/>
      <c r="G113" s="56"/>
      <c r="H113" s="56"/>
      <c r="I113" s="35">
        <f t="shared" si="0"/>
        <v>0</v>
      </c>
      <c r="J113" s="35"/>
      <c r="K113" s="35"/>
    </row>
    <row r="114" spans="1:13" ht="13.2">
      <c r="A114" s="253" t="s">
        <v>1160</v>
      </c>
      <c r="B114" s="237" t="str">
        <f>HYPERLINK("https://icpcarchive.ecs.baylor.edu/index.php?option=onlinejudge&amp;page=show_problem&amp;problem=2327","LIVEARCHIVE 4326")</f>
        <v>LIVEARCHIVE 4326</v>
      </c>
      <c r="C114" s="56"/>
      <c r="D114" s="56"/>
      <c r="E114" s="56"/>
      <c r="F114" s="56"/>
      <c r="G114" s="56"/>
      <c r="H114" s="56"/>
      <c r="I114" s="35">
        <f t="shared" si="0"/>
        <v>0</v>
      </c>
      <c r="J114" s="35"/>
      <c r="K114" s="35"/>
    </row>
    <row r="115" spans="1:13" ht="13.2">
      <c r="A115" s="253" t="s">
        <v>1161</v>
      </c>
      <c r="B115" s="237" t="str">
        <f>HYPERLINK("https://uva.onlinejudge.org/index.php?option=com_onlinejudge&amp;Itemid=8&amp;page=show_problem&amp;problem=3675","UVA 1234")</f>
        <v>UVA 1234</v>
      </c>
      <c r="C115" s="56"/>
      <c r="D115" s="56"/>
      <c r="E115" s="56"/>
      <c r="F115" s="56"/>
      <c r="G115" s="56"/>
      <c r="H115" s="56"/>
      <c r="I115" s="35">
        <f t="shared" si="0"/>
        <v>0</v>
      </c>
      <c r="J115" s="35"/>
      <c r="K115" s="35"/>
      <c r="M115" s="109" t="str">
        <f>HYPERLINK("https://github.com/MohamedNabil97/CompetitiveProgramming/tree/master/UVA/1234.cpp","Sol")</f>
        <v>Sol</v>
      </c>
    </row>
    <row r="116" spans="1:13" ht="13.2">
      <c r="A116" s="255" t="str">
        <f>HYPERLINK("https://community.topcoder.com/stat?c=problem_statement&amp;pm=10750&amp;rd=14153","ActivateGame")</f>
        <v>ActivateGame</v>
      </c>
      <c r="B116" s="254" t="s">
        <v>1162</v>
      </c>
      <c r="C116" s="56"/>
      <c r="D116" s="56"/>
      <c r="E116" s="56"/>
      <c r="F116" s="56"/>
      <c r="G116" s="56"/>
      <c r="H116" s="56"/>
      <c r="I116" s="35">
        <f t="shared" si="0"/>
        <v>0</v>
      </c>
      <c r="J116" s="35"/>
      <c r="K116" s="35"/>
    </row>
    <row r="117" spans="1:13" ht="13.2">
      <c r="A117" s="168" t="s">
        <v>1163</v>
      </c>
      <c r="B117" s="186" t="str">
        <f>HYPERLINK("http://codeforces.com/contest/359/problem/D","CF359-D2-D")</f>
        <v>CF359-D2-D</v>
      </c>
      <c r="C117" s="56"/>
      <c r="D117" s="56"/>
      <c r="E117" s="56"/>
      <c r="F117" s="56"/>
      <c r="G117" s="56"/>
      <c r="H117" s="56"/>
      <c r="I117" s="35">
        <f t="shared" si="0"/>
        <v>0</v>
      </c>
      <c r="J117" s="10"/>
      <c r="K117" s="10"/>
      <c r="M117" s="109" t="str">
        <f>HYPERLINK("https://github.com/osamahatem/CompetitiveProgramming/blob/master/Codeforces/359D.%20Pair%20of%20Numbers.cpp","Sol")</f>
        <v>Sol</v>
      </c>
    </row>
    <row r="118" spans="1:13" ht="13.2">
      <c r="A118" s="66" t="s">
        <v>1164</v>
      </c>
      <c r="B118" s="66" t="s">
        <v>1165</v>
      </c>
      <c r="C118" s="56"/>
      <c r="D118" s="56"/>
      <c r="E118" s="56"/>
      <c r="F118" s="56"/>
      <c r="G118" s="56"/>
      <c r="H118" s="56"/>
      <c r="I118" s="35">
        <f t="shared" si="0"/>
        <v>0</v>
      </c>
      <c r="J118" s="10"/>
      <c r="K118" s="10"/>
    </row>
    <row r="119" spans="1:13" ht="13.2">
      <c r="A119" s="66" t="s">
        <v>1166</v>
      </c>
      <c r="B119" s="187" t="str">
        <f>HYPERLINK("https://uva.onlinejudge.org/index.php?option=onlinejudge&amp;page=show_problem&amp;problem=2321","UVa 11346")</f>
        <v>UVa 11346</v>
      </c>
      <c r="C119" s="56"/>
      <c r="D119" s="56"/>
      <c r="E119" s="56"/>
      <c r="F119" s="56"/>
      <c r="G119" s="56"/>
      <c r="H119" s="56"/>
      <c r="I119" s="35">
        <f t="shared" si="0"/>
        <v>0</v>
      </c>
      <c r="J119" s="10"/>
      <c r="K119" s="10"/>
      <c r="L119" s="10"/>
      <c r="M119" s="109" t="str">
        <f>HYPERLINK("https://github.com/VAMPIER000001/CompetitiveProgramming/blob/master/UVA/V-113/UVA%2011346.cpp","Sol")</f>
        <v>Sol</v>
      </c>
    </row>
    <row r="120" spans="1:13" ht="13.2">
      <c r="A120" s="66"/>
      <c r="B120" s="66" t="s">
        <v>1167</v>
      </c>
      <c r="C120" s="56"/>
      <c r="D120" s="56"/>
      <c r="E120" s="56"/>
      <c r="F120" s="56"/>
      <c r="G120" s="56"/>
      <c r="H120" s="56"/>
      <c r="I120" s="35">
        <f t="shared" si="0"/>
        <v>0</v>
      </c>
      <c r="J120" s="10"/>
      <c r="K120" s="10"/>
      <c r="L120" s="10"/>
      <c r="M120" s="28"/>
    </row>
    <row r="121" spans="1:13" ht="13.2">
      <c r="A121" s="66"/>
      <c r="B121" s="66" t="s">
        <v>1139</v>
      </c>
      <c r="C121" s="56"/>
      <c r="D121" s="56"/>
      <c r="E121" s="56"/>
      <c r="F121" s="56"/>
      <c r="G121" s="56"/>
      <c r="H121" s="56"/>
      <c r="I121" s="35">
        <f t="shared" si="0"/>
        <v>0</v>
      </c>
      <c r="J121" s="10"/>
      <c r="K121" s="10"/>
      <c r="L121" s="10"/>
      <c r="M121" s="109" t="str">
        <f>HYPERLINK("https://ideone.com/Hkl19P","Sol")</f>
        <v>Sol</v>
      </c>
    </row>
    <row r="122" spans="1:13" ht="13.2">
      <c r="A122" s="66"/>
      <c r="B122" s="187" t="str">
        <f>HYPERLINK("http://codeforces.com/contest/592/problem/D","CF592-D2-D")</f>
        <v>CF592-D2-D</v>
      </c>
      <c r="C122" s="56"/>
      <c r="D122" s="56"/>
      <c r="E122" s="56"/>
      <c r="F122" s="56"/>
      <c r="G122" s="56"/>
      <c r="H122" s="56"/>
      <c r="I122" s="35">
        <f t="shared" si="0"/>
        <v>0</v>
      </c>
      <c r="J122" s="10"/>
      <c r="K122" s="10"/>
      <c r="L122" s="10"/>
    </row>
    <row r="123" spans="1:13" ht="13.2">
      <c r="A123" s="66"/>
      <c r="B123" s="66" t="s">
        <v>1168</v>
      </c>
      <c r="C123" s="56"/>
      <c r="D123" s="56"/>
      <c r="E123" s="56"/>
      <c r="F123" s="56"/>
      <c r="G123" s="56"/>
      <c r="H123" s="56"/>
      <c r="I123" s="35">
        <f t="shared" si="0"/>
        <v>0</v>
      </c>
      <c r="J123" s="10"/>
      <c r="K123" s="10"/>
      <c r="L123" s="10"/>
      <c r="M123" s="109" t="str">
        <f>HYPERLINK("https://github.com/mostafa-saad/MyCompetitiveProgramming/blob/master/UVA/UVA_1218.txt","Sol")</f>
        <v>Sol</v>
      </c>
    </row>
    <row r="124" spans="1:13" ht="13.2">
      <c r="A124" s="66"/>
      <c r="B124" s="66" t="s">
        <v>1169</v>
      </c>
      <c r="C124" s="56"/>
      <c r="D124" s="56"/>
      <c r="E124" s="56"/>
      <c r="F124" s="56"/>
      <c r="G124" s="56"/>
      <c r="H124" s="56"/>
      <c r="I124" s="35">
        <f t="shared" si="0"/>
        <v>0</v>
      </c>
      <c r="J124" s="10"/>
      <c r="K124" s="10"/>
      <c r="L124" s="10"/>
      <c r="M124" s="109" t="str">
        <f>HYPERLINK("https://github.com/mostafa-saad/MyCompetitiveProgramming/blob/master/SPOJ/SPOJ_IOPC1207.txt","Sol")</f>
        <v>Sol</v>
      </c>
    </row>
    <row r="125" spans="1:13" ht="13.2">
      <c r="A125" s="66"/>
      <c r="B125" s="187" t="str">
        <f>HYPERLINK("https://codeforces.com/contest/867/problem/E","CF867-D12-E")</f>
        <v>CF867-D12-E</v>
      </c>
      <c r="C125" s="56"/>
      <c r="D125" s="56"/>
      <c r="E125" s="56"/>
      <c r="F125" s="56"/>
      <c r="G125" s="56"/>
      <c r="H125" s="56"/>
      <c r="I125" s="35">
        <f t="shared" si="0"/>
        <v>0</v>
      </c>
      <c r="J125" s="10"/>
      <c r="K125" s="10"/>
      <c r="L125" s="10"/>
    </row>
    <row r="126" spans="1:13" ht="13.2">
      <c r="A126" s="41"/>
      <c r="C126" s="56"/>
      <c r="D126" s="56"/>
      <c r="E126" s="56"/>
      <c r="F126" s="56"/>
      <c r="G126" s="56"/>
      <c r="H126" s="56"/>
      <c r="I126" s="35">
        <f t="shared" si="0"/>
        <v>0</v>
      </c>
      <c r="J126" s="35"/>
      <c r="K126" s="35"/>
      <c r="L126" s="10"/>
    </row>
    <row r="127" spans="1:13" ht="13.2">
      <c r="A127" s="48" t="s">
        <v>1170</v>
      </c>
      <c r="B127" s="91" t="str">
        <f>HYPERLINK("http://codeforces.com/contest/189/problem/D","CF189-D2-D")</f>
        <v>CF189-D2-D</v>
      </c>
      <c r="C127" s="56"/>
      <c r="D127" s="56"/>
      <c r="E127" s="56"/>
      <c r="F127" s="56"/>
      <c r="G127" s="56"/>
      <c r="H127" s="56"/>
      <c r="I127" s="35">
        <f t="shared" si="0"/>
        <v>0</v>
      </c>
      <c r="J127" s="10"/>
      <c r="K127" s="10"/>
      <c r="M127" s="109" t="str">
        <f>HYPERLINK("https://github.com/OmarMekkawy/Problems-Solved-Codes/blob/master/CodeForces/189D.cpp","Sol")</f>
        <v>Sol</v>
      </c>
    </row>
    <row r="128" spans="1:13" ht="13.2">
      <c r="A128" s="48" t="s">
        <v>1171</v>
      </c>
      <c r="B128" s="91" t="str">
        <f>HYPERLINK("http://codeforces.com/contest/604/problem/D","CF604-D2-D")</f>
        <v>CF604-D2-D</v>
      </c>
      <c r="C128" s="56"/>
      <c r="D128" s="56"/>
      <c r="E128" s="56"/>
      <c r="F128" s="56"/>
      <c r="G128" s="56"/>
      <c r="H128" s="56"/>
      <c r="I128" s="35">
        <f t="shared" si="0"/>
        <v>0</v>
      </c>
      <c r="J128" s="10"/>
      <c r="K128" s="10"/>
      <c r="M128" s="109" t="str">
        <f>HYPERLINK("https://github.com/MohamedNabil97/CompetitiveProgramming/blob/master/CodeForces/CF604-D2-D.cpp","Sol")</f>
        <v>Sol</v>
      </c>
    </row>
    <row r="129" spans="1:13" ht="13.2">
      <c r="A129" s="41" t="s">
        <v>1172</v>
      </c>
      <c r="B129" s="240" t="str">
        <f>HYPERLINK("http://codeforces.com/contest/122/problem/D","CF122-D2-D")</f>
        <v>CF122-D2-D</v>
      </c>
      <c r="C129" s="56"/>
      <c r="D129" s="56"/>
      <c r="E129" s="56"/>
      <c r="F129" s="56"/>
      <c r="G129" s="56"/>
      <c r="H129" s="56"/>
      <c r="I129" s="35">
        <f t="shared" si="0"/>
        <v>0</v>
      </c>
      <c r="J129" s="35"/>
      <c r="K129" s="35"/>
    </row>
    <row r="130" spans="1:13" ht="13.2">
      <c r="A130" s="41" t="s">
        <v>1173</v>
      </c>
      <c r="B130" s="240" t="str">
        <f>HYPERLINK("http://codeforces.com/contest/239/problem/D","CF239-D2-D")</f>
        <v>CF239-D2-D</v>
      </c>
      <c r="C130" s="56"/>
      <c r="D130" s="56"/>
      <c r="E130" s="56"/>
      <c r="F130" s="56"/>
      <c r="G130" s="56"/>
      <c r="H130" s="56"/>
      <c r="I130" s="35">
        <f t="shared" si="0"/>
        <v>0</v>
      </c>
      <c r="J130" s="35"/>
      <c r="K130" s="35"/>
      <c r="M130" s="109" t="str">
        <f>HYPERLINK("https://github.com/MedoN11/CompetitiveProgramming/blob/master/CodeForces/CF239-D2-D.java","Sol. Find proof (See editorial comments)")</f>
        <v>Sol. Find proof (See editorial comments)</v>
      </c>
    </row>
    <row r="131" spans="1:13" ht="13.2">
      <c r="A131" s="48" t="s">
        <v>1174</v>
      </c>
      <c r="B131" s="53" t="str">
        <f>HYPERLINK("http://codeforces.com/contest/599/problem/D","CF599-D2-D")</f>
        <v>CF599-D2-D</v>
      </c>
      <c r="C131" s="56"/>
      <c r="D131" s="56"/>
      <c r="E131" s="56"/>
      <c r="F131" s="56"/>
      <c r="G131" s="56"/>
      <c r="H131" s="56"/>
      <c r="I131" s="35">
        <f t="shared" si="0"/>
        <v>0</v>
      </c>
      <c r="J131" s="10"/>
      <c r="K131" s="10"/>
    </row>
    <row r="132" spans="1:13" ht="13.2">
      <c r="A132" s="48" t="s">
        <v>1175</v>
      </c>
      <c r="B132" s="91" t="str">
        <f>HYPERLINK("http://codeforces.com/contest/9/problem/D","CF9-D2-D")</f>
        <v>CF9-D2-D</v>
      </c>
      <c r="C132" s="56"/>
      <c r="D132" s="56"/>
      <c r="E132" s="56"/>
      <c r="F132" s="56"/>
      <c r="G132" s="56"/>
      <c r="H132" s="56"/>
      <c r="I132" s="35">
        <f t="shared" si="0"/>
        <v>0</v>
      </c>
      <c r="J132" s="10"/>
      <c r="K132" s="10"/>
    </row>
    <row r="133" spans="1:13" ht="13.2">
      <c r="A133" s="48"/>
      <c r="B133" s="91" t="str">
        <f>HYPERLINK("http://codeforces.com/contest/1043/problem/E","CF1043-D12-E")</f>
        <v>CF1043-D12-E</v>
      </c>
      <c r="C133" s="56"/>
      <c r="D133" s="56"/>
      <c r="E133" s="56"/>
      <c r="F133" s="56"/>
      <c r="G133" s="56"/>
      <c r="H133" s="56"/>
      <c r="I133" s="35">
        <f t="shared" si="0"/>
        <v>0</v>
      </c>
      <c r="J133" s="10"/>
      <c r="K133" s="10"/>
    </row>
    <row r="134" spans="1:13" ht="13.2">
      <c r="A134" s="48"/>
      <c r="B134" s="48" t="s">
        <v>1176</v>
      </c>
      <c r="C134" s="56"/>
      <c r="D134" s="56"/>
      <c r="E134" s="56"/>
      <c r="F134" s="56"/>
      <c r="G134" s="56"/>
      <c r="H134" s="56"/>
      <c r="I134" s="35">
        <f t="shared" si="0"/>
        <v>0</v>
      </c>
      <c r="J134" s="10"/>
      <c r="K134" s="10"/>
      <c r="M134" s="109" t="str">
        <f>HYPERLINK("https://github.com/jebouin/CompetitiveProgramming/blob/master/UVA/UVA%2010982.cpp","Sol")</f>
        <v>Sol</v>
      </c>
    </row>
    <row r="135" spans="1:13" ht="13.2">
      <c r="A135" s="48"/>
      <c r="B135" s="91" t="str">
        <f>HYPERLINK("https://codeforces.com/contest/1060/problem/D","CF1060-D12-D")</f>
        <v>CF1060-D12-D</v>
      </c>
      <c r="C135" s="56"/>
      <c r="D135" s="56"/>
      <c r="E135" s="56"/>
      <c r="F135" s="56"/>
      <c r="G135" s="56"/>
      <c r="H135" s="56"/>
      <c r="I135" s="35">
        <f t="shared" si="0"/>
        <v>0</v>
      </c>
      <c r="J135" s="10"/>
      <c r="K135" s="10"/>
    </row>
    <row r="136" spans="1:13" ht="13.2">
      <c r="A136" s="129" t="s">
        <v>1177</v>
      </c>
      <c r="B136" s="190" t="str">
        <f>HYPERLINK("http://codeforces.com/contest/104/problem/C","CF104-D2-C")</f>
        <v>CF104-D2-C</v>
      </c>
      <c r="C136" s="56"/>
      <c r="D136" s="56"/>
      <c r="E136" s="56"/>
      <c r="F136" s="56"/>
      <c r="G136" s="56"/>
      <c r="H136" s="56"/>
      <c r="I136" s="35">
        <f t="shared" si="0"/>
        <v>0</v>
      </c>
      <c r="J136" s="10"/>
      <c r="K136" s="10"/>
    </row>
    <row r="137" spans="1:13" ht="13.2">
      <c r="A137" s="129" t="s">
        <v>1178</v>
      </c>
      <c r="B137" s="190" t="str">
        <f>HYPERLINK("http://codeforces.com/contest/508/problem/C","CF508-D2-C")</f>
        <v>CF508-D2-C</v>
      </c>
      <c r="C137" s="56"/>
      <c r="D137" s="56"/>
      <c r="E137" s="56"/>
      <c r="F137" s="56"/>
      <c r="G137" s="56"/>
      <c r="H137" s="56"/>
      <c r="I137" s="35">
        <f t="shared" si="0"/>
        <v>0</v>
      </c>
      <c r="J137" s="10"/>
      <c r="K137" s="10"/>
    </row>
    <row r="138" spans="1:13" ht="13.2">
      <c r="A138" s="129" t="s">
        <v>1179</v>
      </c>
      <c r="B138" s="145" t="str">
        <f>HYPERLINK("http://codeforces.com/contest/895/problem/C","CF448-D2-C")</f>
        <v>CF448-D2-C</v>
      </c>
      <c r="C138" s="56"/>
      <c r="D138" s="56"/>
      <c r="E138" s="56"/>
      <c r="F138" s="56"/>
      <c r="G138" s="56"/>
      <c r="H138" s="56"/>
      <c r="I138" s="35">
        <f t="shared" si="0"/>
        <v>0</v>
      </c>
      <c r="J138" s="10"/>
      <c r="K138" s="10"/>
    </row>
    <row r="139" spans="1:13" ht="13.2">
      <c r="A139" s="41"/>
      <c r="C139" s="56"/>
      <c r="D139" s="56"/>
      <c r="E139" s="56"/>
      <c r="F139" s="56"/>
      <c r="G139" s="56"/>
      <c r="H139" s="56"/>
      <c r="I139" s="35">
        <f t="shared" si="0"/>
        <v>0</v>
      </c>
      <c r="J139" s="35"/>
      <c r="K139" s="35"/>
    </row>
    <row r="140" spans="1:13" ht="13.2">
      <c r="A140" s="168" t="s">
        <v>1180</v>
      </c>
      <c r="B140" s="237" t="str">
        <f>HYPERLINK("https://uva.onlinejudge.org/index.php?option=onlinejudge&amp;page=show_problem&amp;problem=2501","UVA 11506")</f>
        <v>UVA 11506</v>
      </c>
      <c r="C140" s="56"/>
      <c r="D140" s="56"/>
      <c r="E140" s="56"/>
      <c r="F140" s="56"/>
      <c r="G140" s="56"/>
      <c r="H140" s="56"/>
      <c r="I140" s="35">
        <f t="shared" si="0"/>
        <v>0</v>
      </c>
      <c r="J140" s="35"/>
      <c r="K140" s="35"/>
      <c r="M140" s="109" t="str">
        <f>HYPERLINK("https://github.com/abdullaAshraf/Problem-Solving/blob/master/UVA/11506.cpp","Sol")</f>
        <v>Sol</v>
      </c>
    </row>
    <row r="141" spans="1:13" ht="13.2">
      <c r="A141" s="184" t="s">
        <v>1181</v>
      </c>
      <c r="B141" s="237" t="str">
        <f>HYPERLINK("https://uva.onlinejudge.org/index.php?option=com_onlinejudge&amp;Itemid=8&amp;page=show_problem&amp;problem=1683","UVA 10742")</f>
        <v>UVA 10742</v>
      </c>
      <c r="C141" s="56"/>
      <c r="D141" s="56"/>
      <c r="E141" s="56"/>
      <c r="F141" s="56"/>
      <c r="G141" s="56"/>
      <c r="H141" s="56"/>
      <c r="I141" s="35">
        <f t="shared" si="0"/>
        <v>0</v>
      </c>
      <c r="J141" s="35"/>
      <c r="K141" s="35"/>
      <c r="M141" s="109" t="str">
        <f>HYPERLINK("https://github.com/abdullaAshraf/Problem-Solving/blob/master/UVA/10742.cpp","Sol")</f>
        <v>Sol</v>
      </c>
    </row>
    <row r="142" spans="1:13" ht="13.2">
      <c r="A142" s="66" t="s">
        <v>1182</v>
      </c>
      <c r="B142" s="127" t="str">
        <f>HYPERLINK("http://www.spoj.com/problems/MULTQ3/","SPOJ MULTQ3")</f>
        <v>SPOJ MULTQ3</v>
      </c>
      <c r="C142" s="56"/>
      <c r="D142" s="56"/>
      <c r="E142" s="56"/>
      <c r="F142" s="56"/>
      <c r="G142" s="56"/>
      <c r="H142" s="56"/>
      <c r="I142" s="35">
        <f t="shared" si="0"/>
        <v>0</v>
      </c>
      <c r="J142" s="10"/>
      <c r="K142" s="10"/>
      <c r="M142" s="109" t="str">
        <f>HYPERLINK("https://github.com/BRAINOOOO/CompetitiveProgramming/blob/master/Spoj/SPOJ%20MULTQ3.Cpp","Sol")</f>
        <v>Sol</v>
      </c>
    </row>
    <row r="143" spans="1:13" ht="13.2">
      <c r="A143" s="255" t="str">
        <f>HYPERLINK("https://community.topcoder.com/stat?c=problem_statement&amp;pm=11049&amp;rd=14245","TimeTravellingSalesman")</f>
        <v>TimeTravellingSalesman</v>
      </c>
      <c r="B143" s="254" t="s">
        <v>1183</v>
      </c>
      <c r="C143" s="56"/>
      <c r="D143" s="56"/>
      <c r="E143" s="56"/>
      <c r="F143" s="56"/>
      <c r="G143" s="56"/>
      <c r="H143" s="56"/>
      <c r="I143" s="35">
        <f t="shared" si="0"/>
        <v>0</v>
      </c>
      <c r="J143" s="35"/>
      <c r="K143" s="35"/>
    </row>
    <row r="144" spans="1:13" ht="13.2">
      <c r="A144" s="184" t="s">
        <v>1184</v>
      </c>
      <c r="B144" s="237" t="str">
        <f>HYPERLINK("https://uva.onlinejudge.org/index.php?option=com_onlinejudge&amp;Itemid=8&amp;page=show_problem&amp;problem=3277","UVA 12125")</f>
        <v>UVA 12125</v>
      </c>
      <c r="C144" s="56"/>
      <c r="D144" s="56"/>
      <c r="E144" s="56"/>
      <c r="F144" s="56"/>
      <c r="G144" s="56"/>
      <c r="H144" s="56"/>
      <c r="I144" s="35">
        <f t="shared" si="0"/>
        <v>0</v>
      </c>
      <c r="J144" s="35"/>
      <c r="K144" s="35"/>
      <c r="M144" s="109" t="str">
        <f>HYPERLINK("https://github.com/mostafa-saad/MyCompetitiveProgramming/blob/master/UVA/UVA_12125.txt","Sol")</f>
        <v>Sol</v>
      </c>
    </row>
    <row r="145" spans="1:13" ht="13.2">
      <c r="A145" s="256" t="str">
        <f>HYPERLINK("https://community.topcoder.com/stat?c=problem_statement&amp;pm=10580","PeopleYouMayKnow")</f>
        <v>PeopleYouMayKnow</v>
      </c>
      <c r="B145" s="254" t="s">
        <v>1185</v>
      </c>
      <c r="C145" s="56"/>
      <c r="D145" s="56"/>
      <c r="E145" s="56"/>
      <c r="F145" s="56"/>
      <c r="G145" s="56"/>
      <c r="H145" s="56"/>
      <c r="I145" s="35">
        <f t="shared" si="0"/>
        <v>0</v>
      </c>
      <c r="J145" s="35"/>
      <c r="K145" s="35"/>
      <c r="M145" s="126" t="str">
        <f>HYPERLINK("https://github.com/MohamedNabil97/CompetitiveProgramming/blob/master/TopCoder/SRM447-D1-500.cpp","Don't use DP. Check it later in editorial. Sol")</f>
        <v>Don't use DP. Check it later in editorial. Sol</v>
      </c>
    </row>
    <row r="146" spans="1:13" ht="13.2">
      <c r="A146" s="184" t="s">
        <v>1186</v>
      </c>
      <c r="B146" s="237" t="str">
        <f>HYPERLINK("https://uva.onlinejudge.org/index.php?option=com_onlinejudge&amp;Itemid=8&amp;page=show_problem&amp;problem=1519","UVA 10578")</f>
        <v>UVA 10578</v>
      </c>
      <c r="C146" s="56"/>
      <c r="D146" s="56"/>
      <c r="E146" s="56"/>
      <c r="F146" s="56"/>
      <c r="G146" s="56"/>
      <c r="H146" s="56"/>
      <c r="I146" s="35">
        <f t="shared" si="0"/>
        <v>0</v>
      </c>
      <c r="J146" s="35"/>
      <c r="K146" s="35"/>
      <c r="M146" s="126" t="str">
        <f>HYPERLINK("https://github.com/abdullaAshraf/Problem-Solving/blob/master/UVA/10578.cpp","Sol")</f>
        <v>Sol</v>
      </c>
    </row>
    <row r="147" spans="1:13" ht="13.2">
      <c r="A147" s="184" t="s">
        <v>1187</v>
      </c>
      <c r="B147" s="237" t="str">
        <f>HYPERLINK("http://www.spoj.com/problems/GSS4","SPOJ GSS4")</f>
        <v>SPOJ GSS4</v>
      </c>
      <c r="C147" s="56"/>
      <c r="D147" s="56"/>
      <c r="E147" s="56"/>
      <c r="F147" s="56"/>
      <c r="G147" s="56"/>
      <c r="H147" s="56"/>
      <c r="I147" s="35">
        <f t="shared" si="0"/>
        <v>0</v>
      </c>
      <c r="J147" s="35"/>
      <c r="K147" s="35"/>
      <c r="M147" s="126" t="str">
        <f>HYPERLINK("https://github.com/abdullaAshraf/Problem-Solving/blob/master/SPOJ/GSS4.cpp","Sol")</f>
        <v>Sol</v>
      </c>
    </row>
    <row r="148" spans="1:13" ht="13.2">
      <c r="A148" s="184" t="s">
        <v>1188</v>
      </c>
      <c r="B148" s="237" t="str">
        <f>HYPERLINK("acm.tju.edu.cn/toj/showp1011.html","TJU 1011")</f>
        <v>TJU 1011</v>
      </c>
      <c r="C148" s="56"/>
      <c r="D148" s="56"/>
      <c r="E148" s="56"/>
      <c r="F148" s="56"/>
      <c r="G148" s="56"/>
      <c r="H148" s="56"/>
      <c r="I148" s="35">
        <f t="shared" si="0"/>
        <v>0</v>
      </c>
      <c r="J148" s="35"/>
      <c r="K148" s="35"/>
      <c r="M148" s="126" t="str">
        <f>HYPERLINK("https://github.com/MedoN11/CompetitiveProgramming/blob/master/TJU/1011.cpp","Sol")</f>
        <v>Sol</v>
      </c>
    </row>
    <row r="149" spans="1:13" ht="13.2">
      <c r="A149" s="184" t="s">
        <v>1189</v>
      </c>
      <c r="B149" s="237" t="str">
        <f>HYPERLINK("http://codeforces.com/contest/801/problem/D","CF801-D2-D")</f>
        <v>CF801-D2-D</v>
      </c>
      <c r="C149" s="56"/>
      <c r="D149" s="56"/>
      <c r="E149" s="56"/>
      <c r="F149" s="56"/>
      <c r="G149" s="56"/>
      <c r="H149" s="56"/>
      <c r="I149" s="35">
        <f t="shared" si="0"/>
        <v>0</v>
      </c>
      <c r="J149" s="35"/>
      <c r="K149" s="35"/>
      <c r="L149" s="110"/>
      <c r="M149" s="148" t="str">
        <f>HYPERLINK("https://github.com/MeGaCrazy/CompetitiveProgramming/blob/ff934b5231a55818d401805db5e0caa0720a1fa4/Codeforces/CF801-D2-D.cpp","Sol")</f>
        <v>Sol</v>
      </c>
    </row>
    <row r="150" spans="1:13" ht="13.2">
      <c r="A150" s="184" t="s">
        <v>1190</v>
      </c>
      <c r="B150" s="257" t="str">
        <f>HYPERLINK("https://uva.onlinejudge.org/index.php?option=onlinejudge&amp;page=show_problem&amp;problem=1928","UVA 10987")</f>
        <v>UVA 10987</v>
      </c>
      <c r="C150" s="56"/>
      <c r="D150" s="56"/>
      <c r="E150" s="56"/>
      <c r="F150" s="56"/>
      <c r="G150" s="56"/>
      <c r="H150" s="56"/>
      <c r="I150" s="35">
        <f t="shared" si="0"/>
        <v>0</v>
      </c>
      <c r="J150" s="10"/>
      <c r="K150" s="10"/>
      <c r="M150" s="126" t="str">
        <f>HYPERLINK("https://github.com/abdullaAshraf/Problem-Solving/blob/master/UVA/10987.cpp","Sol")</f>
        <v>Sol</v>
      </c>
    </row>
    <row r="151" spans="1:13" ht="13.2">
      <c r="A151" s="66" t="s">
        <v>1191</v>
      </c>
      <c r="B151" s="194" t="str">
        <f>HYPERLINK("http://codeforces.com/contest/631/problem/D","CF631-D2-D")</f>
        <v>CF631-D2-D</v>
      </c>
      <c r="C151" s="56"/>
      <c r="D151" s="56"/>
      <c r="E151" s="56"/>
      <c r="F151" s="56"/>
      <c r="G151" s="56"/>
      <c r="H151" s="56"/>
      <c r="I151" s="35">
        <f t="shared" si="0"/>
        <v>0</v>
      </c>
      <c r="J151" s="10"/>
      <c r="K151" s="10"/>
      <c r="L151" s="10"/>
      <c r="M151" s="10"/>
    </row>
    <row r="152" spans="1:13" ht="13.2">
      <c r="A152" s="66"/>
      <c r="B152" s="66" t="s">
        <v>1192</v>
      </c>
      <c r="C152" s="56"/>
      <c r="D152" s="56"/>
      <c r="E152" s="56"/>
      <c r="F152" s="56"/>
      <c r="G152" s="56"/>
      <c r="H152" s="56"/>
      <c r="I152" s="35">
        <f t="shared" si="0"/>
        <v>0</v>
      </c>
      <c r="J152" s="10"/>
      <c r="K152" s="10"/>
      <c r="L152" s="10"/>
      <c r="M152" s="10"/>
    </row>
    <row r="153" spans="1:13" ht="13.2">
      <c r="A153" s="66"/>
      <c r="B153" s="66" t="s">
        <v>1193</v>
      </c>
      <c r="C153" s="56"/>
      <c r="D153" s="56"/>
      <c r="E153" s="56"/>
      <c r="F153" s="56"/>
      <c r="G153" s="56"/>
      <c r="H153" s="56"/>
      <c r="I153" s="35">
        <f t="shared" si="0"/>
        <v>0</v>
      </c>
      <c r="J153" s="10"/>
      <c r="K153" s="10"/>
      <c r="L153" s="10"/>
      <c r="M153" s="10"/>
    </row>
    <row r="154" spans="1:13" ht="13.2">
      <c r="A154" s="66"/>
      <c r="B154" s="194" t="str">
        <f>HYPERLINK("http://codeforces.com/contest/280/problem/C","CF280-D1-C")</f>
        <v>CF280-D1-C</v>
      </c>
      <c r="C154" s="56"/>
      <c r="D154" s="56"/>
      <c r="E154" s="56"/>
      <c r="F154" s="56"/>
      <c r="G154" s="56"/>
      <c r="H154" s="56"/>
      <c r="I154" s="35">
        <f t="shared" si="0"/>
        <v>0</v>
      </c>
      <c r="J154" s="10"/>
      <c r="K154" s="10"/>
      <c r="L154" s="10"/>
      <c r="M154" s="10"/>
    </row>
    <row r="155" spans="1:13" ht="13.2">
      <c r="A155" s="66"/>
      <c r="B155" s="194" t="str">
        <f>HYPERLINK("http://codeforces.com/contest/110/problem/D","CF110-D2-D")</f>
        <v>CF110-D2-D</v>
      </c>
      <c r="C155" s="56"/>
      <c r="D155" s="56"/>
      <c r="E155" s="56"/>
      <c r="F155" s="56"/>
      <c r="G155" s="56"/>
      <c r="H155" s="56"/>
      <c r="I155" s="35">
        <f t="shared" si="0"/>
        <v>0</v>
      </c>
      <c r="J155" s="10"/>
      <c r="K155" s="10"/>
      <c r="L155" s="10"/>
      <c r="M155" s="10"/>
    </row>
    <row r="156" spans="1:13" ht="13.2">
      <c r="A156" s="66"/>
      <c r="B156" s="194" t="str">
        <f>HYPERLINK("http://codeforces.com/contest/163/problem/C","CF163-D12-C")</f>
        <v>CF163-D12-C</v>
      </c>
      <c r="C156" s="56"/>
      <c r="D156" s="56"/>
      <c r="E156" s="56"/>
      <c r="F156" s="56"/>
      <c r="G156" s="56"/>
      <c r="H156" s="56"/>
      <c r="I156" s="35">
        <f t="shared" si="0"/>
        <v>0</v>
      </c>
      <c r="J156" s="10"/>
      <c r="K156" s="10"/>
      <c r="L156" s="10"/>
      <c r="M156" s="10"/>
    </row>
    <row r="157" spans="1:13" ht="13.2">
      <c r="A157" s="66"/>
      <c r="B157" s="194" t="str">
        <f>HYPERLINK("http://codeforces.com/contest/455/problem/B","CF455-D1-B")</f>
        <v>CF455-D1-B</v>
      </c>
      <c r="C157" s="56"/>
      <c r="D157" s="56"/>
      <c r="E157" s="56"/>
      <c r="F157" s="56"/>
      <c r="G157" s="56"/>
      <c r="H157" s="56"/>
      <c r="I157" s="35">
        <f t="shared" si="0"/>
        <v>0</v>
      </c>
      <c r="J157" s="10"/>
      <c r="K157" s="10"/>
      <c r="L157" s="10"/>
      <c r="M157" s="10"/>
    </row>
    <row r="158" spans="1:13" ht="13.2">
      <c r="A158" s="41"/>
      <c r="C158" s="56"/>
      <c r="D158" s="56"/>
      <c r="E158" s="56"/>
      <c r="F158" s="56"/>
      <c r="G158" s="56"/>
      <c r="H158" s="56"/>
      <c r="I158" s="35">
        <f t="shared" si="0"/>
        <v>0</v>
      </c>
      <c r="J158" s="35"/>
      <c r="K158" s="35"/>
      <c r="L158" s="10"/>
      <c r="M158" s="48"/>
    </row>
    <row r="159" spans="1:13" ht="13.2">
      <c r="A159" s="41" t="s">
        <v>1194</v>
      </c>
      <c r="B159" s="240" t="str">
        <f>HYPERLINK("http://codeforces.com/contest/197/problem/D","CF197-D2-D")</f>
        <v>CF197-D2-D</v>
      </c>
      <c r="C159" s="56"/>
      <c r="D159" s="56"/>
      <c r="E159" s="56"/>
      <c r="F159" s="56"/>
      <c r="G159" s="56"/>
      <c r="H159" s="56"/>
      <c r="I159" s="35">
        <f t="shared" si="0"/>
        <v>0</v>
      </c>
      <c r="J159" s="35"/>
      <c r="K159" s="35"/>
      <c r="L159" s="10"/>
      <c r="M159" s="48"/>
    </row>
    <row r="160" spans="1:13" ht="13.2">
      <c r="A160" s="41" t="s">
        <v>1195</v>
      </c>
      <c r="B160" s="240" t="str">
        <f>HYPERLINK("http://codeforces.com/contest/352/problem/D","CF352-D2-D")</f>
        <v>CF352-D2-D</v>
      </c>
      <c r="C160" s="56"/>
      <c r="D160" s="56"/>
      <c r="E160" s="56"/>
      <c r="F160" s="56"/>
      <c r="G160" s="56"/>
      <c r="H160" s="56"/>
      <c r="I160" s="35">
        <f t="shared" si="0"/>
        <v>0</v>
      </c>
      <c r="J160" s="35"/>
      <c r="K160" s="35"/>
      <c r="L160" s="10"/>
      <c r="M160" s="126" t="str">
        <f>HYPERLINK("https://github.com/BRAINOOOO/CompetitiveProgramming/blob/0577cb43f4a000eca9870ccc375c95381224aed1/CF/CF352-D2-D","Sol")</f>
        <v>Sol</v>
      </c>
    </row>
    <row r="161" spans="1:13" ht="13.2">
      <c r="A161" s="41" t="s">
        <v>1196</v>
      </c>
      <c r="B161" s="258" t="str">
        <f>HYPERLINK("http://codeforces.com/contest/812/problem/D","CF812-D2-D")</f>
        <v>CF812-D2-D</v>
      </c>
      <c r="C161" s="56"/>
      <c r="D161" s="56"/>
      <c r="E161" s="56"/>
      <c r="F161" s="56"/>
      <c r="G161" s="56"/>
      <c r="H161" s="56"/>
      <c r="I161" s="35">
        <f t="shared" si="0"/>
        <v>0</v>
      </c>
      <c r="J161" s="35"/>
      <c r="K161" s="35"/>
      <c r="L161" s="10"/>
      <c r="M161" s="126" t="str">
        <f>HYPERLINK("https://github.com/BRAINOOOO/CompetitiveProgramming/blob/master/CF/CF812-D2-D","Sol")</f>
        <v>Sol</v>
      </c>
    </row>
    <row r="162" spans="1:13" ht="13.2">
      <c r="A162" s="48" t="s">
        <v>1197</v>
      </c>
      <c r="B162" s="110" t="str">
        <f>HYPERLINK("http://codeforces.com/contest/242/problem/D","CF242-D2-D")</f>
        <v>CF242-D2-D</v>
      </c>
      <c r="C162" s="56"/>
      <c r="D162" s="56"/>
      <c r="E162" s="56"/>
      <c r="F162" s="56"/>
      <c r="G162" s="56"/>
      <c r="H162" s="56"/>
      <c r="I162" s="35">
        <f t="shared" si="0"/>
        <v>0</v>
      </c>
      <c r="J162" s="10"/>
      <c r="K162" s="10"/>
      <c r="L162" s="10"/>
      <c r="M162" s="10"/>
    </row>
    <row r="163" spans="1:13" ht="13.2">
      <c r="A163" s="48" t="s">
        <v>1198</v>
      </c>
      <c r="B163" s="197" t="str">
        <f>HYPERLINK("http://codeforces.com/contest/688/problem/D","CF688-D2-D")</f>
        <v>CF688-D2-D</v>
      </c>
      <c r="C163" s="56"/>
      <c r="D163" s="56"/>
      <c r="E163" s="56"/>
      <c r="F163" s="56"/>
      <c r="G163" s="56"/>
      <c r="H163" s="56"/>
      <c r="I163" s="35">
        <f t="shared" si="0"/>
        <v>0</v>
      </c>
      <c r="J163" s="10"/>
      <c r="K163" s="10"/>
      <c r="L163" s="10"/>
      <c r="M163" s="10"/>
    </row>
    <row r="164" spans="1:13" ht="13.2">
      <c r="A164" s="10"/>
      <c r="B164" s="197" t="str">
        <f>HYPERLINK("http://codeforces.com/contest/1075/problem/D","CF1075-D2-D")</f>
        <v>CF1075-D2-D</v>
      </c>
      <c r="C164" s="56"/>
      <c r="D164" s="56"/>
      <c r="E164" s="56"/>
      <c r="F164" s="56"/>
      <c r="G164" s="56"/>
      <c r="H164" s="56"/>
      <c r="I164" s="35">
        <f t="shared" si="0"/>
        <v>0</v>
      </c>
      <c r="J164" s="10"/>
      <c r="K164" s="10"/>
      <c r="L164" s="10"/>
      <c r="M164" s="10"/>
    </row>
    <row r="165" spans="1:13" ht="13.2">
      <c r="A165" s="10"/>
      <c r="B165" s="197" t="str">
        <f>HYPERLINK("http://codeforces.com/problemset/problem/1033/D", "CF1033-D12-D")</f>
        <v>CF1033-D12-D</v>
      </c>
      <c r="C165" s="56"/>
      <c r="D165" s="56"/>
      <c r="E165" s="56"/>
      <c r="F165" s="56"/>
      <c r="G165" s="56"/>
      <c r="H165" s="56"/>
      <c r="I165" s="35">
        <f t="shared" si="0"/>
        <v>0</v>
      </c>
      <c r="J165" s="10"/>
      <c r="K165" s="10"/>
      <c r="L165" s="10"/>
      <c r="M165" s="10"/>
    </row>
    <row r="166" spans="1:13" ht="13.2">
      <c r="A166" s="10"/>
      <c r="B166" s="197" t="str">
        <f>HYPERLINK("http://codeforces.com/problemset/problem/442/B","CF442-D1-B")</f>
        <v>CF442-D1-B</v>
      </c>
      <c r="C166" s="56"/>
      <c r="D166" s="56"/>
      <c r="E166" s="56"/>
      <c r="F166" s="56"/>
      <c r="G166" s="56"/>
      <c r="H166" s="56"/>
      <c r="I166" s="35">
        <f t="shared" si="0"/>
        <v>0</v>
      </c>
      <c r="J166" s="10"/>
      <c r="K166" s="10"/>
      <c r="L166" s="10"/>
      <c r="M166" s="10"/>
    </row>
    <row r="167" spans="1:13" ht="13.2">
      <c r="A167" s="10"/>
      <c r="B167" s="197" t="str">
        <f>HYPERLINK("http://codeforces.com/contest/1025/problem/D","CF1025-D2-D")</f>
        <v>CF1025-D2-D</v>
      </c>
      <c r="C167" s="56"/>
      <c r="D167" s="56"/>
      <c r="E167" s="56"/>
      <c r="F167" s="56"/>
      <c r="G167" s="56"/>
      <c r="H167" s="56"/>
      <c r="I167" s="35">
        <f t="shared" si="0"/>
        <v>0</v>
      </c>
      <c r="J167" s="10"/>
      <c r="K167" s="10"/>
      <c r="L167" s="10"/>
      <c r="M167" s="10"/>
    </row>
    <row r="168" spans="1:13" ht="13.2">
      <c r="A168" s="10"/>
      <c r="B168" s="197" t="str">
        <f>HYPERLINK("http://codeforces.com/contest/1071/problem/B","CF1072-D2-D")</f>
        <v>CF1072-D2-D</v>
      </c>
      <c r="C168" s="56"/>
      <c r="D168" s="56"/>
      <c r="E168" s="56"/>
      <c r="F168" s="56"/>
      <c r="G168" s="56"/>
      <c r="H168" s="56"/>
      <c r="I168" s="35">
        <f t="shared" si="0"/>
        <v>0</v>
      </c>
      <c r="J168" s="10"/>
      <c r="K168" s="10"/>
      <c r="L168" s="10"/>
      <c r="M168" s="10"/>
    </row>
  </sheetData>
  <conditionalFormatting sqref="C3:C168">
    <cfRule type="cellIs" dxfId="7" priority="4" operator="equal">
      <formula>"AC"</formula>
    </cfRule>
    <cfRule type="containsText" dxfId="6" priority="5" operator="containsText" text="WA">
      <formula>NOT(ISERROR(SEARCH(("WA"),(C3))))</formula>
    </cfRule>
    <cfRule type="containsText" dxfId="5" priority="7" operator="containsText" text="TLE">
      <formula>NOT(ISERROR(SEARCH(("TLE"),(C3))))</formula>
    </cfRule>
    <cfRule type="containsText" dxfId="4" priority="9" operator="containsText" text="RTE">
      <formula>NOT(ISERROR(SEARCH(("RTE"),(C3))))</formula>
    </cfRule>
    <cfRule type="containsText" dxfId="3" priority="11" operator="containsText" text="CS">
      <formula>NOT(ISERROR(SEARCH(("CS"),(C3))))</formula>
    </cfRule>
  </conditionalFormatting>
  <conditionalFormatting sqref="K3:K168">
    <cfRule type="cellIs" dxfId="2" priority="1" operator="equal">
      <formula>"No"</formula>
    </cfRule>
    <cfRule type="cellIs" dxfId="1" priority="2" operator="equal">
      <formula>"no"</formula>
    </cfRule>
    <cfRule type="cellIs" dxfId="0" priority="3"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Andrés Malanco</cp:lastModifiedBy>
  <dcterms:modified xsi:type="dcterms:W3CDTF">2024-10-07T22:30:56Z</dcterms:modified>
</cp:coreProperties>
</file>