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Lynching\Trump_Lynch\Primary_Elections\"/>
    </mc:Choice>
  </mc:AlternateContent>
  <bookViews>
    <workbookView xWindow="0" yWindow="0" windowWidth="14070" windowHeight="8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D95" i="1"/>
  <c r="D94" i="1"/>
  <c r="E94" i="1" s="1"/>
  <c r="F94" i="1" s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E64" i="1" s="1"/>
  <c r="F64" i="1" s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E33" i="1" s="1"/>
  <c r="F33" i="1" s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27" i="1"/>
  <c r="F28" i="1"/>
  <c r="F29" i="1"/>
  <c r="F30" i="1"/>
  <c r="F31" i="1"/>
  <c r="F32" i="1"/>
  <c r="F34" i="1"/>
  <c r="F35" i="1"/>
  <c r="F59" i="1"/>
  <c r="F60" i="1"/>
  <c r="F61" i="1"/>
  <c r="F62" i="1"/>
  <c r="F63" i="1"/>
  <c r="F65" i="1"/>
  <c r="F66" i="1"/>
  <c r="F67" i="1"/>
  <c r="F92" i="1"/>
  <c r="F93" i="1"/>
  <c r="F95" i="1"/>
  <c r="F96" i="1"/>
  <c r="F3" i="1"/>
  <c r="D3" i="1"/>
  <c r="F2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E30" i="1"/>
  <c r="E31" i="1"/>
  <c r="E32" i="1"/>
  <c r="E34" i="1"/>
  <c r="E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E60" i="1"/>
  <c r="E61" i="1"/>
  <c r="E62" i="1"/>
  <c r="E63" i="1"/>
  <c r="E65" i="1"/>
  <c r="E66" i="1"/>
  <c r="E67" i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E95" i="1"/>
  <c r="E96" i="1"/>
  <c r="E2" i="1"/>
  <c r="D2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<sst xmlns="http://schemas.openxmlformats.org/spreadsheetml/2006/main" count="101" uniqueCount="101">
  <si>
    <t>County</t>
  </si>
  <si>
    <t>NTrump</t>
  </si>
  <si>
    <t>NVotes</t>
  </si>
  <si>
    <t>Bedford</t>
  </si>
  <si>
    <t>Benton</t>
  </si>
  <si>
    <t>Bledsoe</t>
  </si>
  <si>
    <t>Blount</t>
  </si>
  <si>
    <t>Bradley</t>
  </si>
  <si>
    <t>Campbell</t>
  </si>
  <si>
    <t>Cannon</t>
  </si>
  <si>
    <t>Carroll</t>
  </si>
  <si>
    <t>Cartier</t>
  </si>
  <si>
    <t>Cheatham</t>
  </si>
  <si>
    <t>Chester</t>
  </si>
  <si>
    <t>Claiborne</t>
  </si>
  <si>
    <t>Clay</t>
  </si>
  <si>
    <t>Cocke</t>
  </si>
  <si>
    <t>Coffee</t>
  </si>
  <si>
    <t>Crockett</t>
  </si>
  <si>
    <t>Cumberland</t>
  </si>
  <si>
    <t>Davidson</t>
  </si>
  <si>
    <t>Decatur</t>
  </si>
  <si>
    <t>DeKalb</t>
  </si>
  <si>
    <t>Dickson</t>
  </si>
  <si>
    <t>Dyer</t>
  </si>
  <si>
    <t>Fayette</t>
  </si>
  <si>
    <t>Fentress</t>
  </si>
  <si>
    <t>Franklin</t>
  </si>
  <si>
    <t>Gibson</t>
  </si>
  <si>
    <t>Giles</t>
  </si>
  <si>
    <t>Grainger</t>
  </si>
  <si>
    <t>Greene</t>
  </si>
  <si>
    <t>Grundy</t>
  </si>
  <si>
    <t>Hamblen</t>
  </si>
  <si>
    <t>Hamilton</t>
  </si>
  <si>
    <t>Hancock</t>
  </si>
  <si>
    <t>Hardeman</t>
  </si>
  <si>
    <t>Hardin</t>
  </si>
  <si>
    <t>Hawkins</t>
  </si>
  <si>
    <t>Haywood</t>
  </si>
  <si>
    <t>Henderson</t>
  </si>
  <si>
    <t>Henry</t>
  </si>
  <si>
    <t>Hickman</t>
  </si>
  <si>
    <t>Houston</t>
  </si>
  <si>
    <t>Humphreys</t>
  </si>
  <si>
    <t>Jackson</t>
  </si>
  <si>
    <t>Jefferson</t>
  </si>
  <si>
    <t>Johnson</t>
  </si>
  <si>
    <t>Knox</t>
  </si>
  <si>
    <t>Lake</t>
  </si>
  <si>
    <t>Lauderdale</t>
  </si>
  <si>
    <t>Lawrence</t>
  </si>
  <si>
    <t>Lewis</t>
  </si>
  <si>
    <t>Lincoln</t>
  </si>
  <si>
    <t>Loudon</t>
  </si>
  <si>
    <t>Macon</t>
  </si>
  <si>
    <t>Madison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</si>
  <si>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</si>
  <si>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</si>
  <si>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</si>
  <si>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</si>
  <si>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</si>
  <si>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</si>
  <si>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</si>
  <si>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</si>
  <si>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Moore</t>
  </si>
  <si>
    <t>Morgan</t>
  </si>
  <si>
    <t>Obion</t>
  </si>
  <si>
    <t>Overton</t>
  </si>
  <si>
    <t>Perry</t>
  </si>
  <si>
    <t>Pickett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</si>
  <si>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</si>
  <si>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</si>
  <si>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</si>
  <si>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</si>
  <si>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</si>
  <si>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</si>
  <si>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</si>
  <si>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</si>
  <si>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</si>
  <si>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Shelby</t>
  </si>
  <si>
    <t>Smith</t>
  </si>
  <si>
    <t>Stewart</t>
  </si>
  <si>
    <t>Sullivan</t>
  </si>
  <si>
    <t>Sumner</t>
  </si>
  <si>
    <t>Tipton</t>
  </si>
  <si>
    <t>Trousdale</t>
  </si>
  <si>
    <t>Unicoi</t>
  </si>
  <si>
    <t>Union</t>
  </si>
  <si>
    <t>Van_Buren</t>
  </si>
  <si>
    <t>Warren</t>
  </si>
  <si>
    <t>Washington</t>
  </si>
  <si>
    <t>Wayne</t>
  </si>
  <si>
    <t>Weakley</t>
  </si>
  <si>
    <t>White</t>
  </si>
  <si>
    <t>Williamson</t>
  </si>
  <si>
    <t>Wilson</t>
  </si>
  <si>
    <t>Anderson</t>
  </si>
  <si>
    <t>Votes1</t>
  </si>
  <si>
    <t>Votes2</t>
  </si>
  <si>
    <t>Pct_Trump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</si>
</sst>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87" workbookViewId="0">
      <selection activeCell="D97" sqref="D97"/>
    </sheetView>
  </sheetViews>
  <sheetFormatPr defaultRowHeight="15" x14ac:dyDescent="0.25"/>
  <cols>
    <col min="1" max="1" width="27.42578125" customWidth="1"/>
  </cols>
  <sheetData>
    <row r="1" spans="1:6" x14ac:dyDescent="0.25">
      <c r="A1" t="s">
        <v>0</v>
      </c>
      <c r="B1" t="s">
        <v>1</v>
      </c>
      <c r="C1" t="s">
        <v>98</v>
      </c>
      <c r="D1" t="s">
        <v>99</v>
      </c>
      <c r="E1" t="s">
        <v>2</v>
      </c>
      <c r="F1" t="s">
        <v>100</v>
      </c>
    </row>
    <row r="2" spans="1:6" x14ac:dyDescent="0.25">
      <c r="A2" t="s">
        <v>97</v>
      </c>
      <c r="B2">
        <v>4299</v>
      </c>
      <c r="C2">
        <f>122+862+12+2450+15+2+4+30+563+5</f>
        <v>4065</v>
      </c>
      <c r="D2">
        <f>24+2340+10+4299+14</f>
        <v>6687</v>
      </c>
      <c r="E2">
        <f>C2+D2</f>
        <v>10752</v>
      </c>
      <c r="F2">
        <f>B2/E2*100</f>
        <v>39.983258928571431</v>
      </c>
    </row>
    <row r="3" spans="1:6" x14ac:dyDescent="0.25">
      <c r="A3" t="s">
        <v>3</v>
      </c>
      <c r="B3">
        <v>3084</v>
      </c>
      <c r="C3">
        <f>39+475+5+1655+3+5+2+13+200+0</f>
        <v>2397</v>
      </c>
      <c r="D3">
        <f>8+821+4+3084+10</f>
        <v>3927</v>
      </c>
      <c r="E3">
        <f t="shared" ref="E3:E66" si="0">C3+D3</f>
        <v>6324</v>
      </c>
      <c r="F3">
        <f>B3/E3*100</f>
        <v>48.766603415559771</v>
      </c>
    </row>
    <row r="4" spans="1:6" x14ac:dyDescent="0.25">
      <c r="A4" t="s">
        <v>4</v>
      </c>
      <c r="B4">
        <v>1154</v>
      </c>
      <c r="C4">
        <f>15+123+1+570+0+1+1+4+73+0</f>
        <v>788</v>
      </c>
      <c r="D4">
        <f>2+278+0+1154+3</f>
        <v>1437</v>
      </c>
      <c r="E4">
        <f t="shared" si="0"/>
        <v>2225</v>
      </c>
      <c r="F4">
        <f t="shared" ref="F4:F67" si="1">B4/E4*100</f>
        <v>51.865168539325843</v>
      </c>
    </row>
    <row r="5" spans="1:6" x14ac:dyDescent="0.25">
      <c r="A5" t="s">
        <v>5</v>
      </c>
      <c r="B5">
        <v>1009</v>
      </c>
      <c r="C5">
        <f>18+166+3+487+1+1+2+10+56+0</f>
        <v>744</v>
      </c>
      <c r="D5">
        <f>4+285+4+1009+4</f>
        <v>1306</v>
      </c>
      <c r="E5">
        <f t="shared" si="0"/>
        <v>2050</v>
      </c>
      <c r="F5">
        <f t="shared" si="1"/>
        <v>49.219512195121951</v>
      </c>
    </row>
    <row r="6" spans="1:6" x14ac:dyDescent="0.25">
      <c r="A6" t="s">
        <v>6</v>
      </c>
      <c r="B6">
        <v>8012</v>
      </c>
      <c r="C6">
        <f>284+1730+26+4722+22+12+4+61+1170+8</f>
        <v>8039</v>
      </c>
      <c r="D6">
        <f>48+5068+18+8012+38</f>
        <v>13184</v>
      </c>
      <c r="E6">
        <f t="shared" si="0"/>
        <v>21223</v>
      </c>
      <c r="F6">
        <f t="shared" si="1"/>
        <v>37.751496018470526</v>
      </c>
    </row>
    <row r="7" spans="1:6" x14ac:dyDescent="0.25">
      <c r="A7" t="s">
        <v>7</v>
      </c>
      <c r="B7">
        <v>6103</v>
      </c>
      <c r="C7">
        <f>192+1719+12+3625+20+5+7+73+791+2</f>
        <v>6446</v>
      </c>
      <c r="D7">
        <f>28+4068+11+6103+23</f>
        <v>10233</v>
      </c>
      <c r="E7">
        <f t="shared" si="0"/>
        <v>16679</v>
      </c>
      <c r="F7">
        <f t="shared" si="1"/>
        <v>36.590922717189279</v>
      </c>
    </row>
    <row r="8" spans="1:6" x14ac:dyDescent="0.25">
      <c r="A8" t="s">
        <v>8</v>
      </c>
      <c r="B8">
        <v>2200</v>
      </c>
      <c r="C8">
        <f>35+289+6+831+3+0+1+7+146+0</f>
        <v>1318</v>
      </c>
      <c r="D8">
        <f>4+706+3+2200+6</f>
        <v>2919</v>
      </c>
      <c r="E8">
        <f t="shared" si="0"/>
        <v>4237</v>
      </c>
      <c r="F8">
        <f t="shared" si="1"/>
        <v>51.923530800094412</v>
      </c>
    </row>
    <row r="9" spans="1:6" x14ac:dyDescent="0.25">
      <c r="A9" t="s">
        <v>9</v>
      </c>
      <c r="B9">
        <v>1244</v>
      </c>
      <c r="C9">
        <f>17+159+8+657+3+0+0+4+50+0</f>
        <v>898</v>
      </c>
      <c r="D9">
        <f>2+195+2+1244+8</f>
        <v>1451</v>
      </c>
      <c r="E9">
        <f t="shared" si="0"/>
        <v>2349</v>
      </c>
      <c r="F9">
        <f t="shared" si="1"/>
        <v>52.958705832269047</v>
      </c>
    </row>
    <row r="10" spans="1:6" x14ac:dyDescent="0.25">
      <c r="A10" t="s">
        <v>10</v>
      </c>
      <c r="B10">
        <v>1581</v>
      </c>
      <c r="C10">
        <f>36+315+3+967+0+2+2+14+146+0</f>
        <v>1485</v>
      </c>
      <c r="D10">
        <f>4+573+3+1581+10</f>
        <v>2171</v>
      </c>
      <c r="E10">
        <f t="shared" si="0"/>
        <v>3656</v>
      </c>
      <c r="F10">
        <f t="shared" si="1"/>
        <v>43.24398249452954</v>
      </c>
    </row>
    <row r="11" spans="1:6" x14ac:dyDescent="0.25">
      <c r="A11" t="s">
        <v>11</v>
      </c>
      <c r="B11">
        <v>4268</v>
      </c>
      <c r="C11">
        <f>104+699+18+2352+7+5+7+45+314+2</f>
        <v>3553</v>
      </c>
      <c r="D11">
        <f>14+1757+7+4268+19</f>
        <v>6065</v>
      </c>
      <c r="E11">
        <f t="shared" si="0"/>
        <v>9618</v>
      </c>
      <c r="F11">
        <f t="shared" si="1"/>
        <v>44.375129964649616</v>
      </c>
    </row>
    <row r="12" spans="1:6" x14ac:dyDescent="0.25">
      <c r="A12" t="s">
        <v>12</v>
      </c>
      <c r="B12">
        <v>2531</v>
      </c>
      <c r="C12">
        <f>40+419+2+1626+2+2+2+9+211+2</f>
        <v>2315</v>
      </c>
      <c r="D12">
        <f>11+848+5+2531+4</f>
        <v>3399</v>
      </c>
      <c r="E12">
        <f t="shared" si="0"/>
        <v>5714</v>
      </c>
      <c r="F12">
        <f t="shared" si="1"/>
        <v>44.294714735736783</v>
      </c>
    </row>
    <row r="13" spans="1:6" x14ac:dyDescent="0.25">
      <c r="A13" t="s">
        <v>13</v>
      </c>
      <c r="B13">
        <v>1028</v>
      </c>
      <c r="C13">
        <f>28+322+2+651+0+4+0+9+63+1</f>
        <v>1080</v>
      </c>
      <c r="D13">
        <f>2+379+2+1028+3</f>
        <v>1414</v>
      </c>
      <c r="E13">
        <f t="shared" si="0"/>
        <v>2494</v>
      </c>
      <c r="F13">
        <f t="shared" si="1"/>
        <v>41.218925421010425</v>
      </c>
    </row>
    <row r="14" spans="1:6" x14ac:dyDescent="0.25">
      <c r="A14" t="s">
        <v>14</v>
      </c>
      <c r="B14">
        <v>2026</v>
      </c>
      <c r="C14">
        <f>29+200+6+802+5+4+2+15+118+0</f>
        <v>1181</v>
      </c>
      <c r="D14">
        <f>8+540+1+2026+5</f>
        <v>2580</v>
      </c>
      <c r="E14">
        <f t="shared" si="0"/>
        <v>3761</v>
      </c>
      <c r="F14">
        <f t="shared" si="1"/>
        <v>53.868651954267477</v>
      </c>
    </row>
    <row r="15" spans="1:6" x14ac:dyDescent="0.25">
      <c r="A15" t="s">
        <v>15</v>
      </c>
      <c r="B15">
        <v>600</v>
      </c>
      <c r="C15">
        <f>7+66+3+180+0+2+0+0+37+0</f>
        <v>295</v>
      </c>
      <c r="D15">
        <f>6+146+1+600+2</f>
        <v>755</v>
      </c>
      <c r="E15">
        <f t="shared" si="0"/>
        <v>1050</v>
      </c>
      <c r="F15">
        <f t="shared" si="1"/>
        <v>57.142857142857139</v>
      </c>
    </row>
    <row r="16" spans="1:6" x14ac:dyDescent="0.25">
      <c r="A16" t="s">
        <v>16</v>
      </c>
      <c r="B16">
        <v>3200</v>
      </c>
      <c r="C16">
        <f>87+356+11+1296+9+1+3+49+207+0</f>
        <v>2019</v>
      </c>
      <c r="D16">
        <f>15+765+7+3200+31</f>
        <v>4018</v>
      </c>
      <c r="E16">
        <f t="shared" si="0"/>
        <v>6037</v>
      </c>
      <c r="F16">
        <f t="shared" si="1"/>
        <v>53.006460162332282</v>
      </c>
    </row>
    <row r="17" spans="1:6" x14ac:dyDescent="0.25">
      <c r="A17" t="s">
        <v>17</v>
      </c>
      <c r="B17">
        <v>3521</v>
      </c>
      <c r="C17">
        <f>78+707+10+2201+7+1+1+13+391+1</f>
        <v>3410</v>
      </c>
      <c r="D17">
        <f>18+1308+5+3521+32</f>
        <v>4884</v>
      </c>
      <c r="E17">
        <f t="shared" si="0"/>
        <v>8294</v>
      </c>
      <c r="F17">
        <f t="shared" si="1"/>
        <v>42.452375210995903</v>
      </c>
    </row>
    <row r="18" spans="1:6" x14ac:dyDescent="0.25">
      <c r="A18" t="s">
        <v>18</v>
      </c>
      <c r="B18">
        <v>995</v>
      </c>
      <c r="C18">
        <f>26+189+4+538+1+0+1+6+54+0</f>
        <v>819</v>
      </c>
      <c r="D18">
        <f>5+275+0+995+0</f>
        <v>1275</v>
      </c>
      <c r="E18">
        <f t="shared" si="0"/>
        <v>2094</v>
      </c>
      <c r="F18">
        <f t="shared" si="1"/>
        <v>47.516714422158543</v>
      </c>
    </row>
    <row r="19" spans="1:6" x14ac:dyDescent="0.25">
      <c r="A19" t="s">
        <v>19</v>
      </c>
      <c r="B19">
        <v>5152</v>
      </c>
      <c r="C19">
        <f>152+791+22+3064+9+5+1+39+667+5</f>
        <v>4755</v>
      </c>
      <c r="D19">
        <f>22+1972+9+5152+28</f>
        <v>7183</v>
      </c>
      <c r="E19">
        <f t="shared" si="0"/>
        <v>11938</v>
      </c>
      <c r="F19">
        <f t="shared" si="1"/>
        <v>43.156307589210925</v>
      </c>
    </row>
    <row r="20" spans="1:6" x14ac:dyDescent="0.25">
      <c r="A20" t="s">
        <v>20</v>
      </c>
      <c r="B20">
        <v>17217</v>
      </c>
      <c r="C20">
        <f>811+3657+55+12209+51+9+7+83+4896+6</f>
        <v>21784</v>
      </c>
      <c r="D20">
        <f>172+16271+34+17217+114</f>
        <v>33808</v>
      </c>
      <c r="E20">
        <f t="shared" si="0"/>
        <v>55592</v>
      </c>
      <c r="F20">
        <f t="shared" si="1"/>
        <v>30.970283494027917</v>
      </c>
    </row>
    <row r="21" spans="1:6" x14ac:dyDescent="0.25">
      <c r="A21" t="s">
        <v>21</v>
      </c>
      <c r="B21">
        <v>842</v>
      </c>
      <c r="C21">
        <f>13+110+4+367+1+0+0+5+46+0</f>
        <v>546</v>
      </c>
      <c r="D21">
        <f>2+199+2+842+3</f>
        <v>1048</v>
      </c>
      <c r="E21">
        <f t="shared" si="0"/>
        <v>1594</v>
      </c>
      <c r="F21">
        <f t="shared" si="1"/>
        <v>52.823086574654951</v>
      </c>
    </row>
    <row r="22" spans="1:6" x14ac:dyDescent="0.25">
      <c r="A22" t="s">
        <v>22</v>
      </c>
      <c r="B22">
        <v>1243</v>
      </c>
      <c r="C22">
        <f>10+175+3+600+3+2+3+9+88+1</f>
        <v>894</v>
      </c>
      <c r="D22">
        <f>10+344+3+1243+3</f>
        <v>1603</v>
      </c>
      <c r="E22">
        <f t="shared" si="0"/>
        <v>2497</v>
      </c>
      <c r="F22">
        <f t="shared" si="1"/>
        <v>49.779735682819378</v>
      </c>
    </row>
    <row r="23" spans="1:6" x14ac:dyDescent="0.25">
      <c r="A23" t="s">
        <v>23</v>
      </c>
      <c r="B23">
        <v>2731</v>
      </c>
      <c r="C23">
        <f>53+520+6+1765+4+3+3+11+198+1</f>
        <v>2564</v>
      </c>
      <c r="D23">
        <f>8+924+2+2731+9</f>
        <v>3674</v>
      </c>
      <c r="E23">
        <f t="shared" si="0"/>
        <v>6238</v>
      </c>
      <c r="F23">
        <f t="shared" si="1"/>
        <v>43.780057710804741</v>
      </c>
    </row>
    <row r="24" spans="1:6" x14ac:dyDescent="0.25">
      <c r="A24" t="s">
        <v>24</v>
      </c>
      <c r="B24">
        <v>2400</v>
      </c>
      <c r="C24">
        <f>45+361+3+1268+7+1+1+22+136+0</f>
        <v>1844</v>
      </c>
      <c r="D24">
        <f>6+812+1+2400+4</f>
        <v>3223</v>
      </c>
      <c r="E24">
        <f t="shared" si="0"/>
        <v>5067</v>
      </c>
      <c r="F24">
        <f t="shared" si="1"/>
        <v>47.365304914150386</v>
      </c>
    </row>
    <row r="25" spans="1:6" x14ac:dyDescent="0.25">
      <c r="A25" t="s">
        <v>25</v>
      </c>
      <c r="B25">
        <v>2881</v>
      </c>
      <c r="C25">
        <f>42+430+4+2520+2+3+5+26+210+2</f>
        <v>3244</v>
      </c>
      <c r="D25">
        <f>15+1121+1+2881+4</f>
        <v>4022</v>
      </c>
      <c r="E25">
        <f t="shared" si="0"/>
        <v>7266</v>
      </c>
      <c r="F25">
        <f t="shared" si="1"/>
        <v>39.650426644646295</v>
      </c>
    </row>
    <row r="26" spans="1:6" x14ac:dyDescent="0.25">
      <c r="A26" t="s">
        <v>26</v>
      </c>
      <c r="B26">
        <v>1419</v>
      </c>
      <c r="C26">
        <f>22+147+4+901+3+1+0+18+73+0</f>
        <v>1169</v>
      </c>
      <c r="D26">
        <f>1+324+1+1419+7</f>
        <v>1752</v>
      </c>
      <c r="E26">
        <f t="shared" si="0"/>
        <v>2921</v>
      </c>
      <c r="F26">
        <f t="shared" si="1"/>
        <v>48.579253680246495</v>
      </c>
    </row>
    <row r="27" spans="1:6" x14ac:dyDescent="0.25">
      <c r="A27" t="s">
        <v>27</v>
      </c>
      <c r="B27">
        <v>3073</v>
      </c>
      <c r="C27">
        <f>53+556+7+1448+3+2+3+19+261+3</f>
        <v>2355</v>
      </c>
      <c r="D27">
        <f>8+949+4+3073+8</f>
        <v>4042</v>
      </c>
      <c r="E27">
        <f t="shared" si="0"/>
        <v>6397</v>
      </c>
      <c r="F27">
        <f t="shared" si="1"/>
        <v>48.038142879474755</v>
      </c>
    </row>
    <row r="28" spans="1:6" x14ac:dyDescent="0.25">
      <c r="A28" t="s">
        <v>28</v>
      </c>
      <c r="B28">
        <v>2878</v>
      </c>
      <c r="C28">
        <f>45+762+16+1912+1+3+4+16+218+2</f>
        <v>2979</v>
      </c>
      <c r="D28">
        <f>12+1014+5+2878+8</f>
        <v>3917</v>
      </c>
      <c r="E28">
        <f t="shared" si="0"/>
        <v>6896</v>
      </c>
      <c r="F28">
        <f t="shared" si="1"/>
        <v>41.73433874709977</v>
      </c>
    </row>
    <row r="29" spans="1:6" x14ac:dyDescent="0.25">
      <c r="A29" t="s">
        <v>29</v>
      </c>
      <c r="B29">
        <v>1912</v>
      </c>
      <c r="C29">
        <f>31+273+4+899+3+1+1+17+95+0</f>
        <v>1324</v>
      </c>
      <c r="D29">
        <f>6+527+2+1912+6</f>
        <v>2453</v>
      </c>
      <c r="E29">
        <f t="shared" si="0"/>
        <v>3777</v>
      </c>
      <c r="F29">
        <f t="shared" si="1"/>
        <v>50.62218692083664</v>
      </c>
    </row>
    <row r="30" spans="1:6" x14ac:dyDescent="0.25">
      <c r="A30" t="s">
        <v>30</v>
      </c>
      <c r="B30">
        <v>1770</v>
      </c>
      <c r="C30">
        <f>53+171+7+794+7+2+0+13+111+2</f>
        <v>1160</v>
      </c>
      <c r="D30">
        <f>7+557+4+1770+10</f>
        <v>2348</v>
      </c>
      <c r="E30">
        <f t="shared" si="0"/>
        <v>3508</v>
      </c>
      <c r="F30">
        <f t="shared" si="1"/>
        <v>50.45610034207526</v>
      </c>
    </row>
    <row r="31" spans="1:6" x14ac:dyDescent="0.25">
      <c r="A31" t="s">
        <v>31</v>
      </c>
      <c r="B31">
        <v>5017</v>
      </c>
      <c r="C31">
        <f>162+860+26+2570+10+4+3+47+442+2</f>
        <v>4126</v>
      </c>
      <c r="D31">
        <f>34+1846+13+5017+21</f>
        <v>6931</v>
      </c>
      <c r="E31">
        <f t="shared" si="0"/>
        <v>11057</v>
      </c>
      <c r="F31">
        <f t="shared" si="1"/>
        <v>45.373971239938498</v>
      </c>
    </row>
    <row r="32" spans="1:6" x14ac:dyDescent="0.25">
      <c r="A32" t="s">
        <v>32</v>
      </c>
      <c r="B32">
        <v>912</v>
      </c>
      <c r="C32">
        <f>16+141+3+383+0+2+1+7+30+0</f>
        <v>583</v>
      </c>
      <c r="D32">
        <f>2+134+2+912+2</f>
        <v>1052</v>
      </c>
      <c r="E32">
        <f t="shared" si="0"/>
        <v>1635</v>
      </c>
      <c r="F32">
        <f t="shared" si="1"/>
        <v>55.779816513761475</v>
      </c>
    </row>
    <row r="33" spans="1:6" x14ac:dyDescent="0.25">
      <c r="A33" t="s">
        <v>33</v>
      </c>
      <c r="B33">
        <v>4691</v>
      </c>
      <c r="C33">
        <f>161+829+20+2231+9+11+7+68+492+10</f>
        <v>3838</v>
      </c>
      <c r="D33">
        <f>29+1955+5+4691+56</f>
        <v>6736</v>
      </c>
      <c r="E33">
        <f t="shared" si="0"/>
        <v>10574</v>
      </c>
      <c r="F33">
        <f t="shared" si="1"/>
        <v>44.363533194628332</v>
      </c>
    </row>
    <row r="34" spans="1:6" x14ac:dyDescent="0.25">
      <c r="A34" t="s">
        <v>34</v>
      </c>
      <c r="B34">
        <v>16997</v>
      </c>
      <c r="C34">
        <f>567+5081+165+9631+33+4+14+97+3642+13</f>
        <v>19247</v>
      </c>
      <c r="D34">
        <f>596+14405+210+16997+161</f>
        <v>32369</v>
      </c>
      <c r="E34">
        <f t="shared" si="0"/>
        <v>51616</v>
      </c>
      <c r="F34">
        <f t="shared" si="1"/>
        <v>32.929711717296961</v>
      </c>
    </row>
    <row r="35" spans="1:6" x14ac:dyDescent="0.25">
      <c r="A35" t="s">
        <v>35</v>
      </c>
      <c r="B35">
        <v>433</v>
      </c>
      <c r="C35">
        <f>14+40+1+208+0+1+0+1+32+0</f>
        <v>297</v>
      </c>
      <c r="D35">
        <f>2+150+0+433+1</f>
        <v>586</v>
      </c>
      <c r="E35">
        <f t="shared" si="0"/>
        <v>883</v>
      </c>
      <c r="F35">
        <f t="shared" si="1"/>
        <v>49.037372593431485</v>
      </c>
    </row>
    <row r="36" spans="1:6" x14ac:dyDescent="0.25">
      <c r="A36" t="s">
        <v>36</v>
      </c>
      <c r="B36">
        <v>1170</v>
      </c>
      <c r="C36">
        <f>19+216+2+572+3+0+1+11+58+1</f>
        <v>883</v>
      </c>
      <c r="D36">
        <f>1+315+3+1170+3</f>
        <v>1492</v>
      </c>
      <c r="E36">
        <f t="shared" si="0"/>
        <v>2375</v>
      </c>
      <c r="F36">
        <f t="shared" si="1"/>
        <v>49.263157894736842</v>
      </c>
    </row>
    <row r="37" spans="1:6" x14ac:dyDescent="0.25">
      <c r="A37" t="s">
        <v>37</v>
      </c>
      <c r="B37">
        <v>2094</v>
      </c>
      <c r="C37">
        <f>43+283+2+629+3+0+0+16+161+0</f>
        <v>1137</v>
      </c>
      <c r="D37">
        <f>1+597+4+2094+3</f>
        <v>2699</v>
      </c>
      <c r="E37">
        <f t="shared" si="0"/>
        <v>3836</v>
      </c>
      <c r="F37">
        <f t="shared" si="1"/>
        <v>54.588112617309704</v>
      </c>
    </row>
    <row r="38" spans="1:6" x14ac:dyDescent="0.25">
      <c r="A38" t="s">
        <v>38</v>
      </c>
      <c r="B38">
        <v>4433</v>
      </c>
      <c r="C38">
        <f>133+572+11+2056+12+2+2+77+361+0</f>
        <v>3226</v>
      </c>
      <c r="D38">
        <f>18+1460+6+4433+31</f>
        <v>5948</v>
      </c>
      <c r="E38">
        <f t="shared" si="0"/>
        <v>9174</v>
      </c>
      <c r="F38">
        <f t="shared" si="1"/>
        <v>48.321342925659472</v>
      </c>
    </row>
    <row r="39" spans="1:6" x14ac:dyDescent="0.25">
      <c r="A39" t="s">
        <v>39</v>
      </c>
      <c r="B39">
        <v>613</v>
      </c>
      <c r="C39">
        <f>17+106+4+475+0+0+0+6+55+3</f>
        <v>666</v>
      </c>
      <c r="D39">
        <f>2+224+0+613+0</f>
        <v>839</v>
      </c>
      <c r="E39">
        <f t="shared" si="0"/>
        <v>1505</v>
      </c>
      <c r="F39">
        <f t="shared" si="1"/>
        <v>40.730897009966775</v>
      </c>
    </row>
    <row r="40" spans="1:6" x14ac:dyDescent="0.25">
      <c r="A40" t="s">
        <v>40</v>
      </c>
      <c r="B40">
        <v>1836</v>
      </c>
      <c r="C40">
        <f>49+363+3+965+5+3+2+15+141+1</f>
        <v>1547</v>
      </c>
      <c r="D40">
        <f>6+571+4+1836+3</f>
        <v>2420</v>
      </c>
      <c r="E40">
        <f t="shared" si="0"/>
        <v>3967</v>
      </c>
      <c r="F40">
        <f t="shared" si="1"/>
        <v>46.281825056717921</v>
      </c>
    </row>
    <row r="41" spans="1:6" x14ac:dyDescent="0.25">
      <c r="A41" t="s">
        <v>41</v>
      </c>
      <c r="B41">
        <v>2672</v>
      </c>
      <c r="C41">
        <f>70+370+19+1222+10+3+1+27+258+4</f>
        <v>1984</v>
      </c>
      <c r="D41">
        <f>13+751+1+2672+40</f>
        <v>3477</v>
      </c>
      <c r="E41">
        <f t="shared" si="0"/>
        <v>5461</v>
      </c>
      <c r="F41">
        <f t="shared" si="1"/>
        <v>48.928767624977112</v>
      </c>
    </row>
    <row r="42" spans="1:6" x14ac:dyDescent="0.25">
      <c r="A42" t="s">
        <v>42</v>
      </c>
      <c r="B42">
        <v>1326</v>
      </c>
      <c r="C42">
        <f>23+210+4+836+2+0+3+9+69+0</f>
        <v>1156</v>
      </c>
      <c r="D42">
        <f>3+331+3+1326+1</f>
        <v>1664</v>
      </c>
      <c r="E42">
        <f t="shared" si="0"/>
        <v>2820</v>
      </c>
      <c r="F42">
        <f t="shared" si="1"/>
        <v>47.021276595744681</v>
      </c>
    </row>
    <row r="43" spans="1:6" x14ac:dyDescent="0.25">
      <c r="A43" t="s">
        <v>43</v>
      </c>
      <c r="B43">
        <v>523</v>
      </c>
      <c r="C43">
        <f>6+67+2+231+3+0+0+0+26+1</f>
        <v>336</v>
      </c>
      <c r="D43">
        <f>1+159+1+523+1</f>
        <v>685</v>
      </c>
      <c r="E43">
        <f t="shared" si="0"/>
        <v>1021</v>
      </c>
      <c r="F43">
        <f t="shared" si="1"/>
        <v>51.22428991185113</v>
      </c>
    </row>
    <row r="44" spans="1:6" x14ac:dyDescent="0.25">
      <c r="A44" t="s">
        <v>44</v>
      </c>
      <c r="B44">
        <v>1218</v>
      </c>
      <c r="C44">
        <f>25+173+1+533+3+3+1+3+62+0</f>
        <v>804</v>
      </c>
      <c r="D44">
        <f>3+328+3+1218+1</f>
        <v>1553</v>
      </c>
      <c r="E44">
        <f t="shared" si="0"/>
        <v>2357</v>
      </c>
      <c r="F44">
        <f t="shared" si="1"/>
        <v>51.675859142978368</v>
      </c>
    </row>
    <row r="45" spans="1:6" x14ac:dyDescent="0.25">
      <c r="A45" t="s">
        <v>45</v>
      </c>
      <c r="B45">
        <v>713</v>
      </c>
      <c r="C45">
        <f>8+92+5+450+0+0+0+6+54+0</f>
        <v>615</v>
      </c>
      <c r="D45">
        <f>2+192+0+713+2</f>
        <v>909</v>
      </c>
      <c r="E45">
        <f t="shared" si="0"/>
        <v>1524</v>
      </c>
      <c r="F45">
        <f t="shared" si="1"/>
        <v>46.784776902887138</v>
      </c>
    </row>
    <row r="46" spans="1:6" x14ac:dyDescent="0.25">
      <c r="A46" t="s">
        <v>46</v>
      </c>
      <c r="B46">
        <v>4052</v>
      </c>
      <c r="C46">
        <f>161+664+13+2005+18+11+3+40+408+0</f>
        <v>3323</v>
      </c>
      <c r="D46">
        <f>22+1580+8+4052+29</f>
        <v>5691</v>
      </c>
      <c r="E46">
        <f t="shared" si="0"/>
        <v>9014</v>
      </c>
      <c r="F46">
        <f t="shared" si="1"/>
        <v>44.952296427779011</v>
      </c>
    </row>
    <row r="47" spans="1:6" x14ac:dyDescent="0.25">
      <c r="A47" t="s">
        <v>47</v>
      </c>
      <c r="B47">
        <v>1307</v>
      </c>
      <c r="C47">
        <f>29+169+6+740+2+3+0+13+102+3</f>
        <v>1067</v>
      </c>
      <c r="D47">
        <f>5+452+3+1307+4</f>
        <v>1771</v>
      </c>
      <c r="E47">
        <f t="shared" si="0"/>
        <v>2838</v>
      </c>
      <c r="F47">
        <f t="shared" si="1"/>
        <v>46.053558844256521</v>
      </c>
    </row>
    <row r="48" spans="1:6" x14ac:dyDescent="0.25">
      <c r="A48" t="s">
        <v>48</v>
      </c>
      <c r="B48">
        <v>20991</v>
      </c>
      <c r="C48">
        <f>1137+4774+130+13574+88+25+36+180+5035+30</f>
        <v>25009</v>
      </c>
      <c r="D48">
        <f>212+1823+49+20991+261</f>
        <v>23336</v>
      </c>
      <c r="E48">
        <f t="shared" si="0"/>
        <v>48345</v>
      </c>
      <c r="F48">
        <f t="shared" si="1"/>
        <v>43.419174681973317</v>
      </c>
    </row>
    <row r="49" spans="1:6" x14ac:dyDescent="0.25">
      <c r="A49" t="s">
        <v>49</v>
      </c>
      <c r="B49">
        <v>326</v>
      </c>
      <c r="C49">
        <f>1+45+0+125+1+0+0+1+7+1</f>
        <v>181</v>
      </c>
      <c r="D49">
        <f>0+72+1+326+0</f>
        <v>399</v>
      </c>
      <c r="E49">
        <f t="shared" si="0"/>
        <v>580</v>
      </c>
      <c r="F49">
        <f t="shared" si="1"/>
        <v>56.206896551724142</v>
      </c>
    </row>
    <row r="50" spans="1:6" x14ac:dyDescent="0.25">
      <c r="A50" t="s">
        <v>50</v>
      </c>
      <c r="B50">
        <v>1111</v>
      </c>
      <c r="C50">
        <f>21+161+9+638+1+0+0+12+64+1</f>
        <v>907</v>
      </c>
      <c r="D50">
        <f>3+304+0+1111+3</f>
        <v>1421</v>
      </c>
      <c r="E50">
        <f t="shared" si="0"/>
        <v>2328</v>
      </c>
      <c r="F50">
        <f t="shared" si="1"/>
        <v>47.723367697594504</v>
      </c>
    </row>
    <row r="51" spans="1:6" x14ac:dyDescent="0.25">
      <c r="A51" t="s">
        <v>51</v>
      </c>
      <c r="B51">
        <v>2883</v>
      </c>
      <c r="C51">
        <f>39+395+9+1567+0+1+1+35+146+3</f>
        <v>2196</v>
      </c>
      <c r="D51">
        <f>10+689+6+2883+13</f>
        <v>3601</v>
      </c>
      <c r="E51">
        <f t="shared" si="0"/>
        <v>5797</v>
      </c>
      <c r="F51">
        <f t="shared" si="1"/>
        <v>49.732620320855617</v>
      </c>
    </row>
    <row r="52" spans="1:6" x14ac:dyDescent="0.25">
      <c r="A52" t="s">
        <v>52</v>
      </c>
      <c r="B52">
        <v>809</v>
      </c>
      <c r="C52">
        <f>12+125+4+429+3+0+1+2+27+0</f>
        <v>603</v>
      </c>
      <c r="D52">
        <f>5+176+0+809+4</f>
        <v>994</v>
      </c>
      <c r="E52">
        <f t="shared" si="0"/>
        <v>1597</v>
      </c>
      <c r="F52">
        <f t="shared" si="1"/>
        <v>50.657482780212902</v>
      </c>
    </row>
    <row r="53" spans="1:6" x14ac:dyDescent="0.25">
      <c r="A53" t="s">
        <v>53</v>
      </c>
      <c r="B53">
        <v>2658</v>
      </c>
      <c r="C53">
        <f>45+489+6+1262+5+1+1+4+160+0</f>
        <v>1973</v>
      </c>
      <c r="D53">
        <f>9+850+5+2658+6</f>
        <v>3528</v>
      </c>
      <c r="E53">
        <f t="shared" si="0"/>
        <v>5501</v>
      </c>
      <c r="F53">
        <f t="shared" si="1"/>
        <v>48.318487547718597</v>
      </c>
    </row>
    <row r="54" spans="1:6" x14ac:dyDescent="0.25">
      <c r="A54" t="s">
        <v>54</v>
      </c>
      <c r="B54">
        <v>4200</v>
      </c>
      <c r="C54">
        <f>141+672+17+2199+17+6+2+42+780+1</f>
        <v>3877</v>
      </c>
      <c r="D54">
        <f>22+2310+9+4200+20</f>
        <v>6561</v>
      </c>
      <c r="E54">
        <f t="shared" si="0"/>
        <v>10438</v>
      </c>
      <c r="F54">
        <f t="shared" si="1"/>
        <v>40.237593408698984</v>
      </c>
    </row>
    <row r="55" spans="1:6" x14ac:dyDescent="0.25">
      <c r="A55" t="s">
        <v>55</v>
      </c>
      <c r="B55">
        <v>1757</v>
      </c>
      <c r="C55">
        <f>35+185+3+743+2+1+0+12+46+2</f>
        <v>1029</v>
      </c>
      <c r="D55">
        <f>7+283+1+1757+2</f>
        <v>2050</v>
      </c>
      <c r="E55">
        <f t="shared" si="0"/>
        <v>3079</v>
      </c>
      <c r="F55">
        <f t="shared" si="1"/>
        <v>57.063981812276708</v>
      </c>
    </row>
    <row r="56" spans="1:6" x14ac:dyDescent="0.25">
      <c r="A56" t="s">
        <v>56</v>
      </c>
      <c r="B56">
        <v>4117</v>
      </c>
      <c r="C56">
        <f>122+1095+18+3555+7+4+4+27+512+3</f>
        <v>5347</v>
      </c>
      <c r="D56">
        <f>22+2514+8+4117+21</f>
        <v>6682</v>
      </c>
      <c r="E56">
        <f t="shared" si="0"/>
        <v>12029</v>
      </c>
      <c r="F56">
        <f t="shared" si="1"/>
        <v>34.225621414913959</v>
      </c>
    </row>
    <row r="57" spans="1:6" x14ac:dyDescent="0.25">
      <c r="A57" t="s">
        <v>57</v>
      </c>
      <c r="B57">
        <v>1799</v>
      </c>
      <c r="C57">
        <f>31+271+8+690+6+5+0+11+141+0</f>
        <v>1163</v>
      </c>
      <c r="D57">
        <f>8+586+4+1799+6</f>
        <v>2403</v>
      </c>
      <c r="E57">
        <f t="shared" si="0"/>
        <v>3566</v>
      </c>
      <c r="F57">
        <f t="shared" si="1"/>
        <v>50.448681996634882</v>
      </c>
    </row>
    <row r="58" spans="1:6" x14ac:dyDescent="0.25">
      <c r="A58" t="s">
        <v>58</v>
      </c>
      <c r="B58">
        <v>1864</v>
      </c>
      <c r="C58">
        <f>14+297+1+992+2+1+3+10+125+1</f>
        <v>1446</v>
      </c>
      <c r="D58">
        <f>11+506+0+1864+3</f>
        <v>2384</v>
      </c>
      <c r="E58">
        <f t="shared" si="0"/>
        <v>3830</v>
      </c>
      <c r="F58">
        <f t="shared" si="1"/>
        <v>48.668407310704957</v>
      </c>
    </row>
    <row r="59" spans="1:6" x14ac:dyDescent="0.25">
      <c r="A59" t="s">
        <v>59</v>
      </c>
      <c r="B59">
        <v>4655</v>
      </c>
      <c r="C59">
        <f>86+945+5+3515+11+0+2+16+415+1</f>
        <v>4996</v>
      </c>
      <c r="D59">
        <f>18+2043+8+4655+13</f>
        <v>6737</v>
      </c>
      <c r="E59">
        <f t="shared" si="0"/>
        <v>11733</v>
      </c>
      <c r="F59">
        <f t="shared" si="1"/>
        <v>39.674422568822976</v>
      </c>
    </row>
    <row r="60" spans="1:6" x14ac:dyDescent="0.25">
      <c r="A60" t="s">
        <v>60</v>
      </c>
      <c r="B60">
        <v>3604</v>
      </c>
      <c r="C60">
        <f>134+744+15+2000+11+4+5+33+389+0</f>
        <v>3335</v>
      </c>
      <c r="D60">
        <f>19+1552+9+3604+34</f>
        <v>5218</v>
      </c>
      <c r="E60">
        <f t="shared" si="0"/>
        <v>8553</v>
      </c>
      <c r="F60">
        <f t="shared" si="1"/>
        <v>42.137261779492576</v>
      </c>
    </row>
    <row r="61" spans="1:6" x14ac:dyDescent="0.25">
      <c r="A61" t="s">
        <v>61</v>
      </c>
      <c r="B61">
        <v>1822</v>
      </c>
      <c r="C61">
        <f>25+385+6+782+2+2+0+28+109+0</f>
        <v>1339</v>
      </c>
      <c r="D61">
        <f>11+581+1+1822+2</f>
        <v>2417</v>
      </c>
      <c r="E61">
        <f t="shared" si="0"/>
        <v>3756</v>
      </c>
      <c r="F61">
        <f t="shared" si="1"/>
        <v>48.509052183173587</v>
      </c>
    </row>
    <row r="62" spans="1:6" x14ac:dyDescent="0.25">
      <c r="A62" t="s">
        <v>62</v>
      </c>
      <c r="B62">
        <v>946</v>
      </c>
      <c r="C62">
        <f>15+122+6+335+1+0+2+14+81+1</f>
        <v>577</v>
      </c>
      <c r="D62">
        <f>6+289+1+946+2</f>
        <v>1244</v>
      </c>
      <c r="E62">
        <f t="shared" si="0"/>
        <v>1821</v>
      </c>
      <c r="F62">
        <f t="shared" si="1"/>
        <v>51.949478308621636</v>
      </c>
    </row>
    <row r="63" spans="1:6" x14ac:dyDescent="0.25">
      <c r="A63" t="s">
        <v>63</v>
      </c>
      <c r="B63">
        <v>4082</v>
      </c>
      <c r="C63">
        <f>208+619+24+1796+7+7+5+60+316+3</f>
        <v>3045</v>
      </c>
      <c r="D63">
        <f>31+1333+5+4082+55</f>
        <v>5506</v>
      </c>
      <c r="E63">
        <f t="shared" si="0"/>
        <v>8551</v>
      </c>
      <c r="F63">
        <f t="shared" si="1"/>
        <v>47.737106771137874</v>
      </c>
    </row>
    <row r="64" spans="1:6" x14ac:dyDescent="0.25">
      <c r="A64" t="s">
        <v>64</v>
      </c>
      <c r="B64">
        <v>6514</v>
      </c>
      <c r="C64">
        <f>335+1336+41+4242+26+6+15+57+944+5</f>
        <v>7007</v>
      </c>
      <c r="D64">
        <f>67+3620+13+6514+75</f>
        <v>10289</v>
      </c>
      <c r="E64">
        <f t="shared" si="0"/>
        <v>17296</v>
      </c>
      <c r="F64">
        <f t="shared" si="1"/>
        <v>37.661887141535615</v>
      </c>
    </row>
    <row r="65" spans="1:6" x14ac:dyDescent="0.25">
      <c r="A65" t="s">
        <v>65</v>
      </c>
      <c r="B65">
        <v>687</v>
      </c>
      <c r="C65">
        <f>8+149+0+403+0+0+2+1+53+0</f>
        <v>616</v>
      </c>
      <c r="D65">
        <f>3+157+0+687+3</f>
        <v>850</v>
      </c>
      <c r="E65">
        <f t="shared" si="0"/>
        <v>1466</v>
      </c>
      <c r="F65">
        <f t="shared" si="1"/>
        <v>46.86221009549795</v>
      </c>
    </row>
    <row r="66" spans="1:6" x14ac:dyDescent="0.25">
      <c r="A66" t="s">
        <v>66</v>
      </c>
      <c r="B66">
        <v>1231</v>
      </c>
      <c r="C66">
        <f>25+176+4+692+1+2+0+2+64+2</f>
        <v>968</v>
      </c>
      <c r="D66">
        <f>6+342+1+1231+5</f>
        <v>1585</v>
      </c>
      <c r="E66">
        <f t="shared" si="0"/>
        <v>2553</v>
      </c>
      <c r="F66">
        <f t="shared" si="1"/>
        <v>48.217783000391698</v>
      </c>
    </row>
    <row r="67" spans="1:6" x14ac:dyDescent="0.25">
      <c r="A67" t="s">
        <v>67</v>
      </c>
      <c r="B67">
        <v>1908</v>
      </c>
      <c r="C67">
        <f>26+341+3+1437+4+0+0+11+129+0</f>
        <v>1951</v>
      </c>
      <c r="D67">
        <f>7+607+7+1908+6</f>
        <v>2535</v>
      </c>
      <c r="E67">
        <f t="shared" ref="E67:E96" si="2">C67+D67</f>
        <v>4486</v>
      </c>
      <c r="F67">
        <f t="shared" si="1"/>
        <v>42.532322781988405</v>
      </c>
    </row>
    <row r="68" spans="1:6" x14ac:dyDescent="0.25">
      <c r="A68" t="s">
        <v>68</v>
      </c>
      <c r="B68">
        <v>1584</v>
      </c>
      <c r="C68">
        <f>22+225+8+929+3+2+1+11+86+0</f>
        <v>1287</v>
      </c>
      <c r="D68">
        <f>10+455+3+1584+15</f>
        <v>2067</v>
      </c>
      <c r="E68">
        <f t="shared" si="2"/>
        <v>3354</v>
      </c>
      <c r="F68">
        <f t="shared" ref="F68:F96" si="3">B68/E68*100</f>
        <v>47.227191413237925</v>
      </c>
    </row>
    <row r="69" spans="1:6" x14ac:dyDescent="0.25">
      <c r="A69" t="s">
        <v>69</v>
      </c>
      <c r="B69">
        <v>542</v>
      </c>
      <c r="C69">
        <f>7+51+1+217+2+0+0+1+30+0</f>
        <v>309</v>
      </c>
      <c r="D69">
        <f>3+130+0+542+1</f>
        <v>676</v>
      </c>
      <c r="E69">
        <f t="shared" si="2"/>
        <v>985</v>
      </c>
      <c r="F69">
        <f t="shared" si="3"/>
        <v>55.025380710659903</v>
      </c>
    </row>
    <row r="70" spans="1:6" x14ac:dyDescent="0.25">
      <c r="A70" t="s">
        <v>70</v>
      </c>
      <c r="B70">
        <v>596</v>
      </c>
      <c r="C70">
        <f>24+90+0+277+0+0+0+4+47+0</f>
        <v>442</v>
      </c>
      <c r="D70">
        <f>1+143+0+596+7</f>
        <v>747</v>
      </c>
      <c r="E70">
        <f t="shared" si="2"/>
        <v>1189</v>
      </c>
      <c r="F70">
        <f t="shared" si="3"/>
        <v>50.126156433978132</v>
      </c>
    </row>
    <row r="71" spans="1:6" x14ac:dyDescent="0.25">
      <c r="A71" t="s">
        <v>71</v>
      </c>
      <c r="B71">
        <v>1180</v>
      </c>
      <c r="C71">
        <f>8+157+0+492+3+0+0+10+72+0</f>
        <v>742</v>
      </c>
      <c r="D71">
        <f>1+311+2+1180+5</f>
        <v>1499</v>
      </c>
      <c r="E71">
        <f t="shared" si="2"/>
        <v>2241</v>
      </c>
      <c r="F71">
        <f t="shared" si="3"/>
        <v>52.655064703257473</v>
      </c>
    </row>
    <row r="72" spans="1:6" x14ac:dyDescent="0.25">
      <c r="A72" t="s">
        <v>72</v>
      </c>
      <c r="B72">
        <v>4187</v>
      </c>
      <c r="C72">
        <f>70+999+11+2940+5+1+3+31+464+3</f>
        <v>4527</v>
      </c>
      <c r="D72">
        <f>15+1901+5+4187+9</f>
        <v>6117</v>
      </c>
      <c r="E72">
        <f t="shared" si="2"/>
        <v>10644</v>
      </c>
      <c r="F72">
        <f t="shared" si="3"/>
        <v>39.336715520481022</v>
      </c>
    </row>
    <row r="73" spans="1:6" x14ac:dyDescent="0.25">
      <c r="A73" t="s">
        <v>73</v>
      </c>
      <c r="B73">
        <v>2339</v>
      </c>
      <c r="C73">
        <f>90+449+10+1127+5+2+1+28+197+1</f>
        <v>1910</v>
      </c>
      <c r="D73">
        <f>12+1020+6+2339+23</f>
        <v>3400</v>
      </c>
      <c r="E73">
        <f t="shared" si="2"/>
        <v>5310</v>
      </c>
      <c r="F73">
        <f t="shared" si="3"/>
        <v>44.048964218455744</v>
      </c>
    </row>
    <row r="74" spans="1:6" x14ac:dyDescent="0.25">
      <c r="A74" t="s">
        <v>74</v>
      </c>
      <c r="B74">
        <v>3637</v>
      </c>
      <c r="C74">
        <f>101+661+13+2044+6+3+1+22+413+1</f>
        <v>3265</v>
      </c>
      <c r="D74">
        <f>11+1630+6+3637+23</f>
        <v>5307</v>
      </c>
      <c r="E74">
        <f t="shared" si="2"/>
        <v>8572</v>
      </c>
      <c r="F74">
        <f t="shared" si="3"/>
        <v>42.428838077461499</v>
      </c>
    </row>
    <row r="75" spans="1:6" x14ac:dyDescent="0.25">
      <c r="A75" t="s">
        <v>75</v>
      </c>
      <c r="B75">
        <v>4077</v>
      </c>
      <c r="C75">
        <f>70+821+12+3013+4+3+1+12+278+3</f>
        <v>4217</v>
      </c>
      <c r="D75">
        <f>12+1566+3+4077+9</f>
        <v>5667</v>
      </c>
      <c r="E75">
        <f t="shared" si="2"/>
        <v>9884</v>
      </c>
      <c r="F75">
        <f t="shared" si="3"/>
        <v>41.248482395791171</v>
      </c>
    </row>
    <row r="76" spans="1:6" x14ac:dyDescent="0.25">
      <c r="A76" t="s">
        <v>76</v>
      </c>
      <c r="B76">
        <v>13235</v>
      </c>
      <c r="C76">
        <f>371+3075+38+10988+26+4+8+78+1503</f>
        <v>16091</v>
      </c>
      <c r="D76">
        <f>108+7379+10+13235+54</f>
        <v>20786</v>
      </c>
      <c r="E76">
        <f t="shared" si="2"/>
        <v>36877</v>
      </c>
      <c r="F76">
        <f t="shared" si="3"/>
        <v>35.889578870298564</v>
      </c>
    </row>
    <row r="77" spans="1:6" x14ac:dyDescent="0.25">
      <c r="A77" t="s">
        <v>77</v>
      </c>
      <c r="B77">
        <v>1090</v>
      </c>
      <c r="C77">
        <f>17+134+1+509+3+1+1+11+76+0</f>
        <v>753</v>
      </c>
      <c r="D77">
        <f>4+405+2+1090+11</f>
        <v>1512</v>
      </c>
      <c r="E77">
        <f t="shared" si="2"/>
        <v>2265</v>
      </c>
      <c r="F77">
        <f t="shared" si="3"/>
        <v>48.123620309050771</v>
      </c>
    </row>
    <row r="78" spans="1:6" x14ac:dyDescent="0.25">
      <c r="A78" t="s">
        <v>78</v>
      </c>
      <c r="B78">
        <v>1047</v>
      </c>
      <c r="C78">
        <f>12+199+5+437+1+0+1+8+66+0</f>
        <v>729</v>
      </c>
      <c r="D78">
        <f>4+361+1+1047+2</f>
        <v>1415</v>
      </c>
      <c r="E78">
        <f t="shared" si="2"/>
        <v>2144</v>
      </c>
      <c r="F78">
        <f t="shared" si="3"/>
        <v>48.833955223880601</v>
      </c>
    </row>
    <row r="79" spans="1:6" x14ac:dyDescent="0.25">
      <c r="A79" t="s">
        <v>79</v>
      </c>
      <c r="B79">
        <v>7688</v>
      </c>
      <c r="C79">
        <f>174+1099+23+3473+10+4+3+46+634+4</f>
        <v>5470</v>
      </c>
      <c r="D79">
        <f>30+3170+13+7688+49</f>
        <v>10950</v>
      </c>
      <c r="E79">
        <f t="shared" si="2"/>
        <v>16420</v>
      </c>
      <c r="F79">
        <f t="shared" si="3"/>
        <v>46.820950060901339</v>
      </c>
    </row>
    <row r="80" spans="1:6" x14ac:dyDescent="0.25">
      <c r="A80" t="s">
        <v>80</v>
      </c>
      <c r="B80">
        <v>20803</v>
      </c>
      <c r="C80">
        <f>648+4123+77+19804+41+17+15+135+5194+9</f>
        <v>30063</v>
      </c>
      <c r="D80">
        <f>133+18300+34+20803+94</f>
        <v>39364</v>
      </c>
      <c r="E80">
        <f t="shared" si="2"/>
        <v>69427</v>
      </c>
      <c r="F80">
        <f t="shared" si="3"/>
        <v>29.963846918345887</v>
      </c>
    </row>
    <row r="81" spans="1:6" x14ac:dyDescent="0.25">
      <c r="A81" t="s">
        <v>81</v>
      </c>
      <c r="B81">
        <v>1419</v>
      </c>
      <c r="C81">
        <f>23+233+3+866+1+1+1+13+64+1</f>
        <v>1206</v>
      </c>
      <c r="D81">
        <f>5+316+2+1419+6</f>
        <v>1748</v>
      </c>
      <c r="E81">
        <f t="shared" si="2"/>
        <v>2954</v>
      </c>
      <c r="F81">
        <f t="shared" si="3"/>
        <v>48.0365605958023</v>
      </c>
    </row>
    <row r="82" spans="1:6" x14ac:dyDescent="0.25">
      <c r="A82" t="s">
        <v>82</v>
      </c>
      <c r="B82">
        <v>953</v>
      </c>
      <c r="C82">
        <f>15+130+3+443+0+1+1+3+63+0</f>
        <v>659</v>
      </c>
      <c r="D82">
        <f>3+301+2+953+4</f>
        <v>1263</v>
      </c>
      <c r="E82">
        <f t="shared" si="2"/>
        <v>1922</v>
      </c>
      <c r="F82">
        <f t="shared" si="3"/>
        <v>49.583766909469304</v>
      </c>
    </row>
    <row r="83" spans="1:6" x14ac:dyDescent="0.25">
      <c r="A83" t="s">
        <v>83</v>
      </c>
      <c r="B83">
        <v>8842</v>
      </c>
      <c r="C83">
        <f>263+1738+34+6153+18+6+8+53+1176+1</f>
        <v>9450</v>
      </c>
      <c r="D83">
        <f>52+4586+17+8842+28</f>
        <v>13525</v>
      </c>
      <c r="E83">
        <f t="shared" si="2"/>
        <v>22975</v>
      </c>
      <c r="F83">
        <f t="shared" si="3"/>
        <v>38.48531011969532</v>
      </c>
    </row>
    <row r="84" spans="1:6" x14ac:dyDescent="0.25">
      <c r="A84" t="s">
        <v>84</v>
      </c>
      <c r="B84">
        <v>9709</v>
      </c>
      <c r="C84">
        <f>202+2287+23+7584+12+5+4+58+1175+5</f>
        <v>11355</v>
      </c>
      <c r="D84">
        <f>53+5161+8+9709+42</f>
        <v>14973</v>
      </c>
      <c r="E84">
        <f t="shared" si="2"/>
        <v>26328</v>
      </c>
      <c r="F84">
        <f t="shared" si="3"/>
        <v>36.87708903068976</v>
      </c>
    </row>
    <row r="85" spans="1:6" x14ac:dyDescent="0.25">
      <c r="A85" t="s">
        <v>85</v>
      </c>
      <c r="B85">
        <v>3818</v>
      </c>
      <c r="C85">
        <f>42+534+14+2693+4+2+2+26+224+1</f>
        <v>3542</v>
      </c>
      <c r="D85">
        <f>12+1238+1+3618+4</f>
        <v>4873</v>
      </c>
      <c r="E85">
        <f t="shared" si="2"/>
        <v>8415</v>
      </c>
      <c r="F85">
        <f t="shared" si="3"/>
        <v>45.371360665478313</v>
      </c>
    </row>
    <row r="86" spans="1:6" x14ac:dyDescent="0.25">
      <c r="A86" t="s">
        <v>86</v>
      </c>
      <c r="B86">
        <v>455</v>
      </c>
      <c r="C86">
        <f>4+63+2+284+1+0+2+2+24+0</f>
        <v>382</v>
      </c>
      <c r="D86">
        <f>1+91+0+455+1</f>
        <v>548</v>
      </c>
      <c r="E86">
        <f t="shared" si="2"/>
        <v>930</v>
      </c>
      <c r="F86">
        <f t="shared" si="3"/>
        <v>48.924731182795696</v>
      </c>
    </row>
    <row r="87" spans="1:6" x14ac:dyDescent="0.25">
      <c r="A87" t="s">
        <v>87</v>
      </c>
      <c r="B87">
        <v>1813</v>
      </c>
      <c r="C87">
        <f>52+238+5+676+7+3+1+21+128+1</f>
        <v>1132</v>
      </c>
      <c r="D87">
        <f>8+614+3+1813+20</f>
        <v>2458</v>
      </c>
      <c r="E87">
        <f t="shared" si="2"/>
        <v>3590</v>
      </c>
      <c r="F87">
        <f t="shared" si="3"/>
        <v>50.50139275766017</v>
      </c>
    </row>
    <row r="88" spans="1:6" x14ac:dyDescent="0.25">
      <c r="A88" t="s">
        <v>88</v>
      </c>
      <c r="B88">
        <v>1312</v>
      </c>
      <c r="C88">
        <f>10+147+5+535+1+3+0+11+55+1</f>
        <v>768</v>
      </c>
      <c r="D88">
        <f>8+337+2+1312+3</f>
        <v>1662</v>
      </c>
      <c r="E88">
        <f t="shared" si="2"/>
        <v>2430</v>
      </c>
      <c r="F88">
        <f t="shared" si="3"/>
        <v>53.991769547325106</v>
      </c>
    </row>
    <row r="89" spans="1:6" x14ac:dyDescent="0.25">
      <c r="A89" t="s">
        <v>89</v>
      </c>
      <c r="B89">
        <v>493</v>
      </c>
      <c r="C89">
        <f>4+69+0+227+0+2+0+0+13+0</f>
        <v>315</v>
      </c>
      <c r="D89">
        <f>0+90+0+493+0</f>
        <v>583</v>
      </c>
      <c r="E89">
        <f t="shared" si="2"/>
        <v>898</v>
      </c>
      <c r="F89">
        <f t="shared" si="3"/>
        <v>54.899777282850778</v>
      </c>
    </row>
    <row r="90" spans="1:6" x14ac:dyDescent="0.25">
      <c r="A90" t="s">
        <v>90</v>
      </c>
      <c r="B90">
        <v>2277</v>
      </c>
      <c r="C90">
        <f>45+354+8+1184+4+0+0+10+142+1</f>
        <v>1748</v>
      </c>
      <c r="D90">
        <f>7+792+2+2277+8</f>
        <v>3086</v>
      </c>
      <c r="E90">
        <f t="shared" si="2"/>
        <v>4834</v>
      </c>
      <c r="F90">
        <f t="shared" si="3"/>
        <v>47.103847745138602</v>
      </c>
    </row>
    <row r="91" spans="1:6" x14ac:dyDescent="0.25">
      <c r="A91" t="s">
        <v>91</v>
      </c>
      <c r="B91">
        <v>6957</v>
      </c>
      <c r="C91">
        <f>199+1506+26+4774+11+10+5+62+1059+2</f>
        <v>7654</v>
      </c>
      <c r="D91">
        <f>42+4435+12+6957+35</f>
        <v>11481</v>
      </c>
      <c r="E91">
        <f t="shared" si="2"/>
        <v>19135</v>
      </c>
      <c r="F91">
        <f t="shared" si="3"/>
        <v>36.357460151554747</v>
      </c>
    </row>
    <row r="92" spans="1:6" x14ac:dyDescent="0.25">
      <c r="A92" t="s">
        <v>92</v>
      </c>
      <c r="B92">
        <v>1159</v>
      </c>
      <c r="C92">
        <f>23+158+2+530+0+0+0+6+50+0</f>
        <v>769</v>
      </c>
      <c r="D92">
        <f>3+261+1+1159+1</f>
        <v>1425</v>
      </c>
      <c r="E92">
        <f t="shared" si="2"/>
        <v>2194</v>
      </c>
      <c r="F92">
        <f t="shared" si="3"/>
        <v>52.825888787602551</v>
      </c>
    </row>
    <row r="93" spans="1:6" x14ac:dyDescent="0.25">
      <c r="A93" t="s">
        <v>93</v>
      </c>
      <c r="B93">
        <v>1765</v>
      </c>
      <c r="C93">
        <f>37+383+9+1210+1+1+1+18+143+2</f>
        <v>1805</v>
      </c>
      <c r="D93">
        <f>10+694+2+1765+8</f>
        <v>2479</v>
      </c>
      <c r="E93">
        <f t="shared" si="2"/>
        <v>4284</v>
      </c>
      <c r="F93">
        <f t="shared" si="3"/>
        <v>41.199813258636787</v>
      </c>
    </row>
    <row r="94" spans="1:6" x14ac:dyDescent="0.25">
      <c r="A94" t="s">
        <v>94</v>
      </c>
      <c r="B94">
        <v>2094</v>
      </c>
      <c r="C94">
        <f>25+307+3+1040+2+2+0+13+95+2</f>
        <v>1489</v>
      </c>
      <c r="D94">
        <f>9+497+3+2094+6</f>
        <v>2609</v>
      </c>
      <c r="E94">
        <f t="shared" si="2"/>
        <v>4098</v>
      </c>
      <c r="F94">
        <f t="shared" si="3"/>
        <v>51.098096632503662</v>
      </c>
    </row>
    <row r="95" spans="1:6" x14ac:dyDescent="0.25">
      <c r="A95" t="s">
        <v>95</v>
      </c>
      <c r="B95">
        <v>11389</v>
      </c>
      <c r="C95">
        <f>363+2759+36+10521+34+1+5+41+3285+8</f>
        <v>17053</v>
      </c>
      <c r="D95">
        <f>68+13073+13+11389+36</f>
        <v>24579</v>
      </c>
      <c r="E95">
        <f t="shared" si="2"/>
        <v>41632</v>
      </c>
      <c r="F95">
        <f t="shared" si="3"/>
        <v>27.356360491929284</v>
      </c>
    </row>
    <row r="96" spans="1:6" x14ac:dyDescent="0.25">
      <c r="A96" t="s">
        <v>96</v>
      </c>
      <c r="B96">
        <v>8576</v>
      </c>
      <c r="C96">
        <f>180+1651+21+6431+10+2+4+40+1020+1</f>
        <v>9360</v>
      </c>
      <c r="D96">
        <f>36+4064+12+8576+36</f>
        <v>12724</v>
      </c>
      <c r="E96">
        <f t="shared" si="2"/>
        <v>22084</v>
      </c>
      <c r="F96">
        <f t="shared" si="3"/>
        <v>38.833544647708749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akbailey</dc:creator>
  <cp:lastModifiedBy>akbailey</cp:lastModifiedBy>
  <dcterms:created xsi:type="dcterms:W3CDTF">2020-04-01T00:02:29Z</dcterms:created>
  <dcterms:modified xsi:type="dcterms:W3CDTF">2020-04-02T19:03:22Z</dcterms:modified>
</cp:coreProperties>
</file>