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2.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mc:AlternateContent xmlns:mc="http://schemas.openxmlformats.org/markup-compatibility/2006">
    <mc:Choice Requires="x15">
      <x15ac:absPath xmlns:x15ac="http://schemas.microsoft.com/office/spreadsheetml/2010/11/ac" url="C:\pd\FA\"/>
    </mc:Choice>
  </mc:AlternateContent>
  <xr:revisionPtr revIDLastSave="0" documentId="13_ncr:1_{C7EB5E29-9766-49E9-AF1D-54B776DACD67}" xr6:coauthVersionLast="47" xr6:coauthVersionMax="47" xr10:uidLastSave="{00000000-0000-0000-0000-000000000000}"/>
  <bookViews>
    <workbookView xWindow="-120" yWindow="-120" windowWidth="20730" windowHeight="10545" firstSheet="2" activeTab="6" xr2:uid="{00000000-000D-0000-FFFF-FFFF00000000}"/>
  </bookViews>
  <sheets>
    <sheet name="Instructions" sheetId="3" r:id="rId1"/>
    <sheet name="Description" sheetId="4" r:id="rId2"/>
    <sheet name="Dr Vijay Malik Analysis" sheetId="2" r:id="rId3"/>
    <sheet name="Version History" sheetId="5" r:id="rId4"/>
    <sheet name="Data Sheet" sheetId="6" r:id="rId5"/>
    <sheet name="DetailedDataSheet" sheetId="7" r:id="rId6"/>
    <sheet name="Graphs" sheetId="8" r:id="rId7"/>
    <sheet name="Compare" sheetId="9" r:id="rId8"/>
  </sheets>
  <externalReferences>
    <externalReference r:id="rId9"/>
  </externalReferences>
  <definedNames>
    <definedName name="UPDATE" localSheetId="5">DetailedDataSheet!$E$1</definedName>
    <definedName name="UPDATE">'Data Sheet'!$E$1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6" i="9" l="1"/>
  <c r="E159" i="9"/>
  <c r="E152" i="9"/>
  <c r="E145" i="9"/>
  <c r="B89" i="7" l="1"/>
  <c r="E20" i="9" s="1"/>
  <c r="G7" i="9" l="1"/>
  <c r="F7" i="9"/>
  <c r="B6" i="7"/>
  <c r="E7" i="9" s="1"/>
  <c r="B1" i="7"/>
  <c r="A1" i="7"/>
  <c r="D222" i="9" l="1"/>
  <c r="D215" i="9"/>
  <c r="D208" i="9"/>
  <c r="D173" i="9"/>
  <c r="D117" i="9"/>
  <c r="D54" i="9"/>
  <c r="D103" i="9"/>
  <c r="D201" i="9"/>
  <c r="D166" i="9"/>
  <c r="D194" i="9"/>
  <c r="D159" i="9"/>
  <c r="D96" i="9"/>
  <c r="D33" i="9"/>
  <c r="D187" i="9"/>
  <c r="D89" i="9"/>
  <c r="D40" i="9"/>
  <c r="D152" i="9"/>
  <c r="D82" i="9"/>
  <c r="D180" i="9"/>
  <c r="D75" i="9"/>
  <c r="D68" i="9"/>
  <c r="D110" i="9"/>
  <c r="D145" i="9"/>
  <c r="D61" i="9"/>
  <c r="D131" i="9"/>
  <c r="D124" i="9"/>
  <c r="D138" i="9"/>
  <c r="D26" i="9"/>
  <c r="D20" i="9"/>
  <c r="D47" i="9"/>
  <c r="D14" i="9"/>
  <c r="D7" i="9"/>
  <c r="J96" i="7"/>
  <c r="M89" i="9" s="1"/>
  <c r="A75" i="7"/>
  <c r="B75" i="7"/>
  <c r="C75" i="7"/>
  <c r="D75" i="7"/>
  <c r="E75" i="7"/>
  <c r="F75" i="7"/>
  <c r="G75" i="7"/>
  <c r="H75" i="7"/>
  <c r="I75" i="7"/>
  <c r="J75" i="7"/>
  <c r="K75" i="7"/>
  <c r="A76" i="7"/>
  <c r="B76" i="7"/>
  <c r="C76" i="7"/>
  <c r="D76" i="7"/>
  <c r="E76" i="7"/>
  <c r="F76" i="7"/>
  <c r="G76" i="7"/>
  <c r="H76" i="7"/>
  <c r="I76" i="7"/>
  <c r="J76" i="7"/>
  <c r="K76" i="7"/>
  <c r="A77" i="7"/>
  <c r="B77" i="7"/>
  <c r="C77" i="7"/>
  <c r="D77" i="7"/>
  <c r="E77" i="7"/>
  <c r="F77" i="7"/>
  <c r="G77" i="7"/>
  <c r="H77" i="7"/>
  <c r="I77" i="7"/>
  <c r="J77" i="7"/>
  <c r="K77" i="7"/>
  <c r="A78" i="7"/>
  <c r="B78" i="7"/>
  <c r="C78" i="7"/>
  <c r="D78" i="7"/>
  <c r="E78" i="7"/>
  <c r="F78" i="7"/>
  <c r="G78" i="7"/>
  <c r="H78" i="7"/>
  <c r="I78" i="7"/>
  <c r="J78" i="7"/>
  <c r="K78" i="7"/>
  <c r="A79" i="7"/>
  <c r="B79" i="7"/>
  <c r="C79" i="7"/>
  <c r="D79" i="7"/>
  <c r="E79" i="7"/>
  <c r="F79" i="7"/>
  <c r="G79" i="7"/>
  <c r="H79" i="7"/>
  <c r="I79" i="7"/>
  <c r="J79" i="7"/>
  <c r="K79" i="7"/>
  <c r="A80" i="7"/>
  <c r="B80" i="7"/>
  <c r="C80" i="7"/>
  <c r="D80" i="7"/>
  <c r="E80" i="7"/>
  <c r="F80" i="7"/>
  <c r="G80" i="7"/>
  <c r="H80" i="7"/>
  <c r="I80" i="7"/>
  <c r="J80" i="7"/>
  <c r="K80" i="7"/>
  <c r="A81" i="7"/>
  <c r="B81" i="7"/>
  <c r="C81" i="7"/>
  <c r="D81" i="7"/>
  <c r="E81" i="7"/>
  <c r="F81" i="7"/>
  <c r="G81" i="7"/>
  <c r="H81" i="7"/>
  <c r="I81" i="7"/>
  <c r="J81" i="7"/>
  <c r="K81" i="7"/>
  <c r="A82" i="7"/>
  <c r="B82" i="7"/>
  <c r="C82" i="7"/>
  <c r="D82" i="7"/>
  <c r="E82" i="7"/>
  <c r="F82" i="7"/>
  <c r="G82" i="7"/>
  <c r="H82" i="7"/>
  <c r="I82" i="7"/>
  <c r="J82" i="7"/>
  <c r="K82" i="7"/>
  <c r="A83" i="7"/>
  <c r="B83" i="7"/>
  <c r="C83" i="7"/>
  <c r="D83" i="7"/>
  <c r="E83" i="7"/>
  <c r="F83" i="7"/>
  <c r="G83" i="7"/>
  <c r="H83" i="7"/>
  <c r="I83" i="7"/>
  <c r="J83" i="7"/>
  <c r="K83" i="7"/>
  <c r="A84" i="7"/>
  <c r="B84" i="7"/>
  <c r="C84" i="7"/>
  <c r="D84" i="7"/>
  <c r="E84" i="7"/>
  <c r="F84" i="7"/>
  <c r="G84" i="7"/>
  <c r="H84" i="7"/>
  <c r="I84" i="7"/>
  <c r="J84" i="7"/>
  <c r="K84" i="7"/>
  <c r="A85" i="7"/>
  <c r="B85" i="7"/>
  <c r="C85" i="7"/>
  <c r="D85" i="7"/>
  <c r="E85" i="7"/>
  <c r="F85" i="7"/>
  <c r="G85" i="7"/>
  <c r="H85" i="7"/>
  <c r="I85" i="7"/>
  <c r="J85" i="7"/>
  <c r="K85" i="7"/>
  <c r="A86" i="7"/>
  <c r="B86" i="7"/>
  <c r="C86" i="7"/>
  <c r="D86" i="7"/>
  <c r="E86" i="7"/>
  <c r="F86" i="7"/>
  <c r="G86" i="7"/>
  <c r="H86" i="7"/>
  <c r="I86" i="7"/>
  <c r="J86" i="7"/>
  <c r="K86" i="7"/>
  <c r="B74" i="7"/>
  <c r="C74" i="7"/>
  <c r="D74" i="7"/>
  <c r="E74" i="7"/>
  <c r="F74" i="7"/>
  <c r="G74" i="7"/>
  <c r="H74" i="7"/>
  <c r="I74" i="7"/>
  <c r="J74" i="7"/>
  <c r="K74" i="7"/>
  <c r="A74" i="7"/>
  <c r="A50" i="7"/>
  <c r="B50" i="7"/>
  <c r="C50" i="7"/>
  <c r="F103" i="9" s="1"/>
  <c r="D50" i="7"/>
  <c r="G103" i="9" s="1"/>
  <c r="E50" i="7"/>
  <c r="H103" i="9" s="1"/>
  <c r="F50" i="7"/>
  <c r="I103" i="9" s="1"/>
  <c r="G50" i="7"/>
  <c r="J103" i="9" s="1"/>
  <c r="H50" i="7"/>
  <c r="K103" i="9" s="1"/>
  <c r="I50" i="7"/>
  <c r="L103" i="9" s="1"/>
  <c r="J50" i="7"/>
  <c r="K50" i="7"/>
  <c r="N103" i="9" s="1"/>
  <c r="A51" i="7"/>
  <c r="B51" i="7"/>
  <c r="E110" i="9" s="1"/>
  <c r="C51" i="7"/>
  <c r="F110" i="9" s="1"/>
  <c r="D51" i="7"/>
  <c r="G110" i="9" s="1"/>
  <c r="E51" i="7"/>
  <c r="H110" i="9" s="1"/>
  <c r="F51" i="7"/>
  <c r="I110" i="9" s="1"/>
  <c r="G51" i="7"/>
  <c r="J110" i="9" s="1"/>
  <c r="H51" i="7"/>
  <c r="K110" i="9" s="1"/>
  <c r="I51" i="7"/>
  <c r="L110" i="9" s="1"/>
  <c r="J51" i="7"/>
  <c r="M110" i="9" s="1"/>
  <c r="K51" i="7"/>
  <c r="N110" i="9" s="1"/>
  <c r="A52" i="7"/>
  <c r="B52" i="7"/>
  <c r="B100" i="7" s="1"/>
  <c r="C52" i="7"/>
  <c r="C96" i="7" s="1"/>
  <c r="F89" i="9" s="1"/>
  <c r="D52" i="7"/>
  <c r="D96" i="7" s="1"/>
  <c r="G89" i="9" s="1"/>
  <c r="E52" i="7"/>
  <c r="E96" i="7" s="1"/>
  <c r="H89" i="9" s="1"/>
  <c r="F52" i="7"/>
  <c r="F96" i="7" s="1"/>
  <c r="I89" i="9" s="1"/>
  <c r="G52" i="7"/>
  <c r="G96" i="7" s="1"/>
  <c r="J89" i="9" s="1"/>
  <c r="H52" i="7"/>
  <c r="H100" i="7" s="1"/>
  <c r="I52" i="7"/>
  <c r="I100" i="7" s="1"/>
  <c r="I104" i="7" s="1"/>
  <c r="J52" i="7"/>
  <c r="K52" i="7"/>
  <c r="K96" i="7" s="1"/>
  <c r="N89" i="9" s="1"/>
  <c r="A53" i="7"/>
  <c r="B53" i="7"/>
  <c r="C53" i="7"/>
  <c r="D53" i="7"/>
  <c r="E53" i="7"/>
  <c r="F53" i="7"/>
  <c r="G53" i="7"/>
  <c r="H53" i="7"/>
  <c r="I53" i="7"/>
  <c r="J53" i="7"/>
  <c r="K53" i="7"/>
  <c r="A54" i="7"/>
  <c r="B54" i="7"/>
  <c r="C54" i="7"/>
  <c r="D54" i="7"/>
  <c r="E54" i="7"/>
  <c r="F54" i="7"/>
  <c r="G54" i="7"/>
  <c r="H54" i="7"/>
  <c r="I54" i="7"/>
  <c r="J54" i="7"/>
  <c r="K54" i="7"/>
  <c r="A55" i="7"/>
  <c r="B55" i="7"/>
  <c r="C55" i="7"/>
  <c r="D55" i="7"/>
  <c r="E55" i="7"/>
  <c r="F55" i="7"/>
  <c r="G55" i="7"/>
  <c r="G107" i="7" s="1"/>
  <c r="J145" i="9" s="1"/>
  <c r="H55" i="7"/>
  <c r="I55" i="7"/>
  <c r="J55" i="7"/>
  <c r="K55" i="7"/>
  <c r="A56" i="7"/>
  <c r="B56" i="7"/>
  <c r="C56" i="7"/>
  <c r="D56" i="7"/>
  <c r="E56" i="7"/>
  <c r="F56" i="7"/>
  <c r="G56" i="7"/>
  <c r="H56" i="7"/>
  <c r="I56" i="7"/>
  <c r="J56" i="7"/>
  <c r="K56" i="7"/>
  <c r="A57" i="7"/>
  <c r="B57" i="7"/>
  <c r="C57" i="7"/>
  <c r="D57" i="7"/>
  <c r="E57" i="7"/>
  <c r="F57" i="7"/>
  <c r="G57" i="7"/>
  <c r="H57" i="7"/>
  <c r="I57" i="7"/>
  <c r="J57" i="7"/>
  <c r="K57" i="7"/>
  <c r="A58" i="7"/>
  <c r="B58" i="7"/>
  <c r="C58" i="7"/>
  <c r="D58" i="7"/>
  <c r="E58" i="7"/>
  <c r="F58" i="7"/>
  <c r="G58" i="7"/>
  <c r="H58" i="7"/>
  <c r="I58" i="7"/>
  <c r="J58" i="7"/>
  <c r="K58" i="7"/>
  <c r="A59" i="7"/>
  <c r="B59" i="7"/>
  <c r="C59" i="7"/>
  <c r="D59" i="7"/>
  <c r="E59" i="7"/>
  <c r="F59" i="7"/>
  <c r="G59" i="7"/>
  <c r="H59" i="7"/>
  <c r="I59" i="7"/>
  <c r="J59" i="7"/>
  <c r="K59" i="7"/>
  <c r="A60" i="7"/>
  <c r="B60" i="7"/>
  <c r="C60" i="7"/>
  <c r="D60" i="7"/>
  <c r="E60" i="7"/>
  <c r="F60" i="7"/>
  <c r="G60" i="7"/>
  <c r="H60" i="7"/>
  <c r="I60" i="7"/>
  <c r="J60" i="7"/>
  <c r="K60" i="7"/>
  <c r="A61" i="7"/>
  <c r="B61" i="7"/>
  <c r="C61" i="7"/>
  <c r="D61" i="7"/>
  <c r="E61" i="7"/>
  <c r="E110" i="7" s="1"/>
  <c r="E111" i="7" s="1"/>
  <c r="H152" i="9" s="1"/>
  <c r="F61" i="7"/>
  <c r="G61" i="7"/>
  <c r="H61" i="7"/>
  <c r="I61" i="7"/>
  <c r="J61" i="7"/>
  <c r="K61" i="7"/>
  <c r="A62" i="7"/>
  <c r="B62" i="7"/>
  <c r="C62" i="7"/>
  <c r="D62" i="7"/>
  <c r="E62" i="7"/>
  <c r="F62" i="7"/>
  <c r="G62" i="7"/>
  <c r="H62" i="7"/>
  <c r="I62" i="7"/>
  <c r="J62" i="7"/>
  <c r="K62" i="7"/>
  <c r="A63" i="7"/>
  <c r="B63" i="7"/>
  <c r="C63" i="7"/>
  <c r="D63" i="7"/>
  <c r="E63" i="7"/>
  <c r="F63" i="7"/>
  <c r="G63" i="7"/>
  <c r="H63" i="7"/>
  <c r="I63" i="7"/>
  <c r="J63" i="7"/>
  <c r="K63" i="7"/>
  <c r="A64" i="7"/>
  <c r="B64" i="7"/>
  <c r="C64" i="7"/>
  <c r="D64" i="7"/>
  <c r="E64" i="7"/>
  <c r="F64" i="7"/>
  <c r="G64" i="7"/>
  <c r="H64" i="7"/>
  <c r="I64" i="7"/>
  <c r="J64" i="7"/>
  <c r="K64" i="7"/>
  <c r="A65" i="7"/>
  <c r="B65" i="7"/>
  <c r="C65" i="7"/>
  <c r="D65" i="7"/>
  <c r="E65" i="7"/>
  <c r="F65" i="7"/>
  <c r="G65" i="7"/>
  <c r="H65" i="7"/>
  <c r="I65" i="7"/>
  <c r="J65" i="7"/>
  <c r="K65" i="7"/>
  <c r="J100" i="7"/>
  <c r="B49" i="7"/>
  <c r="C49" i="7"/>
  <c r="D49" i="7"/>
  <c r="E49" i="7"/>
  <c r="F49" i="7"/>
  <c r="G49" i="7"/>
  <c r="H49" i="7"/>
  <c r="I49" i="7"/>
  <c r="J49" i="7"/>
  <c r="K49" i="7"/>
  <c r="A49" i="7"/>
  <c r="A35" i="7"/>
  <c r="B35" i="7"/>
  <c r="E124" i="9" s="1"/>
  <c r="C35" i="7"/>
  <c r="F124" i="9" s="1"/>
  <c r="D35" i="7"/>
  <c r="G124" i="9" s="1"/>
  <c r="E35" i="7"/>
  <c r="H124" i="9" s="1"/>
  <c r="F35" i="7"/>
  <c r="I124" i="9" s="1"/>
  <c r="G35" i="7"/>
  <c r="J124" i="9" s="1"/>
  <c r="H35" i="7"/>
  <c r="K124" i="9" s="1"/>
  <c r="I35" i="7"/>
  <c r="L124" i="9" s="1"/>
  <c r="J35" i="7"/>
  <c r="M124" i="9" s="1"/>
  <c r="K35" i="7"/>
  <c r="N124" i="9" s="1"/>
  <c r="A36" i="7"/>
  <c r="B36" i="7"/>
  <c r="C36" i="7"/>
  <c r="D36" i="7"/>
  <c r="E36" i="7"/>
  <c r="F36" i="7"/>
  <c r="G36" i="7"/>
  <c r="H36" i="7"/>
  <c r="I36" i="7"/>
  <c r="J36" i="7"/>
  <c r="K36" i="7"/>
  <c r="A37" i="7"/>
  <c r="B37" i="7"/>
  <c r="C37" i="7"/>
  <c r="D37" i="7"/>
  <c r="E37" i="7"/>
  <c r="F37" i="7"/>
  <c r="G37" i="7"/>
  <c r="H37" i="7"/>
  <c r="I37" i="7"/>
  <c r="J37" i="7"/>
  <c r="K37" i="7"/>
  <c r="A38" i="7"/>
  <c r="B38" i="7"/>
  <c r="C38" i="7"/>
  <c r="D38" i="7"/>
  <c r="E38" i="7"/>
  <c r="F38" i="7"/>
  <c r="G38" i="7"/>
  <c r="H38" i="7"/>
  <c r="I38" i="7"/>
  <c r="J38" i="7"/>
  <c r="K38" i="7"/>
  <c r="A39" i="7"/>
  <c r="B39" i="7"/>
  <c r="C39" i="7"/>
  <c r="D39" i="7"/>
  <c r="E39" i="7"/>
  <c r="F39" i="7"/>
  <c r="G39" i="7"/>
  <c r="H39" i="7"/>
  <c r="I39" i="7"/>
  <c r="J39" i="7"/>
  <c r="K39" i="7"/>
  <c r="A40" i="7"/>
  <c r="B40" i="7"/>
  <c r="E131" i="9" s="1"/>
  <c r="C40" i="7"/>
  <c r="F131" i="9" s="1"/>
  <c r="D40" i="7"/>
  <c r="G131" i="9" s="1"/>
  <c r="E40" i="7"/>
  <c r="H131" i="9" s="1"/>
  <c r="F40" i="7"/>
  <c r="I131" i="9" s="1"/>
  <c r="G40" i="7"/>
  <c r="J131" i="9" s="1"/>
  <c r="H40" i="7"/>
  <c r="K131" i="9" s="1"/>
  <c r="I40" i="7"/>
  <c r="L131" i="9" s="1"/>
  <c r="J40" i="7"/>
  <c r="M131" i="9" s="1"/>
  <c r="K40" i="7"/>
  <c r="N131" i="9" s="1"/>
  <c r="A41" i="7"/>
  <c r="B41" i="7"/>
  <c r="C41" i="7"/>
  <c r="D41" i="7"/>
  <c r="E41" i="7"/>
  <c r="F41" i="7"/>
  <c r="G41" i="7"/>
  <c r="H41" i="7"/>
  <c r="I41" i="7"/>
  <c r="J41" i="7"/>
  <c r="K41" i="7"/>
  <c r="A42" i="7"/>
  <c r="B42" i="7"/>
  <c r="E138" i="9" s="1"/>
  <c r="C42" i="7"/>
  <c r="F138" i="9" s="1"/>
  <c r="D42" i="7"/>
  <c r="G138" i="9" s="1"/>
  <c r="E42" i="7"/>
  <c r="H138" i="9" s="1"/>
  <c r="F42" i="7"/>
  <c r="I138" i="9" s="1"/>
  <c r="G42" i="7"/>
  <c r="J138" i="9" s="1"/>
  <c r="H42" i="7"/>
  <c r="K138" i="9" s="1"/>
  <c r="I42" i="7"/>
  <c r="L138" i="9" s="1"/>
  <c r="J42" i="7"/>
  <c r="M138" i="9" s="1"/>
  <c r="K42" i="7"/>
  <c r="N138" i="9" s="1"/>
  <c r="A43" i="7"/>
  <c r="B43" i="7"/>
  <c r="C43" i="7"/>
  <c r="D43" i="7"/>
  <c r="E43" i="7"/>
  <c r="F43" i="7"/>
  <c r="G43" i="7"/>
  <c r="H43" i="7"/>
  <c r="I43" i="7"/>
  <c r="J43" i="7"/>
  <c r="K43" i="7"/>
  <c r="B34" i="7"/>
  <c r="C34" i="7"/>
  <c r="D34" i="7"/>
  <c r="E34" i="7"/>
  <c r="F34" i="7"/>
  <c r="G34" i="7"/>
  <c r="H34" i="7"/>
  <c r="I34" i="7"/>
  <c r="J34" i="7"/>
  <c r="K34" i="7"/>
  <c r="A34" i="7"/>
  <c r="A17" i="7"/>
  <c r="B17" i="7"/>
  <c r="E14" i="9" s="1"/>
  <c r="C17" i="7"/>
  <c r="F14" i="9" s="1"/>
  <c r="D17" i="7"/>
  <c r="G14" i="9" s="1"/>
  <c r="E17" i="7"/>
  <c r="H14" i="9" s="1"/>
  <c r="F17" i="7"/>
  <c r="I14" i="9" s="1"/>
  <c r="G17" i="7"/>
  <c r="J14" i="9" s="1"/>
  <c r="H17" i="7"/>
  <c r="K14" i="9" s="1"/>
  <c r="I17" i="7"/>
  <c r="L14" i="9" s="1"/>
  <c r="J17" i="7"/>
  <c r="M14" i="9" s="1"/>
  <c r="K17" i="7"/>
  <c r="N14" i="9" s="1"/>
  <c r="A18" i="7"/>
  <c r="B18" i="7"/>
  <c r="C18" i="7"/>
  <c r="D18" i="7"/>
  <c r="E18" i="7"/>
  <c r="F18" i="7"/>
  <c r="G18" i="7"/>
  <c r="H18" i="7"/>
  <c r="I18" i="7"/>
  <c r="J18" i="7"/>
  <c r="K18" i="7"/>
  <c r="A19" i="7"/>
  <c r="B19" i="7"/>
  <c r="C19" i="7"/>
  <c r="D19" i="7"/>
  <c r="E19" i="7"/>
  <c r="F19" i="7"/>
  <c r="G19" i="7"/>
  <c r="H19" i="7"/>
  <c r="I19" i="7"/>
  <c r="J19" i="7"/>
  <c r="K19" i="7"/>
  <c r="A20" i="7"/>
  <c r="B20" i="7"/>
  <c r="C20" i="7"/>
  <c r="D20" i="7"/>
  <c r="E20" i="7"/>
  <c r="F20" i="7"/>
  <c r="G20" i="7"/>
  <c r="H20" i="7"/>
  <c r="I20" i="7"/>
  <c r="J20" i="7"/>
  <c r="K20" i="7"/>
  <c r="A21" i="7"/>
  <c r="B21" i="7"/>
  <c r="C21" i="7"/>
  <c r="D21" i="7"/>
  <c r="E21" i="7"/>
  <c r="F21" i="7"/>
  <c r="G21" i="7"/>
  <c r="H21" i="7"/>
  <c r="I21" i="7"/>
  <c r="J21" i="7"/>
  <c r="K21" i="7"/>
  <c r="A22" i="7"/>
  <c r="B22" i="7"/>
  <c r="C22" i="7"/>
  <c r="D22" i="7"/>
  <c r="E22" i="7"/>
  <c r="F22" i="7"/>
  <c r="G22" i="7"/>
  <c r="H22" i="7"/>
  <c r="I22" i="7"/>
  <c r="J22" i="7"/>
  <c r="K22" i="7"/>
  <c r="A23" i="7"/>
  <c r="B23" i="7"/>
  <c r="C23" i="7"/>
  <c r="D23" i="7"/>
  <c r="E23" i="7"/>
  <c r="F23" i="7"/>
  <c r="G23" i="7"/>
  <c r="H23" i="7"/>
  <c r="I23" i="7"/>
  <c r="J23" i="7"/>
  <c r="K23" i="7"/>
  <c r="A24" i="7"/>
  <c r="B24" i="7"/>
  <c r="C24" i="7"/>
  <c r="D24" i="7"/>
  <c r="E24" i="7"/>
  <c r="F24" i="7"/>
  <c r="G24" i="7"/>
  <c r="H24" i="7"/>
  <c r="I24" i="7"/>
  <c r="J24" i="7"/>
  <c r="K24" i="7"/>
  <c r="A25" i="7"/>
  <c r="B25" i="7"/>
  <c r="E47" i="9" s="1"/>
  <c r="C25" i="7"/>
  <c r="F47" i="9" s="1"/>
  <c r="D25" i="7"/>
  <c r="G47" i="9" s="1"/>
  <c r="E25" i="7"/>
  <c r="H47" i="9" s="1"/>
  <c r="F25" i="7"/>
  <c r="I47" i="9" s="1"/>
  <c r="G25" i="7"/>
  <c r="J47" i="9" s="1"/>
  <c r="H25" i="7"/>
  <c r="K47" i="9" s="1"/>
  <c r="I25" i="7"/>
  <c r="L47" i="9" s="1"/>
  <c r="J25" i="7"/>
  <c r="M47" i="9" s="1"/>
  <c r="K25" i="7"/>
  <c r="N47" i="9" s="1"/>
  <c r="A26" i="7"/>
  <c r="B26" i="7"/>
  <c r="E82" i="9" s="1"/>
  <c r="C26" i="7"/>
  <c r="F82" i="9" s="1"/>
  <c r="D26" i="7"/>
  <c r="G82" i="9" s="1"/>
  <c r="E26" i="7"/>
  <c r="H82" i="9" s="1"/>
  <c r="F26" i="7"/>
  <c r="I82" i="9" s="1"/>
  <c r="G26" i="7"/>
  <c r="J82" i="9" s="1"/>
  <c r="H26" i="7"/>
  <c r="K82" i="9" s="1"/>
  <c r="I26" i="7"/>
  <c r="L82" i="9" s="1"/>
  <c r="J26" i="7"/>
  <c r="M82" i="9" s="1"/>
  <c r="K26" i="7"/>
  <c r="N82" i="9" s="1"/>
  <c r="A27" i="7"/>
  <c r="B27" i="7"/>
  <c r="C27" i="7"/>
  <c r="D27" i="7"/>
  <c r="E27" i="7"/>
  <c r="F27" i="7"/>
  <c r="G27" i="7"/>
  <c r="H27" i="7"/>
  <c r="I27" i="7"/>
  <c r="J27" i="7"/>
  <c r="K27" i="7"/>
  <c r="A28" i="7"/>
  <c r="B28" i="7"/>
  <c r="E33" i="9" s="1"/>
  <c r="C28" i="7"/>
  <c r="F33" i="9" s="1"/>
  <c r="D28" i="7"/>
  <c r="G33" i="9" s="1"/>
  <c r="E28" i="7"/>
  <c r="H33" i="9" s="1"/>
  <c r="F28" i="7"/>
  <c r="I33" i="9" s="1"/>
  <c r="G28" i="7"/>
  <c r="J33" i="9" s="1"/>
  <c r="H28" i="7"/>
  <c r="K33" i="9" s="1"/>
  <c r="I28" i="7"/>
  <c r="L33" i="9" s="1"/>
  <c r="J28" i="7"/>
  <c r="M33" i="9" s="1"/>
  <c r="K28" i="7"/>
  <c r="N33" i="9" s="1"/>
  <c r="A29" i="7"/>
  <c r="B29" i="7"/>
  <c r="C29" i="7"/>
  <c r="D29" i="7"/>
  <c r="E29" i="7"/>
  <c r="F29" i="7"/>
  <c r="G29" i="7"/>
  <c r="H29" i="7"/>
  <c r="I29" i="7"/>
  <c r="J29" i="7"/>
  <c r="K29" i="7"/>
  <c r="A30" i="7"/>
  <c r="B30" i="7"/>
  <c r="E40" i="9" s="1"/>
  <c r="C30" i="7"/>
  <c r="D30" i="7"/>
  <c r="G40" i="9" s="1"/>
  <c r="E30" i="7"/>
  <c r="H40" i="9" s="1"/>
  <c r="F30" i="7"/>
  <c r="G30" i="7"/>
  <c r="J40" i="9" s="1"/>
  <c r="H30" i="7"/>
  <c r="K40" i="9" s="1"/>
  <c r="I30" i="7"/>
  <c r="J30" i="7"/>
  <c r="M40" i="9" s="1"/>
  <c r="K30" i="7"/>
  <c r="A31" i="7"/>
  <c r="B31" i="7"/>
  <c r="C31" i="7"/>
  <c r="D31" i="7"/>
  <c r="E31" i="7"/>
  <c r="F31" i="7"/>
  <c r="G31" i="7"/>
  <c r="G116" i="7" s="1"/>
  <c r="H31" i="7"/>
  <c r="H116" i="7" s="1"/>
  <c r="I31" i="7"/>
  <c r="J31" i="7"/>
  <c r="K31" i="7"/>
  <c r="B16" i="7"/>
  <c r="C16" i="7"/>
  <c r="D16" i="7"/>
  <c r="E16" i="7"/>
  <c r="F16" i="7"/>
  <c r="G16" i="7"/>
  <c r="H16" i="7"/>
  <c r="I16" i="7"/>
  <c r="J16" i="7"/>
  <c r="K16" i="7"/>
  <c r="A16" i="7"/>
  <c r="G113" i="7"/>
  <c r="D116" i="7"/>
  <c r="E116" i="7"/>
  <c r="E115" i="7"/>
  <c r="H117" i="9" s="1"/>
  <c r="H115" i="7"/>
  <c r="K117" i="9" s="1"/>
  <c r="D112" i="7"/>
  <c r="G166" i="9" s="1"/>
  <c r="G112" i="7"/>
  <c r="J166" i="9" s="1"/>
  <c r="D110" i="7"/>
  <c r="D111" i="7" s="1"/>
  <c r="G152" i="9" s="1"/>
  <c r="K110" i="7"/>
  <c r="K111" i="7" s="1"/>
  <c r="N152" i="9" s="1"/>
  <c r="D107" i="7"/>
  <c r="G145" i="9" s="1"/>
  <c r="F107" i="7"/>
  <c r="I145" i="9" s="1"/>
  <c r="C100" i="7"/>
  <c r="D100" i="7"/>
  <c r="E100" i="7"/>
  <c r="F100" i="7"/>
  <c r="G100" i="7"/>
  <c r="K100" i="7"/>
  <c r="I96" i="7" l="1"/>
  <c r="L89" i="9" s="1"/>
  <c r="G109" i="9"/>
  <c r="G144" i="9"/>
  <c r="G88" i="9"/>
  <c r="G60" i="9"/>
  <c r="G165" i="9"/>
  <c r="G116" i="9"/>
  <c r="G81" i="9"/>
  <c r="G53" i="9"/>
  <c r="G32" i="9"/>
  <c r="G39" i="9"/>
  <c r="G95" i="9"/>
  <c r="G151" i="9"/>
  <c r="G158" i="9"/>
  <c r="G102" i="9"/>
  <c r="G67" i="9"/>
  <c r="G74" i="9"/>
  <c r="G25" i="9"/>
  <c r="G19" i="9"/>
  <c r="G46" i="9"/>
  <c r="G13" i="9"/>
  <c r="F116" i="7"/>
  <c r="I116" i="7"/>
  <c r="L40" i="9"/>
  <c r="G130" i="9"/>
  <c r="G123" i="9"/>
  <c r="G137" i="9"/>
  <c r="H96" i="7"/>
  <c r="K89" i="9" s="1"/>
  <c r="D115" i="7"/>
  <c r="G117" i="9" s="1"/>
  <c r="N165" i="9"/>
  <c r="N116" i="9"/>
  <c r="N81" i="9"/>
  <c r="N102" i="9"/>
  <c r="N67" i="9"/>
  <c r="N60" i="9"/>
  <c r="N74" i="9"/>
  <c r="N95" i="9"/>
  <c r="N53" i="9"/>
  <c r="N109" i="9"/>
  <c r="N32" i="9"/>
  <c r="N151" i="9"/>
  <c r="N39" i="9"/>
  <c r="N158" i="9"/>
  <c r="N144" i="9"/>
  <c r="N88" i="9"/>
  <c r="N25" i="9"/>
  <c r="N19" i="9"/>
  <c r="N46" i="9"/>
  <c r="N13" i="9"/>
  <c r="F165" i="9"/>
  <c r="F116" i="9"/>
  <c r="F81" i="9"/>
  <c r="F144" i="9"/>
  <c r="F32" i="9"/>
  <c r="F53" i="9"/>
  <c r="F95" i="9"/>
  <c r="F60" i="9"/>
  <c r="F67" i="9"/>
  <c r="F151" i="9"/>
  <c r="F88" i="9"/>
  <c r="F39" i="9"/>
  <c r="F158" i="9"/>
  <c r="F102" i="9"/>
  <c r="F74" i="9"/>
  <c r="F109" i="9"/>
  <c r="F25" i="9"/>
  <c r="F19" i="9"/>
  <c r="F46" i="9"/>
  <c r="F13" i="9"/>
  <c r="N130" i="9"/>
  <c r="N137" i="9"/>
  <c r="N123" i="9"/>
  <c r="F130" i="9"/>
  <c r="F123" i="9"/>
  <c r="F137" i="9"/>
  <c r="I110" i="7"/>
  <c r="I111" i="7" s="1"/>
  <c r="L152" i="9" s="1"/>
  <c r="R75" i="7"/>
  <c r="F110" i="7"/>
  <c r="F111" i="7" s="1"/>
  <c r="I152" i="9" s="1"/>
  <c r="B116" i="7"/>
  <c r="M165" i="9"/>
  <c r="M116" i="9"/>
  <c r="M81" i="9"/>
  <c r="M53" i="9"/>
  <c r="M158" i="9"/>
  <c r="M102" i="9"/>
  <c r="M74" i="9"/>
  <c r="M32" i="9"/>
  <c r="M109" i="9"/>
  <c r="M67" i="9"/>
  <c r="M95" i="9"/>
  <c r="M39" i="9"/>
  <c r="M60" i="9"/>
  <c r="M144" i="9"/>
  <c r="M151" i="9"/>
  <c r="M88" i="9"/>
  <c r="M25" i="9"/>
  <c r="M19" i="9"/>
  <c r="M46" i="9"/>
  <c r="M13" i="9"/>
  <c r="E109" i="9"/>
  <c r="E144" i="9"/>
  <c r="E88" i="9"/>
  <c r="E60" i="9"/>
  <c r="E165" i="9"/>
  <c r="E116" i="9"/>
  <c r="E81" i="9"/>
  <c r="E53" i="9"/>
  <c r="E158" i="9"/>
  <c r="E95" i="9"/>
  <c r="E39" i="9"/>
  <c r="E102" i="9"/>
  <c r="E67" i="9"/>
  <c r="E151" i="9"/>
  <c r="E74" i="9"/>
  <c r="E32" i="9"/>
  <c r="E25" i="9"/>
  <c r="E19" i="9"/>
  <c r="E46" i="9"/>
  <c r="E13" i="9"/>
  <c r="M130" i="9"/>
  <c r="M123" i="9"/>
  <c r="M137" i="9"/>
  <c r="E130" i="9"/>
  <c r="E137" i="9"/>
  <c r="E123" i="9"/>
  <c r="C110" i="7"/>
  <c r="C111" i="7" s="1"/>
  <c r="F152" i="9" s="1"/>
  <c r="I151" i="9"/>
  <c r="I95" i="9"/>
  <c r="I67" i="9"/>
  <c r="I109" i="9"/>
  <c r="I144" i="9"/>
  <c r="I88" i="9"/>
  <c r="I60" i="9"/>
  <c r="I81" i="9"/>
  <c r="I165" i="9"/>
  <c r="I53" i="9"/>
  <c r="I32" i="9"/>
  <c r="I39" i="9"/>
  <c r="I116" i="9"/>
  <c r="I102" i="9"/>
  <c r="I158" i="9"/>
  <c r="I74" i="9"/>
  <c r="I25" i="9"/>
  <c r="I19" i="9"/>
  <c r="I46" i="9"/>
  <c r="I13" i="9"/>
  <c r="H39" i="9"/>
  <c r="H109" i="9"/>
  <c r="H144" i="9"/>
  <c r="H88" i="9"/>
  <c r="H151" i="9"/>
  <c r="H116" i="9"/>
  <c r="H74" i="9"/>
  <c r="H53" i="9"/>
  <c r="H32" i="9"/>
  <c r="H60" i="9"/>
  <c r="H158" i="9"/>
  <c r="H95" i="9"/>
  <c r="H165" i="9"/>
  <c r="H67" i="9"/>
  <c r="H81" i="9"/>
  <c r="H102" i="9"/>
  <c r="H25" i="9"/>
  <c r="H19" i="9"/>
  <c r="H46" i="9"/>
  <c r="H13" i="9"/>
  <c r="I112" i="7"/>
  <c r="L166" i="9" s="1"/>
  <c r="J116" i="7"/>
  <c r="L158" i="9"/>
  <c r="L102" i="9"/>
  <c r="L74" i="9"/>
  <c r="L67" i="9"/>
  <c r="L165" i="9"/>
  <c r="L144" i="9"/>
  <c r="L32" i="9"/>
  <c r="L116" i="9"/>
  <c r="L53" i="9"/>
  <c r="L81" i="9"/>
  <c r="L109" i="9"/>
  <c r="L151" i="9"/>
  <c r="L88" i="9"/>
  <c r="L95" i="9"/>
  <c r="L39" i="9"/>
  <c r="L60" i="9"/>
  <c r="L25" i="9"/>
  <c r="L19" i="9"/>
  <c r="L46" i="9"/>
  <c r="L13" i="9"/>
  <c r="F115" i="7"/>
  <c r="I117" i="9" s="1"/>
  <c r="I40" i="9"/>
  <c r="L130" i="9"/>
  <c r="L137" i="9"/>
  <c r="L123" i="9"/>
  <c r="F113" i="7"/>
  <c r="D113" i="7"/>
  <c r="K107" i="7"/>
  <c r="N145" i="9" s="1"/>
  <c r="C107" i="7"/>
  <c r="F145" i="9" s="1"/>
  <c r="J115" i="7"/>
  <c r="M117" i="9" s="1"/>
  <c r="M103" i="9"/>
  <c r="B115" i="7"/>
  <c r="E117" i="9" s="1"/>
  <c r="E103" i="9"/>
  <c r="C115" i="7"/>
  <c r="F117" i="9" s="1"/>
  <c r="F40" i="9"/>
  <c r="I137" i="9"/>
  <c r="I123" i="9"/>
  <c r="I130" i="9"/>
  <c r="H137" i="9"/>
  <c r="H123" i="9"/>
  <c r="H130" i="9"/>
  <c r="K158" i="9"/>
  <c r="K102" i="9"/>
  <c r="K74" i="9"/>
  <c r="K32" i="9"/>
  <c r="K151" i="9"/>
  <c r="K95" i="9"/>
  <c r="K67" i="9"/>
  <c r="K165" i="9"/>
  <c r="K116" i="9"/>
  <c r="K81" i="9"/>
  <c r="K88" i="9"/>
  <c r="K109" i="9"/>
  <c r="K144" i="9"/>
  <c r="K39" i="9"/>
  <c r="K53" i="9"/>
  <c r="K60" i="9"/>
  <c r="K25" i="9"/>
  <c r="K19" i="9"/>
  <c r="K46" i="9"/>
  <c r="K13" i="9"/>
  <c r="S75" i="7"/>
  <c r="K137" i="9"/>
  <c r="K123" i="9"/>
  <c r="K130" i="9"/>
  <c r="B96" i="7"/>
  <c r="E89" i="9" s="1"/>
  <c r="K115" i="7"/>
  <c r="N117" i="9" s="1"/>
  <c r="N40" i="9"/>
  <c r="G115" i="7"/>
  <c r="J117" i="9" s="1"/>
  <c r="D104" i="7"/>
  <c r="J151" i="9"/>
  <c r="J95" i="9"/>
  <c r="J67" i="9"/>
  <c r="J39" i="9"/>
  <c r="J109" i="9"/>
  <c r="J116" i="9"/>
  <c r="J74" i="9"/>
  <c r="J81" i="9"/>
  <c r="J144" i="9"/>
  <c r="J158" i="9"/>
  <c r="J165" i="9"/>
  <c r="J88" i="9"/>
  <c r="J102" i="9"/>
  <c r="J60" i="9"/>
  <c r="J53" i="9"/>
  <c r="J32" i="9"/>
  <c r="J25" i="9"/>
  <c r="J19" i="9"/>
  <c r="J46" i="9"/>
  <c r="J13" i="9"/>
  <c r="J137" i="9"/>
  <c r="J123" i="9"/>
  <c r="J130" i="9"/>
  <c r="G110" i="7"/>
  <c r="G111" i="7" s="1"/>
  <c r="J152" i="9" s="1"/>
  <c r="K113" i="7"/>
  <c r="C112" i="7"/>
  <c r="F166" i="9" s="1"/>
  <c r="I107" i="7"/>
  <c r="L145" i="9" s="1"/>
  <c r="C101" i="7"/>
  <c r="I113" i="7"/>
  <c r="C104" i="7"/>
  <c r="E113" i="7"/>
  <c r="J112" i="7"/>
  <c r="M166" i="9" s="1"/>
  <c r="K104" i="7"/>
  <c r="H112" i="7"/>
  <c r="K166" i="9" s="1"/>
  <c r="J110" i="7"/>
  <c r="J111" i="7" s="1"/>
  <c r="M152" i="9" s="1"/>
  <c r="K112" i="7"/>
  <c r="N166" i="9" s="1"/>
  <c r="E112" i="7"/>
  <c r="H166" i="9" s="1"/>
  <c r="H104" i="7"/>
  <c r="H110" i="7"/>
  <c r="H111" i="7" s="1"/>
  <c r="K152" i="9" s="1"/>
  <c r="G104" i="7"/>
  <c r="F112" i="7"/>
  <c r="I166" i="9" s="1"/>
  <c r="C113" i="7"/>
  <c r="J113" i="7"/>
  <c r="J107" i="7"/>
  <c r="M145" i="9" s="1"/>
  <c r="K116" i="7"/>
  <c r="C116" i="7"/>
  <c r="I115" i="7"/>
  <c r="L117" i="9" s="1"/>
  <c r="E107" i="7"/>
  <c r="H145" i="9" s="1"/>
  <c r="H107" i="7"/>
  <c r="K145" i="9" s="1"/>
  <c r="H113" i="7"/>
  <c r="G101" i="7"/>
  <c r="F101" i="7"/>
  <c r="J104" i="7"/>
  <c r="B104" i="7"/>
  <c r="F104" i="7"/>
  <c r="E104" i="7"/>
  <c r="E101" i="7"/>
  <c r="K101" i="7"/>
  <c r="H101" i="7"/>
  <c r="J101" i="7"/>
  <c r="I101" i="7"/>
  <c r="D101" i="7"/>
  <c r="H159" i="9" l="1"/>
  <c r="D102" i="7"/>
  <c r="G159" i="9"/>
  <c r="L159" i="9"/>
  <c r="I159" i="9"/>
  <c r="C102" i="7"/>
  <c r="F159" i="9"/>
  <c r="N159" i="9"/>
  <c r="M159" i="9"/>
  <c r="K159" i="9"/>
  <c r="J159" i="9"/>
  <c r="D99" i="7"/>
  <c r="E99" i="7"/>
  <c r="F99" i="7"/>
  <c r="G99" i="7"/>
  <c r="H99" i="7"/>
  <c r="I99" i="7"/>
  <c r="J99" i="7"/>
  <c r="K99" i="7"/>
  <c r="C99" i="7"/>
  <c r="C97" i="7" l="1"/>
  <c r="C103" i="7" s="1"/>
  <c r="D97" i="7"/>
  <c r="E97" i="7"/>
  <c r="E103" i="7" s="1"/>
  <c r="F97" i="7"/>
  <c r="F103" i="7" s="1"/>
  <c r="G97" i="7"/>
  <c r="G103" i="7" s="1"/>
  <c r="H97" i="7"/>
  <c r="H103" i="7" s="1"/>
  <c r="I97" i="7"/>
  <c r="I103" i="7" s="1"/>
  <c r="J97" i="7"/>
  <c r="J103" i="7" s="1"/>
  <c r="K97" i="7"/>
  <c r="K103" i="7" s="1"/>
  <c r="B97" i="7"/>
  <c r="B103" i="7" s="1"/>
  <c r="L22" i="7"/>
  <c r="L24" i="7"/>
  <c r="L25" i="7"/>
  <c r="L26" i="7"/>
  <c r="L28" i="7"/>
  <c r="L29" i="7"/>
  <c r="L30" i="7"/>
  <c r="L31" i="7"/>
  <c r="L17" i="7"/>
  <c r="C94" i="7"/>
  <c r="F75" i="9" s="1"/>
  <c r="D94" i="7"/>
  <c r="G75" i="9" s="1"/>
  <c r="E94" i="7"/>
  <c r="H75" i="9" s="1"/>
  <c r="F94" i="7"/>
  <c r="I75" i="9" s="1"/>
  <c r="G94" i="7"/>
  <c r="J75" i="9" s="1"/>
  <c r="H94" i="7"/>
  <c r="K75" i="9" s="1"/>
  <c r="I94" i="7"/>
  <c r="L75" i="9" s="1"/>
  <c r="J94" i="7"/>
  <c r="M75" i="9" s="1"/>
  <c r="K94" i="7"/>
  <c r="N75" i="9" s="1"/>
  <c r="B94" i="7"/>
  <c r="E75" i="9" s="1"/>
  <c r="C93" i="7"/>
  <c r="F68" i="9" s="1"/>
  <c r="D93" i="7"/>
  <c r="G68" i="9" s="1"/>
  <c r="E93" i="7"/>
  <c r="H68" i="9" s="1"/>
  <c r="F93" i="7"/>
  <c r="I68" i="9" s="1"/>
  <c r="G93" i="7"/>
  <c r="J68" i="9" s="1"/>
  <c r="H93" i="7"/>
  <c r="K68" i="9" s="1"/>
  <c r="I93" i="7"/>
  <c r="L68" i="9" s="1"/>
  <c r="J93" i="7"/>
  <c r="M68" i="9" s="1"/>
  <c r="K93" i="7"/>
  <c r="N68" i="9" s="1"/>
  <c r="B93" i="7"/>
  <c r="E68" i="9" s="1"/>
  <c r="C89" i="7"/>
  <c r="F20" i="9" s="1"/>
  <c r="D89" i="7"/>
  <c r="G20" i="9" s="1"/>
  <c r="E89" i="7"/>
  <c r="F89" i="7"/>
  <c r="G89" i="7"/>
  <c r="H89" i="7"/>
  <c r="I89" i="7"/>
  <c r="J89" i="7"/>
  <c r="K89" i="7"/>
  <c r="B90" i="7"/>
  <c r="E54" i="9" s="1"/>
  <c r="N20" i="9" l="1"/>
  <c r="K102" i="7"/>
  <c r="I20" i="9"/>
  <c r="F102" i="7"/>
  <c r="M20" i="9"/>
  <c r="J102" i="7"/>
  <c r="K20" i="9"/>
  <c r="H102" i="7"/>
  <c r="J20" i="9"/>
  <c r="G102" i="7"/>
  <c r="L20" i="9"/>
  <c r="I102" i="7"/>
  <c r="H20" i="9"/>
  <c r="E102" i="7"/>
  <c r="C90" i="7"/>
  <c r="F54" i="9" s="1"/>
  <c r="C109" i="7"/>
  <c r="I91" i="7"/>
  <c r="I109" i="7"/>
  <c r="J91" i="7"/>
  <c r="J109" i="7"/>
  <c r="G91" i="7"/>
  <c r="G109" i="7"/>
  <c r="F91" i="7"/>
  <c r="F109" i="7"/>
  <c r="H91" i="7"/>
  <c r="H109" i="7"/>
  <c r="E91" i="7"/>
  <c r="E109" i="7"/>
  <c r="K90" i="7"/>
  <c r="N54" i="9" s="1"/>
  <c r="K109" i="7"/>
  <c r="D90" i="7"/>
  <c r="G54" i="9" s="1"/>
  <c r="D109" i="7"/>
  <c r="E98" i="7"/>
  <c r="D103" i="7"/>
  <c r="K98" i="7"/>
  <c r="I98" i="7"/>
  <c r="C98" i="7"/>
  <c r="J98" i="7"/>
  <c r="H98" i="7"/>
  <c r="G98" i="7"/>
  <c r="F98" i="7"/>
  <c r="D98" i="7"/>
  <c r="E90" i="7"/>
  <c r="H54" i="9" s="1"/>
  <c r="I90" i="7"/>
  <c r="L54" i="9" s="1"/>
  <c r="L32" i="7"/>
  <c r="J90" i="7"/>
  <c r="M54" i="9" s="1"/>
  <c r="B91" i="7"/>
  <c r="D91" i="7"/>
  <c r="G26" i="9" s="1"/>
  <c r="K91" i="7"/>
  <c r="N26" i="9" s="1"/>
  <c r="H90" i="7"/>
  <c r="K54" i="9" s="1"/>
  <c r="C91" i="7"/>
  <c r="F26" i="9" s="1"/>
  <c r="G90" i="7"/>
  <c r="J54" i="9" s="1"/>
  <c r="F90" i="7"/>
  <c r="I54" i="9" s="1"/>
  <c r="G95" i="7" l="1"/>
  <c r="J96" i="9" s="1"/>
  <c r="J26" i="9"/>
  <c r="F95" i="7"/>
  <c r="I96" i="9" s="1"/>
  <c r="I26" i="9"/>
  <c r="E95" i="7"/>
  <c r="H96" i="9" s="1"/>
  <c r="H26" i="9"/>
  <c r="J95" i="7"/>
  <c r="M96" i="9" s="1"/>
  <c r="M26" i="9"/>
  <c r="Q75" i="7"/>
  <c r="E26" i="9"/>
  <c r="H95" i="7"/>
  <c r="K96" i="9" s="1"/>
  <c r="K26" i="9"/>
  <c r="I95" i="7"/>
  <c r="L96" i="9" s="1"/>
  <c r="L26" i="9"/>
  <c r="G92" i="7"/>
  <c r="J61" i="9" s="1"/>
  <c r="J92" i="7"/>
  <c r="M61" i="9" s="1"/>
  <c r="I92" i="7"/>
  <c r="L61" i="9" s="1"/>
  <c r="H92" i="7"/>
  <c r="K61" i="9" s="1"/>
  <c r="F92" i="7"/>
  <c r="I61" i="9" s="1"/>
  <c r="E92" i="7"/>
  <c r="H61" i="9" s="1"/>
  <c r="C95" i="7"/>
  <c r="F96" i="9" s="1"/>
  <c r="C92" i="7"/>
  <c r="F61" i="9" s="1"/>
  <c r="K95" i="7"/>
  <c r="N96" i="9" s="1"/>
  <c r="K92" i="7"/>
  <c r="N61" i="9" s="1"/>
  <c r="D95" i="7"/>
  <c r="G96" i="9" s="1"/>
  <c r="D92" i="7"/>
  <c r="G61" i="9" s="1"/>
  <c r="B95" i="7"/>
  <c r="E96" i="9" s="1"/>
  <c r="B92" i="7"/>
  <c r="E61" i="9" s="1"/>
  <c r="E1" i="7" l="1"/>
  <c r="B6" i="6"/>
  <c r="N59" i="2" l="1"/>
  <c r="L3" i="2" l="1"/>
  <c r="L8" i="2"/>
  <c r="L11" i="2"/>
  <c r="L12" i="2" s="1"/>
  <c r="L4" i="2"/>
  <c r="L13" i="2"/>
  <c r="L6" i="2"/>
  <c r="L10" i="2"/>
  <c r="L9" i="2"/>
  <c r="L5" i="2"/>
  <c r="S4" i="2" s="1"/>
  <c r="K51" i="2"/>
  <c r="J51" i="2"/>
  <c r="I51" i="2"/>
  <c r="H51" i="2"/>
  <c r="G51" i="2"/>
  <c r="F51" i="2"/>
  <c r="E51" i="2"/>
  <c r="D51" i="2"/>
  <c r="C51" i="2"/>
  <c r="B51" i="2"/>
  <c r="K50" i="2"/>
  <c r="J50" i="2"/>
  <c r="I50" i="2"/>
  <c r="H50" i="2"/>
  <c r="G50" i="2"/>
  <c r="F50" i="2"/>
  <c r="E50" i="2"/>
  <c r="D50" i="2"/>
  <c r="C50" i="2"/>
  <c r="B50" i="2"/>
  <c r="K49" i="2"/>
  <c r="J49" i="2"/>
  <c r="I49" i="2"/>
  <c r="H49" i="2"/>
  <c r="G49" i="2"/>
  <c r="F49" i="2"/>
  <c r="E49" i="2"/>
  <c r="D49" i="2"/>
  <c r="C49" i="2"/>
  <c r="B49" i="2"/>
  <c r="K48" i="2"/>
  <c r="J48" i="2"/>
  <c r="I48" i="2"/>
  <c r="H48" i="2"/>
  <c r="G48" i="2"/>
  <c r="F48" i="2"/>
  <c r="E48" i="2"/>
  <c r="D48" i="2"/>
  <c r="C48" i="2"/>
  <c r="B48" i="2"/>
  <c r="K47" i="2"/>
  <c r="K15" i="2" s="1"/>
  <c r="J47" i="2"/>
  <c r="J15" i="2" s="1"/>
  <c r="I47" i="2"/>
  <c r="I15" i="2" s="1"/>
  <c r="H47" i="2"/>
  <c r="H15" i="2" s="1"/>
  <c r="G47" i="2"/>
  <c r="G15" i="2" s="1"/>
  <c r="F47" i="2"/>
  <c r="F15" i="2" s="1"/>
  <c r="E47" i="2"/>
  <c r="E15" i="2" s="1"/>
  <c r="D47" i="2"/>
  <c r="D15" i="2" s="1"/>
  <c r="C47" i="2"/>
  <c r="C15" i="2" s="1"/>
  <c r="B47" i="2"/>
  <c r="M46" i="2"/>
  <c r="K40" i="2"/>
  <c r="J40" i="2"/>
  <c r="I40" i="2"/>
  <c r="H40" i="2"/>
  <c r="G40" i="2"/>
  <c r="F40" i="2"/>
  <c r="E40" i="2"/>
  <c r="D40" i="2"/>
  <c r="C40" i="2"/>
  <c r="B40" i="2"/>
  <c r="K39" i="2"/>
  <c r="J39" i="2"/>
  <c r="K43" i="2" s="1"/>
  <c r="I39" i="2"/>
  <c r="H39" i="2"/>
  <c r="G39" i="2"/>
  <c r="F39" i="2"/>
  <c r="E39" i="2"/>
  <c r="D39" i="2"/>
  <c r="C39" i="2"/>
  <c r="B39" i="2"/>
  <c r="B17" i="2" s="1"/>
  <c r="K37" i="2"/>
  <c r="M19" i="2" s="1"/>
  <c r="J37" i="2"/>
  <c r="J18" i="2" s="1"/>
  <c r="I37" i="2"/>
  <c r="I18" i="2" s="1"/>
  <c r="H37" i="2"/>
  <c r="H18" i="2" s="1"/>
  <c r="G37" i="2"/>
  <c r="G18" i="2" s="1"/>
  <c r="F37" i="2"/>
  <c r="F18" i="2" s="1"/>
  <c r="E37" i="2"/>
  <c r="E18" i="2" s="1"/>
  <c r="D37" i="2"/>
  <c r="D18" i="2" s="1"/>
  <c r="C37" i="2"/>
  <c r="C18" i="2" s="1"/>
  <c r="B37" i="2"/>
  <c r="B18" i="2" s="1"/>
  <c r="L36" i="2"/>
  <c r="I36" i="2"/>
  <c r="K34" i="2"/>
  <c r="J34" i="2"/>
  <c r="I34" i="2"/>
  <c r="H34" i="2"/>
  <c r="G34" i="2"/>
  <c r="F34" i="2"/>
  <c r="E34" i="2"/>
  <c r="D34" i="2"/>
  <c r="C34" i="2"/>
  <c r="B34" i="2"/>
  <c r="K33" i="2"/>
  <c r="J33" i="2"/>
  <c r="I33" i="2"/>
  <c r="H33" i="2"/>
  <c r="G33" i="2"/>
  <c r="F33" i="2"/>
  <c r="E33" i="2"/>
  <c r="D33" i="2"/>
  <c r="C33" i="2"/>
  <c r="B33" i="2"/>
  <c r="K32" i="2"/>
  <c r="J32" i="2"/>
  <c r="I32" i="2"/>
  <c r="H32" i="2"/>
  <c r="G32" i="2"/>
  <c r="F32" i="2"/>
  <c r="E32" i="2"/>
  <c r="D32" i="2"/>
  <c r="C32" i="2"/>
  <c r="B32" i="2"/>
  <c r="K31" i="2"/>
  <c r="J31" i="2"/>
  <c r="I31" i="2"/>
  <c r="H31" i="2"/>
  <c r="G31" i="2"/>
  <c r="F31" i="2"/>
  <c r="E31" i="2"/>
  <c r="D31" i="2"/>
  <c r="C31" i="2"/>
  <c r="B31" i="2"/>
  <c r="K30" i="2"/>
  <c r="J30" i="2"/>
  <c r="I30" i="2"/>
  <c r="H30" i="2"/>
  <c r="G30" i="2"/>
  <c r="F30" i="2"/>
  <c r="E30" i="2"/>
  <c r="D30" i="2"/>
  <c r="C30" i="2"/>
  <c r="B30" i="2"/>
  <c r="K29" i="2"/>
  <c r="J29" i="2"/>
  <c r="I29" i="2"/>
  <c r="H29" i="2"/>
  <c r="G29" i="2"/>
  <c r="F29" i="2"/>
  <c r="E29" i="2"/>
  <c r="D29" i="2"/>
  <c r="C29" i="2"/>
  <c r="B29" i="2"/>
  <c r="K28" i="2"/>
  <c r="J28" i="2"/>
  <c r="I28" i="2"/>
  <c r="H28" i="2"/>
  <c r="G28" i="2"/>
  <c r="F28" i="2"/>
  <c r="E28" i="2"/>
  <c r="D28" i="2"/>
  <c r="C28" i="2"/>
  <c r="K27" i="2"/>
  <c r="J27" i="2"/>
  <c r="I27" i="2"/>
  <c r="H27" i="2"/>
  <c r="G27" i="2"/>
  <c r="F27" i="2"/>
  <c r="E27" i="2"/>
  <c r="D27" i="2"/>
  <c r="C27" i="2"/>
  <c r="K26" i="2"/>
  <c r="J26" i="2"/>
  <c r="I26" i="2"/>
  <c r="H26" i="2"/>
  <c r="G26" i="2"/>
  <c r="F26" i="2"/>
  <c r="E26" i="2"/>
  <c r="D26" i="2"/>
  <c r="C26" i="2"/>
  <c r="O18" i="2"/>
  <c r="A18" i="2"/>
  <c r="G17" i="2"/>
  <c r="F17" i="2"/>
  <c r="A17" i="2"/>
  <c r="K16" i="2"/>
  <c r="J16" i="2"/>
  <c r="I16" i="2"/>
  <c r="H16" i="2"/>
  <c r="G16" i="2"/>
  <c r="F16" i="2"/>
  <c r="E16" i="2"/>
  <c r="D16" i="2"/>
  <c r="C16" i="2"/>
  <c r="O15" i="2"/>
  <c r="A15" i="2"/>
  <c r="O13" i="2"/>
  <c r="K13" i="2"/>
  <c r="R5" i="2" s="1"/>
  <c r="J13" i="2"/>
  <c r="I13" i="2"/>
  <c r="H13" i="2"/>
  <c r="G13" i="2"/>
  <c r="F13" i="2"/>
  <c r="E13" i="2"/>
  <c r="D13" i="2"/>
  <c r="C13" i="2"/>
  <c r="B13" i="2"/>
  <c r="K11" i="2"/>
  <c r="J11" i="2"/>
  <c r="I11" i="2"/>
  <c r="H11" i="2"/>
  <c r="G11" i="2"/>
  <c r="F11" i="2"/>
  <c r="E11" i="2"/>
  <c r="D11" i="2"/>
  <c r="C11" i="2"/>
  <c r="B11" i="2"/>
  <c r="K10" i="2"/>
  <c r="J10" i="2"/>
  <c r="I10" i="2"/>
  <c r="H10" i="2"/>
  <c r="G10" i="2"/>
  <c r="F10" i="2"/>
  <c r="E10" i="2"/>
  <c r="D10" i="2"/>
  <c r="C10" i="2"/>
  <c r="B10" i="2"/>
  <c r="K9" i="2"/>
  <c r="J9" i="2"/>
  <c r="I9" i="2"/>
  <c r="H9" i="2"/>
  <c r="G9" i="2"/>
  <c r="F9" i="2"/>
  <c r="E9" i="2"/>
  <c r="D9" i="2"/>
  <c r="C9" i="2"/>
  <c r="B9" i="2"/>
  <c r="K8" i="2"/>
  <c r="J8" i="2"/>
  <c r="I8" i="2"/>
  <c r="H8" i="2"/>
  <c r="G8" i="2"/>
  <c r="F8" i="2"/>
  <c r="E8" i="2"/>
  <c r="E23" i="2" s="1"/>
  <c r="D8" i="2"/>
  <c r="C8" i="2"/>
  <c r="B8" i="2"/>
  <c r="K6" i="2"/>
  <c r="J6" i="2"/>
  <c r="I6" i="2"/>
  <c r="H6" i="2"/>
  <c r="G6" i="2"/>
  <c r="F6" i="2"/>
  <c r="E6" i="2"/>
  <c r="D6" i="2"/>
  <c r="C6" i="2"/>
  <c r="B6" i="2"/>
  <c r="K4" i="2"/>
  <c r="J4" i="2"/>
  <c r="J7" i="2" s="1"/>
  <c r="I4" i="2"/>
  <c r="H4" i="2"/>
  <c r="G4" i="2"/>
  <c r="F4" i="2"/>
  <c r="F7" i="2" s="1"/>
  <c r="E4" i="2"/>
  <c r="D4" i="2"/>
  <c r="C4" i="2"/>
  <c r="B4" i="2"/>
  <c r="B7" i="2" s="1"/>
  <c r="K3" i="2"/>
  <c r="Q3" i="2" s="1"/>
  <c r="J3" i="2"/>
  <c r="I3" i="2"/>
  <c r="H3" i="2"/>
  <c r="G3" i="2"/>
  <c r="F3" i="2"/>
  <c r="E3" i="2"/>
  <c r="D3" i="2"/>
  <c r="C3" i="2"/>
  <c r="B3" i="2"/>
  <c r="K2" i="2"/>
  <c r="K46" i="2" s="1"/>
  <c r="J2" i="2"/>
  <c r="J46" i="2" s="1"/>
  <c r="I2" i="2"/>
  <c r="I46" i="2" s="1"/>
  <c r="H2" i="2"/>
  <c r="H46" i="2" s="1"/>
  <c r="G2" i="2"/>
  <c r="G46" i="2" s="1"/>
  <c r="F2" i="2"/>
  <c r="F46" i="2" s="1"/>
  <c r="E2" i="2"/>
  <c r="E46" i="2" s="1"/>
  <c r="D2" i="2"/>
  <c r="D46" i="2" s="1"/>
  <c r="C2" i="2"/>
  <c r="C46" i="2" s="1"/>
  <c r="B2" i="2"/>
  <c r="B46" i="2" s="1"/>
  <c r="L1" i="2"/>
  <c r="K36" i="2"/>
  <c r="C36" i="2"/>
  <c r="D36" i="2"/>
  <c r="E36" i="2"/>
  <c r="F36" i="2"/>
  <c r="G36" i="2"/>
  <c r="H36" i="2"/>
  <c r="J36" i="2"/>
  <c r="B36" i="2"/>
  <c r="S5" i="2" l="1"/>
  <c r="L7" i="2"/>
  <c r="L14" i="2"/>
  <c r="S3" i="2"/>
  <c r="I23" i="2"/>
  <c r="F21" i="2"/>
  <c r="J21" i="2"/>
  <c r="E59" i="2"/>
  <c r="I59" i="2"/>
  <c r="D12" i="2"/>
  <c r="H12" i="2"/>
  <c r="I12" i="2"/>
  <c r="O14" i="2"/>
  <c r="S6" i="2" s="1"/>
  <c r="Q32" i="2"/>
  <c r="F35" i="2"/>
  <c r="C23" i="2"/>
  <c r="G23" i="2"/>
  <c r="K23" i="2"/>
  <c r="G22" i="2"/>
  <c r="J35" i="2"/>
  <c r="H35" i="2"/>
  <c r="C41" i="2"/>
  <c r="G41" i="2"/>
  <c r="K41" i="2"/>
  <c r="M48" i="2"/>
  <c r="D22" i="2"/>
  <c r="H22" i="2"/>
  <c r="J17" i="2"/>
  <c r="G35" i="2"/>
  <c r="C35" i="2"/>
  <c r="Q5" i="2"/>
  <c r="K35" i="2"/>
  <c r="E12" i="2"/>
  <c r="M16" i="2"/>
  <c r="O75" i="7" s="1"/>
  <c r="D23" i="2"/>
  <c r="H23" i="2"/>
  <c r="B12" i="2"/>
  <c r="C12" i="2"/>
  <c r="G12" i="2"/>
  <c r="K12" i="2"/>
  <c r="D35" i="2"/>
  <c r="B59" i="2"/>
  <c r="O39" i="2"/>
  <c r="K44" i="2"/>
  <c r="C59" i="2"/>
  <c r="G59" i="2"/>
  <c r="K59" i="2"/>
  <c r="D21" i="2"/>
  <c r="H21" i="2"/>
  <c r="I24" i="2"/>
  <c r="C17" i="2"/>
  <c r="K17" i="2"/>
  <c r="D59" i="2"/>
  <c r="H59" i="2"/>
  <c r="M18" i="2"/>
  <c r="N20" i="2"/>
  <c r="B53" i="2" s="1"/>
  <c r="F43" i="2"/>
  <c r="F44" i="2" s="1"/>
  <c r="J43" i="2"/>
  <c r="J44" i="2" s="1"/>
  <c r="C22" i="2"/>
  <c r="Q40" i="2"/>
  <c r="K22" i="2"/>
  <c r="M50" i="2"/>
  <c r="C43" i="2"/>
  <c r="C44" i="2" s="1"/>
  <c r="F59" i="2"/>
  <c r="J59" i="2"/>
  <c r="G43" i="2"/>
  <c r="G44" i="2" s="1"/>
  <c r="D14" i="2"/>
  <c r="H14" i="2"/>
  <c r="B14" i="2"/>
  <c r="F22" i="2"/>
  <c r="J22" i="2"/>
  <c r="P32" i="2"/>
  <c r="P40" i="2"/>
  <c r="M49" i="2"/>
  <c r="F23" i="2"/>
  <c r="F12" i="2"/>
  <c r="J23" i="2"/>
  <c r="J12" i="2"/>
  <c r="C14" i="2"/>
  <c r="G14" i="2"/>
  <c r="K14" i="2"/>
  <c r="B41" i="2"/>
  <c r="F41" i="2"/>
  <c r="J41" i="2"/>
  <c r="M47" i="2"/>
  <c r="O4" i="2"/>
  <c r="G5" i="2"/>
  <c r="E22" i="2"/>
  <c r="E14" i="2"/>
  <c r="E35" i="2"/>
  <c r="I22" i="2"/>
  <c r="I14" i="2"/>
  <c r="I35" i="2"/>
  <c r="M13" i="2"/>
  <c r="P39" i="2"/>
  <c r="E43" i="2"/>
  <c r="E44" i="2" s="1"/>
  <c r="D43" i="2"/>
  <c r="D17" i="2"/>
  <c r="H43" i="2"/>
  <c r="H44" i="2" s="1"/>
  <c r="H17" i="2"/>
  <c r="I43" i="2"/>
  <c r="I44" i="2" s="1"/>
  <c r="D41" i="2"/>
  <c r="P4" i="2"/>
  <c r="D5" i="2"/>
  <c r="D44" i="2"/>
  <c r="D7" i="2"/>
  <c r="H5" i="2"/>
  <c r="R4" i="2"/>
  <c r="H7" i="2"/>
  <c r="K5" i="2"/>
  <c r="C7" i="2"/>
  <c r="E21" i="2"/>
  <c r="I21" i="2"/>
  <c r="E24" i="2"/>
  <c r="N21" i="2"/>
  <c r="B35" i="2"/>
  <c r="L37" i="2"/>
  <c r="K18" i="2"/>
  <c r="H41" i="2"/>
  <c r="R3" i="2"/>
  <c r="Q4" i="2"/>
  <c r="G7" i="2"/>
  <c r="P3" i="2"/>
  <c r="O3" i="2"/>
  <c r="C5" i="2"/>
  <c r="K7" i="2"/>
  <c r="H24" i="2"/>
  <c r="C21" i="2"/>
  <c r="G21" i="2"/>
  <c r="K21" i="2"/>
  <c r="F24" i="2"/>
  <c r="J24" i="2"/>
  <c r="R40" i="2"/>
  <c r="E41" i="2"/>
  <c r="I41" i="2"/>
  <c r="E5" i="2"/>
  <c r="I5" i="2"/>
  <c r="O5" i="2"/>
  <c r="E7" i="2"/>
  <c r="I7" i="2"/>
  <c r="F14" i="2"/>
  <c r="J14" i="2"/>
  <c r="O32" i="2"/>
  <c r="Q39" i="2"/>
  <c r="O40" i="2"/>
  <c r="R32" i="2"/>
  <c r="E17" i="2"/>
  <c r="I17" i="2"/>
  <c r="O17" i="2"/>
  <c r="G24" i="2"/>
  <c r="K24" i="2"/>
  <c r="B5" i="2"/>
  <c r="F5" i="2"/>
  <c r="J5" i="2"/>
  <c r="P5" i="2"/>
  <c r="B15" i="2"/>
  <c r="M15" i="2" s="1"/>
  <c r="N75" i="7" s="1"/>
  <c r="R39" i="2"/>
  <c r="E1" i="6"/>
  <c r="O6" i="2" l="1"/>
  <c r="P6" i="2"/>
  <c r="Q6" i="2"/>
  <c r="E20" i="2"/>
  <c r="M17" i="2"/>
  <c r="O16" i="2"/>
  <c r="H20" i="2"/>
  <c r="G20" i="2"/>
  <c r="I20" i="2"/>
  <c r="F20" i="2"/>
  <c r="R6" i="2"/>
  <c r="J20" i="2"/>
  <c r="K20" i="2"/>
  <c r="N22" i="2"/>
  <c r="B55" i="2" s="1"/>
  <c r="B54" i="2"/>
  <c r="M21" i="2" l="1"/>
  <c r="M22" i="2" s="1"/>
  <c r="P7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Harsha, Sri</author>
  </authors>
  <commentList>
    <comment ref="A89" authorId="0" shapeId="0" xr:uid="{BF68BBF0-C043-4B14-9C75-DBD990FFAEAF}">
      <text>
        <r>
          <rPr>
            <b/>
            <sz val="9"/>
            <color indexed="81"/>
            <rFont val="Tahoma"/>
            <family val="2"/>
          </rPr>
          <t>Harsha, Sri:</t>
        </r>
        <r>
          <rPr>
            <sz val="9"/>
            <color indexed="81"/>
            <rFont val="Tahoma"/>
            <family val="2"/>
          </rPr>
          <t xml:space="preserve">
Sales - Expense</t>
        </r>
      </text>
    </comment>
    <comment ref="A90" authorId="0" shapeId="0" xr:uid="{B882027B-C370-4C9A-9564-10624BEB2395}">
      <text>
        <r>
          <rPr>
            <b/>
            <sz val="9"/>
            <color indexed="81"/>
            <rFont val="Tahoma"/>
            <family val="2"/>
          </rPr>
          <t>Harsha, Sri:</t>
        </r>
        <r>
          <rPr>
            <sz val="9"/>
            <color indexed="81"/>
            <rFont val="Tahoma"/>
            <family val="2"/>
          </rPr>
          <t xml:space="preserve">
Operating Profit/Sales</t>
        </r>
      </text>
    </comment>
    <comment ref="A92" authorId="0" shapeId="0" xr:uid="{99B615E4-ADF0-4C8B-BBD2-90B51BF3AE26}">
      <text>
        <r>
          <rPr>
            <b/>
            <sz val="9"/>
            <color indexed="81"/>
            <rFont val="Tahoma"/>
            <family val="2"/>
          </rPr>
          <t>Harsha, Sri:</t>
        </r>
        <r>
          <rPr>
            <sz val="9"/>
            <color indexed="81"/>
            <rFont val="Tahoma"/>
            <family val="2"/>
          </rPr>
          <t xml:space="preserve">
The Earnings before Interest Tax Depreciation &amp; Amortization (EBITDA) margin indicates the efficiency of the management. It tells us how efficient the company’s operating model is. EBITDA Margin tells us how profitable (in percentage terms) the company is at an operating level. It always makes sense to compare the company’s EBITDA margin versus its competitor to get a sense of the management’s efficiency in terms of managing their expense.</t>
        </r>
      </text>
    </comment>
    <comment ref="A95" authorId="0" shapeId="0" xr:uid="{23784E04-3290-458B-89AA-5EEF03CE25CD}">
      <text>
        <r>
          <rPr>
            <b/>
            <sz val="9"/>
            <color indexed="81"/>
            <rFont val="Tahoma"/>
            <family val="2"/>
          </rPr>
          <t>Harsha, Sri:</t>
        </r>
        <r>
          <rPr>
            <sz val="9"/>
            <color indexed="81"/>
            <rFont val="Tahoma"/>
            <family val="2"/>
          </rPr>
          <t xml:space="preserve">
Sales-EBITDA</t>
        </r>
      </text>
    </comment>
    <comment ref="A98" authorId="0" shapeId="0" xr:uid="{D4AA3B03-8BAF-42A1-9E3C-6E7EF9FC8009}">
      <text>
        <r>
          <rPr>
            <b/>
            <sz val="9"/>
            <color indexed="81"/>
            <rFont val="Tahoma"/>
            <family val="2"/>
          </rPr>
          <t>Harsha, Sri:</t>
        </r>
        <r>
          <rPr>
            <sz val="9"/>
            <color indexed="81"/>
            <rFont val="Tahoma"/>
            <family val="2"/>
          </rPr>
          <t xml:space="preserve">
 RoE shows the efficiency of the company in terms of generating profits to its shareholders. Obviously, the higher the RoE, the better it is for the shareholders. In fact, this is one of the key ratios that help the investor identify investable attributes of the company. The average RoE of top Indian companies varies between 14 – 16% to give you a perspective. </t>
        </r>
        <r>
          <rPr>
            <b/>
            <sz val="9"/>
            <color indexed="81"/>
            <rFont val="Tahoma"/>
            <family val="2"/>
          </rPr>
          <t>High RoE is good. But Debt should be low. Debut with high RoE is not good.</t>
        </r>
      </text>
    </comment>
    <comment ref="A99" authorId="0" shapeId="0" xr:uid="{7DD18533-AA34-4B44-B45D-D3CF9C86E9FA}">
      <text>
        <r>
          <rPr>
            <b/>
            <sz val="9"/>
            <color indexed="81"/>
            <rFont val="Tahoma"/>
            <family val="2"/>
          </rPr>
          <t>Harsha, Sri:</t>
        </r>
        <r>
          <rPr>
            <sz val="9"/>
            <color indexed="81"/>
            <rFont val="Tahoma"/>
            <family val="2"/>
          </rPr>
          <t xml:space="preserve">
The Return on Capital employed indicates the company’s profitability, taking into consideration the overall capital it employs.
Overall capital includes both equity and debt (both long term and short term).
ROCE = [Profit before Interest &amp; Taxes / Overall Capital Employed]
Overall Capital Employed = Short term Debt + Long term Debt + Equity.</t>
        </r>
      </text>
    </comment>
    <comment ref="A102" authorId="0" shapeId="0" xr:uid="{111F03AE-9FE1-4C70-8B61-2EFB82E9023D}">
      <text>
        <r>
          <rPr>
            <b/>
            <sz val="9"/>
            <color indexed="81"/>
            <rFont val="Tahoma"/>
            <family val="2"/>
          </rPr>
          <t>Harsha, Sri:</t>
        </r>
        <r>
          <rPr>
            <sz val="9"/>
            <color indexed="81"/>
            <rFont val="Tahoma"/>
            <family val="2"/>
          </rPr>
          <t xml:space="preserve">
The interest coverage ratio helps us understand how much the company is earning relative to the interest burden of the company. [Earnings before Interest and Tax / Interest Payment]</t>
        </r>
      </text>
    </comment>
    <comment ref="A103" authorId="0" shapeId="0" xr:uid="{B0E1ACFA-F666-45D6-9B20-54A0A2EDC7DA}">
      <text>
        <r>
          <rPr>
            <b/>
            <sz val="9"/>
            <color indexed="81"/>
            <rFont val="Tahoma"/>
            <family val="2"/>
          </rPr>
          <t>Harsha, Sri:</t>
        </r>
        <r>
          <rPr>
            <sz val="9"/>
            <color indexed="81"/>
            <rFont val="Tahoma"/>
            <family val="2"/>
          </rPr>
          <t xml:space="preserve">
. It measures the amount of the total debt capital with respect to the total equity capital. A value of 1 on this ratio indicates an equal amount of debt and equity capital. Higher debt to equity (more than 1) indicates higher leverage and hence one needs to be careful. Lower than 1 indicates a relatively bigger equity base with respect to the debt.</t>
        </r>
      </text>
    </comment>
    <comment ref="A104" authorId="0" shapeId="0" xr:uid="{B6FFF8EE-A176-4A9F-AD33-AF397040853F}">
      <text>
        <r>
          <rPr>
            <b/>
            <sz val="9"/>
            <color indexed="81"/>
            <rFont val="Tahoma"/>
            <family val="2"/>
          </rPr>
          <t>Harsha, Sri:</t>
        </r>
        <r>
          <rPr>
            <sz val="9"/>
            <color indexed="81"/>
            <rFont val="Tahoma"/>
            <family val="2"/>
          </rPr>
          <t xml:space="preserve">
This ratio helps us understand the asset financing pattern of the company. It conveys to us how much of the total assets are financed through debt capital.
The formula to calculate the same is:
</t>
        </r>
        <r>
          <rPr>
            <b/>
            <sz val="9"/>
            <color indexed="81"/>
            <rFont val="Tahoma"/>
            <family val="2"/>
          </rPr>
          <t>Total Debt / Total Assets</t>
        </r>
      </text>
    </comment>
    <comment ref="A107" authorId="0" shapeId="0" xr:uid="{D2A1720A-EA05-4091-8A41-E5C64C17B30A}">
      <text>
        <r>
          <rPr>
            <b/>
            <sz val="9"/>
            <color indexed="81"/>
            <rFont val="Tahoma"/>
            <family val="2"/>
          </rPr>
          <t>Harsha, Sri:</t>
        </r>
        <r>
          <rPr>
            <sz val="9"/>
            <color indexed="81"/>
            <rFont val="Tahoma"/>
            <family val="2"/>
          </rPr>
          <t xml:space="preserve">
how effciently company uses its fixed assets
Fixed Assets Turnover = Operating Revenues / Total Average Asset</t>
        </r>
      </text>
    </comment>
    <comment ref="A108" authorId="0" shapeId="0" xr:uid="{48285332-4F3A-409F-A7CD-82244501FF3C}">
      <text>
        <r>
          <rPr>
            <b/>
            <sz val="9"/>
            <color indexed="81"/>
            <rFont val="Tahoma"/>
            <family val="2"/>
          </rPr>
          <t>Harsha, Sri:</t>
        </r>
        <r>
          <rPr>
            <sz val="9"/>
            <color indexed="81"/>
            <rFont val="Tahoma"/>
            <family val="2"/>
          </rPr>
          <t xml:space="preserve">
Working Capital = Current Assets – Current Liabilities
Working Capital Turnover = [Revenue / Average Working Capital]
</t>
        </r>
      </text>
    </comment>
    <comment ref="A109" authorId="0" shapeId="0" xr:uid="{F498A577-03D2-40EB-9648-F1DB69497A7F}">
      <text>
        <r>
          <rPr>
            <b/>
            <sz val="9"/>
            <color indexed="81"/>
            <rFont val="Tahoma"/>
            <family val="2"/>
          </rPr>
          <t>Harsha, Sri:</t>
        </r>
        <r>
          <rPr>
            <sz val="9"/>
            <color indexed="81"/>
            <rFont val="Tahoma"/>
            <family val="2"/>
          </rPr>
          <t xml:space="preserve">
This is a very straight forward ratio. It indicates the company’s capability to generate revenues with the given amount of assets. Here the assets include both the fixed assets as well as current assets. 
Total Asset Turnover = Operating Revenue / Average Total Assets</t>
        </r>
      </text>
    </comment>
    <comment ref="A110" authorId="0" shapeId="0" xr:uid="{0F1D9842-470F-4188-BC4A-5399EFA1DD1C}">
      <text>
        <r>
          <rPr>
            <b/>
            <sz val="9"/>
            <color indexed="81"/>
            <rFont val="Tahoma"/>
            <family val="2"/>
          </rPr>
          <t>Harsha, Sri:</t>
        </r>
        <r>
          <rPr>
            <sz val="9"/>
            <color indexed="81"/>
            <rFont val="Tahoma"/>
            <family val="2"/>
          </rPr>
          <t xml:space="preserve">
if the product is really popular the inventory turnover would be high. This is exactly what the ‘Inventory Turnover Ratio’ indicates.
The formula to calculate the ratio is:
Inventory Turnover = [Cost of Goods Sold / Average Inventory]</t>
        </r>
      </text>
    </comment>
    <comment ref="A111" authorId="0" shapeId="0" xr:uid="{70359234-5E64-42D6-BDB8-E6E0E930A56C}">
      <text>
        <r>
          <rPr>
            <b/>
            <sz val="9"/>
            <color indexed="81"/>
            <rFont val="Tahoma"/>
            <family val="2"/>
          </rPr>
          <t>Harsha, Sri:</t>
        </r>
        <r>
          <rPr>
            <sz val="9"/>
            <color indexed="81"/>
            <rFont val="Tahoma"/>
            <family val="2"/>
          </rPr>
          <t xml:space="preserve">
time the company takes to convert its inventory into cash</t>
        </r>
      </text>
    </comment>
    <comment ref="A112" authorId="0" shapeId="0" xr:uid="{BA328196-C9B0-41C4-B91C-189115E663ED}">
      <text>
        <r>
          <rPr>
            <b/>
            <sz val="9"/>
            <color indexed="81"/>
            <rFont val="Tahoma"/>
            <family val="2"/>
          </rPr>
          <t>Harsha, Sri:</t>
        </r>
        <r>
          <rPr>
            <sz val="9"/>
            <color indexed="81"/>
            <rFont val="Tahoma"/>
            <family val="2"/>
          </rPr>
          <t xml:space="preserve">
The receivable turnover ratio indicates how many times in a given period the company receives money/cash from its debtors and customers. Naturally a high number indicates that the company collects cash more frequently
ccounts Receivable Turnover Ratio = Revenue / Average Receivables
</t>
        </r>
        <r>
          <rPr>
            <b/>
            <sz val="9"/>
            <color indexed="81"/>
            <rFont val="Tahoma"/>
            <family val="2"/>
          </rPr>
          <t>Cash recieved so many times a year</t>
        </r>
      </text>
    </comment>
  </commentList>
</comments>
</file>

<file path=xl/sharedStrings.xml><?xml version="1.0" encoding="utf-8"?>
<sst xmlns="http://schemas.openxmlformats.org/spreadsheetml/2006/main" count="500" uniqueCount="339">
  <si>
    <t>COMPANY NAME</t>
  </si>
  <si>
    <t>Narration</t>
  </si>
  <si>
    <t>Sales</t>
  </si>
  <si>
    <t>Expenses</t>
  </si>
  <si>
    <t>Operating Profit</t>
  </si>
  <si>
    <t>Other Income</t>
  </si>
  <si>
    <t>Depreciation</t>
  </si>
  <si>
    <t>Interest</t>
  </si>
  <si>
    <t>Profit before tax</t>
  </si>
  <si>
    <t>Tax</t>
  </si>
  <si>
    <t>Net profit</t>
  </si>
  <si>
    <t>Price to earning</t>
  </si>
  <si>
    <t>OPM</t>
  </si>
  <si>
    <t>Sales Growth</t>
  </si>
  <si>
    <t>Equity Share Capital</t>
  </si>
  <si>
    <t>Reserves</t>
  </si>
  <si>
    <t>Total</t>
  </si>
  <si>
    <t>Net Block</t>
  </si>
  <si>
    <t>Capital Work in Progress</t>
  </si>
  <si>
    <t>Investments</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</si>
  <si>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</si>
  <si>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</si>
  <si>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</si>
  <si>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</si>
  <si>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</si>
  <si>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</si>
  <si>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</si>
  <si>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</si>
  <si>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</si>
  <si>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</si>
  <si>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</si>
  <si>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</si>
  <si>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</si>
  <si>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Inventory</t>
  </si>
  <si>
    <t>LATEST VERSION</t>
  </si>
  <si>
    <t>CURRENT VERSION</t>
  </si>
  <si>
    <t>BHARAT DYNAMICS LTD</t>
  </si>
  <si>
    <t>META</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</si>
  <si>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</si>
  <si>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</si>
  <si>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</si>
  <si>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</si>
  <si>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</si>
  <si>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</si>
  <si>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</si>
  <si>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</si>
  <si>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</si>
  <si>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</si>
  <si>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</si>
  <si>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</si>
  <si>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</si>
  <si>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</si>
  <si>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</si>
  <si>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</si>
  <si>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</si>
  <si>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</si>
  <si>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</si>
  <si>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</si>
  <si>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 xml:space="preserve"> https://www.screener.in/excel/</t>
  </si>
  <si>
    <t>Version Number</t>
  </si>
  <si>
    <t>Changes</t>
  </si>
  <si>
    <t>Resolved the reported error: 
"if there is no data for particular year in screener, the template has taken the default data ( ie data of Vinati Organics). 
e.g. when tried to analyse "Wonderla" , in screener there is no data for 2006, but after uploading the template  &amp; exporting the excel , it shows the data for 2006 of Vinati organics( default excel sheet)"</t>
  </si>
  <si>
    <t>1. Updated "Instructions" sheet with the guidelines to change Microsoft Excel settings to disable the "Protected View for files originating from the Internet". The change of this setting resolves the issue where upon downloading the "Export to Excel" file from screener.in, the "Data Sheet" was filled properly, however, "Dr. Vijay Malik Analysis" sheet remained blank.</t>
  </si>
  <si>
    <t>1.1</t>
  </si>
  <si>
    <t>1. Added functionality to edit the cells "Closing share price on March 31, 10 years back" and "Cost of funds" in the sheet "Dr. Vijay Malik Analysis" to allow users to enter desired values.
2. Added interpretation and description of parameters "FCF/CFO" and "SG to Capex" in the "Description" Sheet.
3. Updated description of "Share Capital" to add the conditional formatting details in the "Description" Sheet.
4. Added sheet "Version History".</t>
  </si>
  <si>
    <t>Unprotected the file with open access to users to edit &amp; customize the template as per their preference</t>
  </si>
  <si>
    <t>This excel sheet is for sole use of the buyer from drvijaymalik.com. Any copying and sharing of this excel sheet is prohibited.</t>
  </si>
  <si>
    <t>This sheet consists of interpretation and description of various parameters used in the sheet "Dr. Vijay Malik Analysis"</t>
  </si>
  <si>
    <t>Parameter</t>
  </si>
  <si>
    <t>Interpretation</t>
  </si>
  <si>
    <t>Description</t>
  </si>
  <si>
    <t>Proft &amp; Loss Statement Analysis</t>
  </si>
  <si>
    <t>Higher the sales growth the better. However, very high growth rates in excess of 35-50% are usually unsustainable</t>
  </si>
  <si>
    <r>
      <t xml:space="preserve">Represents the operating income for the company in a given financial year. 
The conditional formatting highlights the years where sales increased from previous year as </t>
    </r>
    <r>
      <rPr>
        <sz val="11"/>
        <color rgb="FF00B050"/>
        <rFont val="Calibri"/>
        <family val="2"/>
        <scheme val="minor"/>
      </rPr>
      <t>"Green"</t>
    </r>
    <r>
      <rPr>
        <sz val="11"/>
        <color theme="1"/>
        <rFont val="Calibri"/>
        <family val="2"/>
        <scheme val="minor"/>
      </rPr>
      <t xml:space="preserve"> and years where sales decreased from previous year as </t>
    </r>
    <r>
      <rPr>
        <sz val="11"/>
        <color rgb="FFFF0000"/>
        <rFont val="Calibri"/>
        <family val="2"/>
        <scheme val="minor"/>
      </rPr>
      <t>"Red"</t>
    </r>
  </si>
  <si>
    <t>Higher the operating profit the better</t>
  </si>
  <si>
    <t xml:space="preserve">It represents EBITDA - Non Operating Income. EBITDA = Earnings before Interest, Tax, Depreciation &amp; Amortization. </t>
  </si>
  <si>
    <t>Operating Profit Margin (OPM)</t>
  </si>
  <si>
    <r>
      <t xml:space="preserve">Higher the OPM the better. 
Focus on the trend of OPM over the years. </t>
    </r>
    <r>
      <rPr>
        <b/>
        <sz val="11"/>
        <color rgb="FFC00000"/>
        <rFont val="Calibri"/>
        <family val="2"/>
        <scheme val="minor"/>
      </rPr>
      <t>If OPM has been fluctuating a lot over the years in a cyclical manner, then it means that the company does not have pricing power over its customers and is not able to pass on increase in raw material costs to them.</t>
    </r>
    <r>
      <rPr>
        <sz val="11"/>
        <color theme="1"/>
        <rFont val="Calibri"/>
        <family val="2"/>
        <scheme val="minor"/>
      </rPr>
      <t xml:space="preserve">
</t>
    </r>
    <r>
      <rPr>
        <b/>
        <sz val="11"/>
        <color rgb="FF00B050"/>
        <rFont val="Calibri"/>
        <family val="2"/>
        <scheme val="minor"/>
      </rPr>
      <t>On the contrary, if OPM is stable/improving over the years, then it means that the company has sustainable advantages (MOAT) and is able to pass on the increase in raw material costs to its buyers to protect its margins</t>
    </r>
  </si>
  <si>
    <r>
      <t xml:space="preserve">= Operating Profit/Sales. 
The conditional formatting highlights the years where OPM increased from previous year as </t>
    </r>
    <r>
      <rPr>
        <sz val="11"/>
        <color rgb="FF00B050"/>
        <rFont val="Calibri"/>
        <family val="2"/>
        <scheme val="minor"/>
      </rPr>
      <t>"Green"</t>
    </r>
    <r>
      <rPr>
        <sz val="11"/>
        <color theme="1"/>
        <rFont val="Calibri"/>
        <family val="2"/>
        <scheme val="minor"/>
      </rPr>
      <t xml:space="preserve"> and years where OPM decreased from previous year as </t>
    </r>
    <r>
      <rPr>
        <sz val="11"/>
        <color rgb="FFFF0000"/>
        <rFont val="Calibri"/>
        <family val="2"/>
        <scheme val="minor"/>
      </rPr>
      <t>"Red"</t>
    </r>
  </si>
  <si>
    <t>Compare other income with the cash + Investments held by the company. If the non operating income is not equal to atleast the bank FD return on the cash + investments, then the investor should analyse it deeper to see where the cash has been invested by the company, which is not yielding atleast bank FD return.</t>
  </si>
  <si>
    <t>Represents the non operating income for the financial year</t>
  </si>
  <si>
    <t>Do not get influenced by a low interest expense. Always try to find out whether company has been capitalizing the interest cost. Simple method is to multiply total debt with an assumed interest rate and then find out the total interest outgo as has been explained in the calculation of interest coverage below.</t>
  </si>
  <si>
    <t>Represents the interest amount expensed by the company in a financial year</t>
  </si>
  <si>
    <t>Profit before tax (PBT)</t>
  </si>
  <si>
    <t>Represents the profit before tax (PBT) for the financial year</t>
  </si>
  <si>
    <t>Tax%</t>
  </si>
  <si>
    <t>Tax payout ratio should be near the standard corporate tax rate in India i.e. about 30-33%. If the tax payout ratio is low, then invetsor should try to find out if the company has any tax incentives like a unit operating out of special economic zone (SEZ) etc.</t>
  </si>
  <si>
    <r>
      <t xml:space="preserve">=Tax/Sales. Represents the tax payout of the company for the financial year. 
The conditional formatting highlights the years where Tax % is &gt;29.5% as </t>
    </r>
    <r>
      <rPr>
        <sz val="11"/>
        <color rgb="FF00B050"/>
        <rFont val="Calibri"/>
        <family val="2"/>
        <scheme val="minor"/>
      </rPr>
      <t>"Green"</t>
    </r>
    <r>
      <rPr>
        <sz val="11"/>
        <color theme="1"/>
        <rFont val="Calibri"/>
        <family val="2"/>
        <scheme val="minor"/>
      </rPr>
      <t xml:space="preserve"> and years where Tax % is &lt;29.5% as </t>
    </r>
    <r>
      <rPr>
        <sz val="11"/>
        <color rgb="FFC00000"/>
        <rFont val="Calibri"/>
        <family val="2"/>
        <scheme val="minor"/>
      </rPr>
      <t>"Red"</t>
    </r>
  </si>
  <si>
    <t>Net profit after tax (PAT)</t>
  </si>
  <si>
    <t>Higher the PAT growth rate the better.</t>
  </si>
  <si>
    <t>Represents the net profit reported by the company for the financial year</t>
  </si>
  <si>
    <t>Net Profit Margin (NPM%)</t>
  </si>
  <si>
    <t xml:space="preserve">Higher the NPM the better. 
Be wary of companies, which show high sales growth with declining/not improving NPM. Companies, which chase growth at the cost of profitability usually do not create sustainable wealth for shareholders </t>
  </si>
  <si>
    <r>
      <t xml:space="preserve">=PAT/Sales. 
The conditional formatting highlights the years where NPM increased from previous year as </t>
    </r>
    <r>
      <rPr>
        <sz val="11"/>
        <color rgb="FF00B050"/>
        <rFont val="Calibri"/>
        <family val="2"/>
        <scheme val="minor"/>
      </rPr>
      <t>"Green"</t>
    </r>
    <r>
      <rPr>
        <sz val="11"/>
        <color theme="1"/>
        <rFont val="Calibri"/>
        <family val="2"/>
        <scheme val="minor"/>
      </rPr>
      <t xml:space="preserve"> and years where NPM decreased from previous year as </t>
    </r>
    <r>
      <rPr>
        <sz val="11"/>
        <color rgb="FFC00000"/>
        <rFont val="Calibri"/>
        <family val="2"/>
        <scheme val="minor"/>
      </rPr>
      <t>"Red"</t>
    </r>
  </si>
  <si>
    <t>You may read more about the Profit and Loss statement analysis in the following article:</t>
  </si>
  <si>
    <t>How to do Financial Analysis of Companies</t>
  </si>
  <si>
    <t>Free Cash Flow Analysis</t>
  </si>
  <si>
    <t>Cash from Operating Activity (CFO)</t>
  </si>
  <si>
    <t>Higher the CFO the better. Always compare CFO with PAT to see if the funds are getting stuck or released from working captial</t>
  </si>
  <si>
    <r>
      <t xml:space="preserve">Represents the CFO for the financial year as reported by the company in its cash flow statements. 
The conditional formatting highlights the years where CFO is greater than PAT as </t>
    </r>
    <r>
      <rPr>
        <sz val="11"/>
        <color rgb="FF00B050"/>
        <rFont val="Calibri"/>
        <family val="2"/>
        <scheme val="minor"/>
      </rPr>
      <t>"Green"</t>
    </r>
    <r>
      <rPr>
        <sz val="11"/>
        <color theme="1"/>
        <rFont val="Calibri"/>
        <family val="2"/>
        <scheme val="minor"/>
      </rPr>
      <t xml:space="preserve"> and years where CFO is less than PAT as </t>
    </r>
    <r>
      <rPr>
        <sz val="11"/>
        <color rgb="FFC00000"/>
        <rFont val="Calibri"/>
        <family val="2"/>
        <scheme val="minor"/>
      </rPr>
      <t>"Red"</t>
    </r>
  </si>
  <si>
    <t>Capex (NFA+WIP change+Dep)</t>
  </si>
  <si>
    <t>It is an important parameter which represents the money spent by the company in its operations/plants which is not reflected in the P&amp;L statement. 
An investor should always compare Capex with CFO to see whether the company is able to fund its capital expansion through its operating cash flow
Companies that show high sales growth without much capex have the potential of turning out to be good investments.</t>
  </si>
  <si>
    <r>
      <t xml:space="preserve">Represents the capital expenditure done by the company in a financial year. Capex = Depreciation + Increase in (NFA+CWIP) over the year. 
The conditional formatting highlights the years where Capex is less than CFO as </t>
    </r>
    <r>
      <rPr>
        <sz val="11"/>
        <color rgb="FF00B050"/>
        <rFont val="Calibri"/>
        <family val="2"/>
        <scheme val="minor"/>
      </rPr>
      <t>"Green"</t>
    </r>
    <r>
      <rPr>
        <sz val="11"/>
        <color theme="1"/>
        <rFont val="Calibri"/>
        <family val="2"/>
        <scheme val="minor"/>
      </rPr>
      <t xml:space="preserve"> and years where Capex is higher than CFO  as </t>
    </r>
    <r>
      <rPr>
        <sz val="11"/>
        <color rgb="FFC00000"/>
        <rFont val="Calibri"/>
        <family val="2"/>
        <scheme val="minor"/>
      </rPr>
      <t>"Red"</t>
    </r>
  </si>
  <si>
    <t>Total Debt (D)</t>
  </si>
  <si>
    <t>Lower the debt, the better. 
Debt represents the excess funds used by the company than what it is generating from its operations. It is like living beyond your means.</t>
  </si>
  <si>
    <r>
      <t xml:space="preserve">Represents the total debt of the company at the financial year ending date. 
The conditional formatting highlights the years where total debt decreased from previous year as </t>
    </r>
    <r>
      <rPr>
        <sz val="11"/>
        <color rgb="FF00B050"/>
        <rFont val="Calibri"/>
        <family val="2"/>
        <scheme val="minor"/>
      </rPr>
      <t>"Green"</t>
    </r>
    <r>
      <rPr>
        <sz val="11"/>
        <color theme="1"/>
        <rFont val="Calibri"/>
        <family val="2"/>
        <scheme val="minor"/>
      </rPr>
      <t xml:space="preserve"> and years where total debt increased from previous year as </t>
    </r>
    <r>
      <rPr>
        <sz val="11"/>
        <color rgb="FFC00000"/>
        <rFont val="Calibri"/>
        <family val="2"/>
        <scheme val="minor"/>
      </rPr>
      <t>"Red"</t>
    </r>
  </si>
  <si>
    <t>Cash + Investments (CI +NCI)</t>
  </si>
  <si>
    <t>Very high cash levels in companies, which do not payout dividends should be looked with caution. It might be that the cash shown on the balance sheet is fictitious.</t>
  </si>
  <si>
    <t>=Cash &amp; equivalesnt + Current Investments + Non Current Investments held by the company at the end of the financial years</t>
  </si>
  <si>
    <t>FCF (Free Cash Flow)</t>
  </si>
  <si>
    <r>
      <t xml:space="preserve">Free cash flow is the most important parameter of the company analysis. It is like the discretionary surplus that the company makes, which can be distributed to reward the shareholders.
</t>
    </r>
    <r>
      <rPr>
        <b/>
        <sz val="11"/>
        <color rgb="FFC00000"/>
        <rFont val="Calibri"/>
        <family val="2"/>
        <scheme val="minor"/>
      </rPr>
      <t>I believe that if a company is not able to generate FCF, then it should be avoided by investors, however good its sales growth and profitability margins be.</t>
    </r>
  </si>
  <si>
    <t xml:space="preserve">FCF=CFO - Capex. </t>
  </si>
  <si>
    <t>Total Div 10 Yrs</t>
  </si>
  <si>
    <t>Represents total dividend paid by the company over last 10 years</t>
  </si>
  <si>
    <t>Cash+Investments</t>
  </si>
  <si>
    <t>Represents the cash &amp; equivalents + Current Investment + Non Current Investment held by the company at the end of latest financial year</t>
  </si>
  <si>
    <t>Ideally the FCF generated by the company should be more or less similar to the sum of dividends paid out and the cash+investments held. If there is a significant difference in FCF and Div+cash+Investment, then the investor should do further analysis to see the usage/sources of cash</t>
  </si>
  <si>
    <t>FCF/CFO</t>
  </si>
  <si>
    <t>Higher the proportion of Free Cash Flow out of Cash Flow from Operations, the better.</t>
  </si>
  <si>
    <t>Represents the proportion of CFO, which has become available as free cash flow (FCF) to the shareholders in last 10 years.
Higher proportion of CFO becoming available as FCF indicates low capex requirements, which is a feature to identify cash cows.</t>
  </si>
  <si>
    <t>SG to Capex</t>
  </si>
  <si>
    <t xml:space="preserve">Higher the ratio the better.
</t>
  </si>
  <si>
    <t>=Sales Growth over last 10 years/proportion of CFO used as Capital Expenditure
This is another parameter that I use to identify companies where low amount of capital expenditure (Capex) lead to good sales growth.
During comparison among companies, the higher SG to Capex ratio identifies companies which show higher sales growth while having low capital expenditure requirements.</t>
  </si>
  <si>
    <t>You may read more about the Free Cash Flow analysis in the following article:</t>
  </si>
  <si>
    <t>3 Simple Ways to Assess Margin of Safety while buying stocks</t>
  </si>
  <si>
    <t>Return Ratios</t>
  </si>
  <si>
    <t>Self-Sustainable Growth Rate (SSGR)</t>
  </si>
  <si>
    <t>SSGR higher than the sales growth rate is desirable.</t>
  </si>
  <si>
    <t xml:space="preserve">Represents the debt-free self sustainable growth rate potential of a company. It has been observed that companies growing at a higher rate than SSGR are using more resources than their inherent operations can produce and therefore, witness increasing debt levels. Similarly, the companies that are growing at a rate less than or equal to SSGR are able to sustain their growth rates without raising debt/see declining debt levels. 
It is to be kept in mind that SSGR does not take into account the funds getting blocked or released from working capital
You may read more about SSGR in the following article: </t>
  </si>
  <si>
    <t>http://www.drvijaymalik.com/2015/06/self-sustainable-growth-rate-measure-of.html</t>
  </si>
  <si>
    <t>PBT/Avg. NFA (&lt;10%,&gt;25%)</t>
  </si>
  <si>
    <t>Higher the PBT/Avg. NFA, the better</t>
  </si>
  <si>
    <r>
      <t xml:space="preserve">=PBT/average of Net Fixed Assets at the start and the end of the financial year
The conditional formatting highlights the years where PBT/NFA is &gt; 25% as </t>
    </r>
    <r>
      <rPr>
        <sz val="11"/>
        <color rgb="FF00B050"/>
        <rFont val="Calibri"/>
        <family val="2"/>
        <scheme val="minor"/>
      </rPr>
      <t>"Green"</t>
    </r>
    <r>
      <rPr>
        <sz val="11"/>
        <color theme="1"/>
        <rFont val="Calibri"/>
        <family val="2"/>
        <scheme val="minor"/>
      </rPr>
      <t xml:space="preserve"> and years where PBT/NFA is &lt;10% as </t>
    </r>
    <r>
      <rPr>
        <sz val="11"/>
        <color rgb="FFC00000"/>
        <rFont val="Calibri"/>
        <family val="2"/>
        <scheme val="minor"/>
      </rPr>
      <t>"Red". This is to highlight that if a company is not able to earn at least 10% or Bank FD rate from its fixed assets, then it should ideally sell all its assets and put the amount in a bank fixed deposit and earn higher return without taking the pains of running a business.</t>
    </r>
  </si>
  <si>
    <t>ROE on Avg Equity (&lt;7%,&gt;25%)</t>
  </si>
  <si>
    <r>
      <t xml:space="preserve">Higher the ROE, the better. 
</t>
    </r>
    <r>
      <rPr>
        <b/>
        <sz val="11"/>
        <color rgb="FFC00000"/>
        <rFont val="Calibri"/>
        <family val="2"/>
        <scheme val="minor"/>
      </rPr>
      <t xml:space="preserve">However, always be cautious with the companies with high ROE and high Debt/Equity. 
</t>
    </r>
    <r>
      <rPr>
        <sz val="11"/>
        <color theme="1"/>
        <rFont val="Calibri"/>
        <family val="2"/>
        <scheme val="minor"/>
      </rPr>
      <t xml:space="preserve">
In such companies high leverage is the reason for high ROE, which is not sustainable</t>
    </r>
  </si>
  <si>
    <r>
      <t xml:space="preserve">=PAT/average of shareholder's equity at the start and the end of the finanical year.
The conditional formatting highlights the years where ROE is &gt; 25% as </t>
    </r>
    <r>
      <rPr>
        <sz val="11"/>
        <color rgb="FF00B050"/>
        <rFont val="Calibri"/>
        <family val="2"/>
        <scheme val="minor"/>
      </rPr>
      <t>"Green"</t>
    </r>
    <r>
      <rPr>
        <sz val="11"/>
        <color theme="1"/>
        <rFont val="Calibri"/>
        <family val="2"/>
        <scheme val="minor"/>
      </rPr>
      <t xml:space="preserve"> and years where ROE is &lt;7% as </t>
    </r>
    <r>
      <rPr>
        <sz val="11"/>
        <color rgb="FFC00000"/>
        <rFont val="Calibri"/>
        <family val="2"/>
        <scheme val="minor"/>
      </rPr>
      <t>"Red". This is to highlight that if a company is not able to earn at least 7% post tax from its equity or shareholders' funds, then it should ideally put its entire equity in a bank fixed deposit and earn higher return without taking the pains of running a business.</t>
    </r>
  </si>
  <si>
    <t>ROCE (EBIT on Avg CE/TA) (&lt;10%,&gt;35%)</t>
  </si>
  <si>
    <t>Higher the ROCE, the better</t>
  </si>
  <si>
    <r>
      <t xml:space="preserve">=EBIT/average of total assets at the start and the end of the financial year. EBIT = Earnings before Interest and Tax.
The conditional formatting highlights the years where ROCE is &gt; 35% as </t>
    </r>
    <r>
      <rPr>
        <sz val="11"/>
        <color rgb="FF00B050"/>
        <rFont val="Calibri"/>
        <family val="2"/>
        <scheme val="minor"/>
      </rPr>
      <t>"Green"</t>
    </r>
    <r>
      <rPr>
        <sz val="11"/>
        <color theme="1"/>
        <rFont val="Calibri"/>
        <family val="2"/>
        <scheme val="minor"/>
      </rPr>
      <t xml:space="preserve"> and years where ROCE is &lt;10% as </t>
    </r>
    <r>
      <rPr>
        <sz val="11"/>
        <color rgb="FFC00000"/>
        <rFont val="Calibri"/>
        <family val="2"/>
        <scheme val="minor"/>
      </rPr>
      <t>"Red". This is to highlight that if a company is not able to earn at least 7% pre-tax ROCE from its assets, then it should ideally put its entire assets in a bank fixed deposit and earn higher return without taking the pains of running a business.</t>
    </r>
  </si>
  <si>
    <t>Incremental ROE 3Yr Rolling</t>
  </si>
  <si>
    <t>Ideally, incremental ROE 3 years rolling should be stable or improving.</t>
  </si>
  <si>
    <r>
      <t xml:space="preserve">Represents the incremental returns/profits generated by the earnings retained by the company over any consecutive three years period. Represents the efficiency of utilization of incremental money being deployed by the company management in its operations.
The conditional formatting highlights the years where incremental ROE increased from the previous period as </t>
    </r>
    <r>
      <rPr>
        <sz val="11"/>
        <color rgb="FF00B050"/>
        <rFont val="Calibri"/>
        <family val="2"/>
        <scheme val="minor"/>
      </rPr>
      <t>"Green"</t>
    </r>
    <r>
      <rPr>
        <sz val="11"/>
        <color theme="1"/>
        <rFont val="Calibri"/>
        <family val="2"/>
        <scheme val="minor"/>
      </rPr>
      <t xml:space="preserve"> and years where incremental ROE decreased from previous years as </t>
    </r>
    <r>
      <rPr>
        <sz val="11"/>
        <color rgb="FFC00000"/>
        <rFont val="Calibri"/>
        <family val="2"/>
        <scheme val="minor"/>
      </rPr>
      <t>"Red"</t>
    </r>
  </si>
  <si>
    <t>Operating Efficiency Ratios</t>
  </si>
  <si>
    <t>Net Fixed Asset Turnover (High is better)</t>
  </si>
  <si>
    <t>Higher the NFAT, the better. 
High NFAT represents that the company is able to use its fixed assets in a very efficient manner (many a times, due to the nature of its business) and does not require to do a lot of capex)</t>
  </si>
  <si>
    <r>
      <t xml:space="preserve">=Sales/average of net fixed assets at the start and end of a financial year.
The conditional formatting highlights the years where NFAT increased from previous year as </t>
    </r>
    <r>
      <rPr>
        <sz val="11"/>
        <color rgb="FF00B050"/>
        <rFont val="Calibri"/>
        <family val="2"/>
        <scheme val="minor"/>
      </rPr>
      <t>"Green"</t>
    </r>
    <r>
      <rPr>
        <sz val="11"/>
        <color theme="1"/>
        <rFont val="Calibri"/>
        <family val="2"/>
        <scheme val="minor"/>
      </rPr>
      <t xml:space="preserve"> and years where NFAT decreased from previous year as </t>
    </r>
    <r>
      <rPr>
        <sz val="11"/>
        <color rgb="FFC00000"/>
        <rFont val="Calibri"/>
        <family val="2"/>
        <scheme val="minor"/>
      </rPr>
      <t>"Red"</t>
    </r>
  </si>
  <si>
    <t>Receivables days (Low is better)</t>
  </si>
  <si>
    <r>
      <t xml:space="preserve">Lower the receivables days, the better. It means that the company is not giving higher credit period to customers to generate sales.
</t>
    </r>
    <r>
      <rPr>
        <b/>
        <sz val="11"/>
        <color rgb="FFFF0000"/>
        <rFont val="Calibri"/>
        <family val="2"/>
        <scheme val="minor"/>
      </rPr>
      <t>In case of fictitious sales where cash is not received from customers, the company will see increasing receivables days.</t>
    </r>
  </si>
  <si>
    <r>
      <t xml:space="preserve">=365/(Sales/average of account receivables at the start and end of the financial year) 
The conditional formatting highlights the years where receivables days decreased from previous year as </t>
    </r>
    <r>
      <rPr>
        <sz val="11"/>
        <color rgb="FF00B050"/>
        <rFont val="Calibri"/>
        <family val="2"/>
        <scheme val="minor"/>
      </rPr>
      <t>"Green"</t>
    </r>
    <r>
      <rPr>
        <sz val="11"/>
        <color theme="1"/>
        <rFont val="Calibri"/>
        <family val="2"/>
        <scheme val="minor"/>
      </rPr>
      <t xml:space="preserve"> and years where receivables days increased from previous year as </t>
    </r>
    <r>
      <rPr>
        <sz val="11"/>
        <color rgb="FFC00000"/>
        <rFont val="Calibri"/>
        <family val="2"/>
        <scheme val="minor"/>
      </rPr>
      <t>"Red"</t>
    </r>
  </si>
  <si>
    <t>Inventory Turnover (High is better)</t>
  </si>
  <si>
    <r>
      <t xml:space="preserve">Higher the inventory turhover ratio, the better.
</t>
    </r>
    <r>
      <rPr>
        <b/>
        <sz val="11"/>
        <color rgb="FFFF0000"/>
        <rFont val="Calibri"/>
        <family val="2"/>
        <scheme val="minor"/>
      </rPr>
      <t>Lower inventory turnover means that the company is accumulating a lot of inventory, which might become obsolete later.
In the extreme cases, the inventory being shown might be fictitious and may be an indicator of underlying fraud.</t>
    </r>
  </si>
  <si>
    <r>
      <t xml:space="preserve">=Sales/average of inventory at the start and the end of the financial year
The conditional formatting highlights the years where inventory turnover increased from previous year as </t>
    </r>
    <r>
      <rPr>
        <sz val="11"/>
        <color rgb="FF00B050"/>
        <rFont val="Calibri"/>
        <family val="2"/>
        <scheme val="minor"/>
      </rPr>
      <t>"Green"</t>
    </r>
    <r>
      <rPr>
        <sz val="11"/>
        <color theme="1"/>
        <rFont val="Calibri"/>
        <family val="2"/>
        <scheme val="minor"/>
      </rPr>
      <t xml:space="preserve"> and years where invenotry turnover decreased from previous year as </t>
    </r>
    <r>
      <rPr>
        <sz val="11"/>
        <color rgb="FFC00000"/>
        <rFont val="Calibri"/>
        <family val="2"/>
        <scheme val="minor"/>
      </rPr>
      <t>"Red"</t>
    </r>
  </si>
  <si>
    <t>You may read more about the assessment of operating efficiency of a company in the following article:</t>
  </si>
  <si>
    <t>How to Analyse Operating Performance of a Company</t>
  </si>
  <si>
    <t>Balance Sheet Analysis</t>
  </si>
  <si>
    <t>Net Fixed Assets (NFA)</t>
  </si>
  <si>
    <t>Increase in NFA means that the company has done capacity addition, which should lead to higher sales/income in future.</t>
  </si>
  <si>
    <t>Represents the net fixed assets of the company after factoring in the accumulated depreciation at the end of a financial year</t>
  </si>
  <si>
    <t>Capital Work in Progress (CWIP)</t>
  </si>
  <si>
    <t>Increase in CWIP means that the company is currently executing any project/capacity expansion.
Once the underconstruction project is complete, it is shifted from CWIP to NFA.</t>
  </si>
  <si>
    <t>Represents the capital work in progress (CWIP) of the company at the end of a financial year. CWIP usually shows the projects under execution by the company. Once the projects get completed and become operational, they are shifted from CWIP to the fixed assets (NFA).</t>
  </si>
  <si>
    <t>Share Capital</t>
  </si>
  <si>
    <t>ideally, share captial should be constant or decrease due to buy back.
Increase in share captial over the years, which is not due to bonus shares, represents dilution of stake of existing shareholders.</t>
  </si>
  <si>
    <r>
      <t xml:space="preserve">Represents the issued and paid up share capital of the company at the end of financial year. Capital increases due to either by raising further equity by the company or by issuance of bonus shares. Capital is decreased in cases of share buyback by the company.
The conditional formatting highlights the years where Share Capital decreased from previous year as </t>
    </r>
    <r>
      <rPr>
        <sz val="11"/>
        <color rgb="FF00B050"/>
        <rFont val="Calibri"/>
        <family val="2"/>
        <scheme val="minor"/>
      </rPr>
      <t>"Green"</t>
    </r>
    <r>
      <rPr>
        <sz val="11"/>
        <color theme="1"/>
        <rFont val="Calibri"/>
        <family val="2"/>
        <scheme val="minor"/>
      </rPr>
      <t xml:space="preserve"> and years where Share Capital increased from previous year as </t>
    </r>
    <r>
      <rPr>
        <sz val="11"/>
        <color rgb="FFC00000"/>
        <rFont val="Calibri"/>
        <family val="2"/>
        <scheme val="minor"/>
      </rPr>
      <t>"Red"</t>
    </r>
  </si>
  <si>
    <t>Dividend Paid (Div) Without DDT</t>
  </si>
  <si>
    <t>A company, which generates FCF should pay dividends to shareholders to share the fruits of growth with the shareholders.</t>
  </si>
  <si>
    <r>
      <t xml:space="preserve">Represents the dividend paid by the company in a financial year. The dividend shown here does not include the dividend distribution tax (DDT).
The conditional formatting highlights the years where Dividend increased from previous year as </t>
    </r>
    <r>
      <rPr>
        <sz val="11"/>
        <color rgb="FF00B050"/>
        <rFont val="Calibri"/>
        <family val="2"/>
        <scheme val="minor"/>
      </rPr>
      <t>"Green"</t>
    </r>
    <r>
      <rPr>
        <sz val="11"/>
        <color theme="1"/>
        <rFont val="Calibri"/>
        <family val="2"/>
        <scheme val="minor"/>
      </rPr>
      <t xml:space="preserve"> and years where Dividend decreased from previous year as </t>
    </r>
    <r>
      <rPr>
        <sz val="11"/>
        <color rgb="FFFF0000"/>
        <rFont val="Calibri"/>
        <family val="2"/>
        <scheme val="minor"/>
      </rPr>
      <t>"Red"</t>
    </r>
  </si>
  <si>
    <t>Dividend Payout (Div/PAT)</t>
  </si>
  <si>
    <t xml:space="preserve">its good if the dividend payout ratio is constant or improving. It means that the company follows:
1. a stable dividend policy.
2. is interested in sharing higher rewards of the growth with shareholders with higher growth in business </t>
  </si>
  <si>
    <t>=Dividend paid/net profit after tax.
This criteria helps in identification of any stable dividend payout policy, if it is being followed by the company for paying dividend year on year</t>
  </si>
  <si>
    <t>Retained Earnings (RE=PAT-Div)</t>
  </si>
  <si>
    <t>Cumulative retained earnings should be compared with cumulative increase in market capitalization over the years.</t>
  </si>
  <si>
    <t>=Net profit after tax - Dividend Payout
Cumulative retained earnings of last 10 years are compared with the increase in market capitalization of the company over last 10 years to see whether the company has created atleast equal wealth for its shareholders than the earnings that has been retained by it over last 10 years. It helps in identifying companies which have generated wealth for shareholders from those companies which have destroyed wealth for shareholders.</t>
  </si>
  <si>
    <t>Lower the P/E ratio, the better.</t>
  </si>
  <si>
    <t>= Share market price/earnings per share for the period
P/E ratio is an important criteria to arrive at valuation levels of any company's stock</t>
  </si>
  <si>
    <t>Mcap</t>
  </si>
  <si>
    <t>Lower the current market cap, the better. 
However, I do not advise investing in companies with market capitalziation less than INR 25 cr.
Cumulative retained earnings should be compared with cumulative increase in market capitalization over the years.</t>
  </si>
  <si>
    <t>Represents the market capitalization of a company for the financial year. The share price taken here is the average price for the month of april of each financial year.</t>
  </si>
  <si>
    <t>Total Equity (E)</t>
  </si>
  <si>
    <t>Compare the increase in equity with the retained earnings for the year. They should ideally be the same.</t>
  </si>
  <si>
    <t>Represents the total shareholders' funds invested in the company at the end of financial year. It includes paid up capital and reserves including retained earnings.</t>
  </si>
  <si>
    <t>Debt to Equity ratio (D/E)</t>
  </si>
  <si>
    <r>
      <t xml:space="preserve">lower the debt to equity ratio, the better.
</t>
    </r>
    <r>
      <rPr>
        <b/>
        <sz val="11"/>
        <color rgb="FFFF0000"/>
        <rFont val="Calibri"/>
        <family val="2"/>
        <scheme val="minor"/>
      </rPr>
      <t>However, more than the debt to equity ratio, it is important to check the debt serviceability by way of interest coverage and FCF.
There have been cases where the company had low debt to equity ratio, but still faced financial stress as the operating profit &amp; cash was not sufficient to meet debt obligations.</t>
    </r>
  </si>
  <si>
    <t>=Total Debt/Total Equity
It represents the extent of leverage that a company has in its capital structure. Higher D/E ratio represents high leverage and vice versa</t>
  </si>
  <si>
    <t>Cost of funds</t>
  </si>
  <si>
    <t>It is a manual entry field provided for the investors to put in the assumed cost of debt (Interest rate), which the investor believes that lenders would be charging to the company for their loans.
The default value is 12%. The investor can change the value to her preference.</t>
  </si>
  <si>
    <t>Interest outgo (Rs. Cr.)</t>
  </si>
  <si>
    <t xml:space="preserve">lower the interest outgo the better. </t>
  </si>
  <si>
    <t>=Cost of funds*(average of total debt at the start and end of the financial year).
The interest outgo, calculated on total debt, takes care of the interest that has been capitalized by the company and therefore, has not been shown as interest expense in the P&amp;L statement.</t>
  </si>
  <si>
    <t>Interest Coverage (OP/Int. Out)</t>
  </si>
  <si>
    <t>Higher the interest coverage, the better.</t>
  </si>
  <si>
    <t>=Operating profit/interest outgo
It represents the servicing ability of the company for the total interest outgo of the company, including P&amp;L and capitalized interest.</t>
  </si>
  <si>
    <t>You may read more about the Balance Sheet Analysis of a Company in the following article:</t>
  </si>
  <si>
    <t>Cash Flow Statement Analysis</t>
  </si>
  <si>
    <t>Cash from Investing Activity (CFI)</t>
  </si>
  <si>
    <t>If higher outflow in CFI, then read the annual report to find out whether the same is for capex or other investments</t>
  </si>
  <si>
    <t>Represents the CFI for the financial year as reported by the company in its cash flow statements.</t>
  </si>
  <si>
    <t>Cash from Financing Activity (CFF)</t>
  </si>
  <si>
    <t>Contains debt repayments, interest payments, dividend payments</t>
  </si>
  <si>
    <t>Represents the CFF for the financial year as reported by the company in its cash flow statements.</t>
  </si>
  <si>
    <t>Net Cash Flow (CFO+CFI+CFF)</t>
  </si>
  <si>
    <t>net cash made/consumed by the company in a year.
The higher the net cash flow the better</t>
  </si>
  <si>
    <t>Represents the Net cash inflow/outflow (CFO+CFI+CFF) for the financial year et reported by the company in its net flow statements.</t>
  </si>
  <si>
    <t>Cash &amp; Eq. at the end of year</t>
  </si>
  <si>
    <t>Represents the net cash &amp; equivalents reported by the company at the end of the financial year.
Please not that Cash &amp; Equivalents shown here does not include Current Investments (usually FDs and Mutual Funds) and Non Current Investments (Equities, JV etc.) made by the company</t>
  </si>
  <si>
    <t>You may read more about the Cash Flow Statement Analysis of a Company in the following article:</t>
  </si>
  <si>
    <t>Wealth Creation Assessment</t>
  </si>
  <si>
    <t>Total Retained Earnings (RE) in 10 Yrs (A)</t>
  </si>
  <si>
    <t>represents the sum of earnings retained and not distributed by the company over last 10 years</t>
  </si>
  <si>
    <t>Total increase in Mcap in 10 yrs (B)</t>
  </si>
  <si>
    <t>Represents the increase in market capitalization of the company since 10 years ago.
Please note that the increase in market capitalization has been taken upto the current date from the market capitalization of 10 years before as I believe that the current market capitalization rather than the market capitalization at the end of recent most financial year to be better representative of upto date wealth generation data.</t>
  </si>
  <si>
    <t>Value created per INR of RE (B/A)</t>
  </si>
  <si>
    <t>At least INR 1 of incease in market capitalization should have happened for every INR 1 retained by the company. Otherwise, it is a wealth destroying company for shareholders.
The higher the value created, the better.</t>
  </si>
  <si>
    <t>=Increase in market capitalization since 10 years ago/total retained earnings of last 10 years
it is expected that the company should atleast create a wealth of INR 1 in market capitalization for its shareholders for every INR 1 of earnings retained by it.</t>
  </si>
  <si>
    <t>You may read more about the wealth creation ability and other parameters for assessment of management quality in the following article:</t>
  </si>
  <si>
    <t>How to do Management Assessment of a Company</t>
  </si>
  <si>
    <t>Growth Trends</t>
  </si>
  <si>
    <t>Represents the trend of growth in sales for last 10 years, last 7 years, last 5 years, last 3 years and the growth in last 12 months over last financial year sales
Assessment of sales growth trend is essential to find out whether the company has been showing consistent sales growth year on year or it is influenced by very high/low sales growth in any particular year</t>
  </si>
  <si>
    <t xml:space="preserve">Represents the trend of average Operating Profit Margin for last 10 years, last 7 years, last 5 years, last 3 years and the OPM in last 12 months </t>
  </si>
  <si>
    <t>PAT Growth</t>
  </si>
  <si>
    <t>Represents the trend of growth in net profit after tax (PAT) for last 10 years, last 7 years, last 5 years, last 3 years and the growth in last 12 months over last financial year PAT
Assessment of PAT growth trend is essential to find out whether the company has been showing consistent PAT growth year on year or it is influenced by very high/low PAT growth in any particular year</t>
  </si>
  <si>
    <t>Avg. PE</t>
  </si>
  <si>
    <t xml:space="preserve">Represents the trend of average Price to Earnings ratio (P/E) for last 10 years, last 7 years, last 5 years, last 3 years and the OPM in last 12 months </t>
  </si>
  <si>
    <t>Div Growth</t>
  </si>
  <si>
    <r>
      <t xml:space="preserve">if the company generates positive FCF, then Higher the dividend growth rate, the better
</t>
    </r>
    <r>
      <rPr>
        <sz val="11"/>
        <color rgb="FFFF0000"/>
        <rFont val="Calibri"/>
        <family val="2"/>
        <scheme val="minor"/>
      </rPr>
      <t xml:space="preserve">
</t>
    </r>
    <r>
      <rPr>
        <b/>
        <sz val="11"/>
        <color rgb="FFFF0000"/>
        <rFont val="Calibri"/>
        <family val="2"/>
        <scheme val="minor"/>
      </rPr>
      <t>If FCF is negative, then the dividend is funded by debt and the investor should not take any comfort of such dividend growth rate.</t>
    </r>
  </si>
  <si>
    <t>Represents the trend of growth in Dividend for last 10 years, last 7 years, last 5 years and last 3 years</t>
  </si>
  <si>
    <t>Debt</t>
  </si>
  <si>
    <t>Represents the trend of growth in total debt for last 10 years, last 7 years, last 5 years and last 3 years</t>
  </si>
  <si>
    <t>Book Value</t>
  </si>
  <si>
    <t>Higher the increase in book value over the years, the better.</t>
  </si>
  <si>
    <t>Represents the trend of growth in book value per share for last 10 years, last 7 years, last 5 years and last 3 years</t>
  </si>
  <si>
    <t>Current Share Market Data</t>
  </si>
  <si>
    <t>CMP</t>
  </si>
  <si>
    <t>Ignore the absolute level of current market price. It does not matter whether the current price is INR 10 or INR 10,000/-.
Always focus on other parameters of the company assessment</t>
  </si>
  <si>
    <t>Represents the closing market price of the stock of the company for previous trading day</t>
  </si>
  <si>
    <t>P/E</t>
  </si>
  <si>
    <t>P/B</t>
  </si>
  <si>
    <t>Lower the P/B ratio, the better.</t>
  </si>
  <si>
    <t>Represents the latest price to book value (P/B) ratio based on the current market price and the book value at the end of recent most financial year</t>
  </si>
  <si>
    <t>P/E*P/B</t>
  </si>
  <si>
    <t>Lower the P/E* P/B multiplication number, the better.</t>
  </si>
  <si>
    <r>
      <t xml:space="preserve">=latest P/E ratio * latest P/B ratio
The conditional formating highlights the  cell as </t>
    </r>
    <r>
      <rPr>
        <sz val="11"/>
        <color rgb="FFC00000"/>
        <rFont val="Calibri"/>
        <family val="2"/>
        <scheme val="minor"/>
      </rPr>
      <t>"Red"</t>
    </r>
    <r>
      <rPr>
        <sz val="11"/>
        <color theme="1"/>
        <rFont val="Calibri"/>
        <family val="2"/>
        <scheme val="minor"/>
      </rPr>
      <t xml:space="preserve"> whenever the P/E*P/B ratio exceeds 22.5, which is the maximum buy value guided by Benjamin Graham in his book "The Intelligent Investor"</t>
    </r>
  </si>
  <si>
    <t>Div Yield</t>
  </si>
  <si>
    <r>
      <t xml:space="preserve">if the company generates positive FCF, then Higher the dividend yield, the better
</t>
    </r>
    <r>
      <rPr>
        <sz val="11"/>
        <color rgb="FFFF0000"/>
        <rFont val="Calibri"/>
        <family val="2"/>
        <scheme val="minor"/>
      </rPr>
      <t xml:space="preserve">
</t>
    </r>
    <r>
      <rPr>
        <b/>
        <sz val="11"/>
        <color rgb="FFFF0000"/>
        <rFont val="Calibri"/>
        <family val="2"/>
        <scheme val="minor"/>
      </rPr>
      <t>If FCF is negative, then the dividend is funded by debt and the investor should not take any comfort of such dividend yield.</t>
    </r>
  </si>
  <si>
    <r>
      <t xml:space="preserve">=Dividend paid in last financial year/latest market capitalization
The conditional formatting highlights the cell as </t>
    </r>
    <r>
      <rPr>
        <sz val="11"/>
        <color rgb="FF00B050"/>
        <rFont val="Calibri"/>
        <family val="2"/>
        <scheme val="minor"/>
      </rPr>
      <t>"Green"</t>
    </r>
    <r>
      <rPr>
        <sz val="11"/>
        <color theme="1"/>
        <rFont val="Calibri"/>
        <family val="2"/>
        <scheme val="minor"/>
      </rPr>
      <t xml:space="preserve"> whenever the dividend yield is greater than 4%</t>
    </r>
  </si>
  <si>
    <t>Market Cap</t>
  </si>
  <si>
    <t>Lower the current market cap, the better. 
However, I do not advise investing in companies with market capitalziation less than INR 25 cr.</t>
  </si>
  <si>
    <t>Represents latest market capitalization of the company based on the closing price of the previous trading day</t>
  </si>
  <si>
    <t>Closing share price on March 31, 10 years back</t>
  </si>
  <si>
    <t>it is a manual entry field, which is provided for the investor to punch in the split/bonus adjusted share price of the company for the March 31 of the year 10 years back on her own so that she can get the accurate increase in market capitalization since 10 years ago.
Please note that the default value is "0" and the formula for calculating increase in market capitalization has been drafted in a manner that if "0" is put in this cell, then the increase in market capitalization is shown as per the data provided by screener. However, if the investor puts in her value in this cell, then the sheet will show the incresae in market capitalization as per her share price value.</t>
  </si>
  <si>
    <t>Steps to use this excel sheet:</t>
  </si>
  <si>
    <t>Download and save the "Dr. Vijay Malik Screener Excel Template" file on your computer</t>
  </si>
  <si>
    <t>log in to screener.in website with your user name and password</t>
  </si>
  <si>
    <t>After logging in screener.in, copy and paste the following link in the web-browser and upload this excel sheet on this page.</t>
  </si>
  <si>
    <t xml:space="preserve">Done! </t>
  </si>
  <si>
    <r>
      <t xml:space="preserve">Now onwards, whenever you would click on export to excel button on the company page at screener website, you would get the data in this excel sheet format and you can analyse the stocks within a few minutes by analysing the data on the </t>
    </r>
    <r>
      <rPr>
        <b/>
        <sz val="11"/>
        <color theme="1"/>
        <rFont val="Calibri"/>
        <family val="2"/>
        <scheme val="minor"/>
      </rPr>
      <t>"Dr. Vijay Malik Analysis"</t>
    </r>
    <r>
      <rPr>
        <sz val="11"/>
        <color theme="1"/>
        <rFont val="Calibri"/>
        <family val="2"/>
        <scheme val="minor"/>
      </rPr>
      <t xml:space="preserve"> sheet.</t>
    </r>
  </si>
  <si>
    <t>Changes required in Settings in Microsoft Excel:</t>
  </si>
  <si>
    <t>In Excel go to File &gt; Options &gt; Trust Center &gt; Trust Center Settings &gt; Protected View, and then uncheck Enabled Protected View for files originating from the Internet.
Otherwise, when you would download "Export to Excel" file of companies from screener.in, the Data sheet would be filled properly but "Dr Vijay Malik Analysis" worksheet would remain blank.</t>
  </si>
  <si>
    <t>Target Company:</t>
  </si>
  <si>
    <t>The aim of the analysis is to find a debt free company, which is growing at a reasonable pace with sustained/improving profitability margins, which has been showing improvement in operating efficiency and has been generating positive Free Cash Flow over the years.
If an investor is able to find such a company that is available at a cheap price (P/E ratio &lt; 10), then investment in such a company has a high probability of creating wealth for the shareholders.</t>
  </si>
  <si>
    <t>Instructions:</t>
  </si>
  <si>
    <t>Detailed interpretations and descriptions of each of the parameters used for analysis on "Dr. Vijay Malik Analysis" sheet are provided in the "Description" sheet</t>
  </si>
  <si>
    <t>Please read the "Description" sheet thoroughly before analysing the data of any company.</t>
  </si>
  <si>
    <t>Please do not make any change to any formula/sheet in this excel workbook. Any change might lead to corruption of the formula links and might lead to erroneous results</t>
  </si>
  <si>
    <t xml:space="preserve"> Instructions to the buyer:</t>
  </si>
  <si>
    <t>This purchase is limited to the current version of the excel sheet only. Any future updates/versions of the excel sheet need to be bought separately.
If in future, because of any reasons, screener changes the format of data it provides in the "Data Sheet" or makes this template invalid, then I would not be able to provide resolution of the issues in this excel template. 
In such a scenario, I might come up with a new version of the excel template. However, the new version needs to be bought separately by the users.</t>
  </si>
  <si>
    <t>Links to detailed articles on drvijaymalik.com have been provided under each formula segment in the "Description" sheet, which you may read to learn more about each of the analysis parameters.</t>
  </si>
  <si>
    <t>In case you have any further query after going through the article links shared in the "Description" sheet, then you may ask your query on drvijaymalik.com as a comment to the "Ask Your Queries" page. You may visit the "Ask Your Queries" page on the following link:</t>
  </si>
  <si>
    <t>http://www.drvijaymalik.com/p/ask-your-queries.html</t>
  </si>
  <si>
    <t>(INR Crores/10 Millions)</t>
  </si>
  <si>
    <t>&lt;&lt; Latest available quarterly results</t>
  </si>
  <si>
    <t>Last 4 Quarters</t>
  </si>
  <si>
    <t>Growth Trends:</t>
  </si>
  <si>
    <t>10Yr</t>
  </si>
  <si>
    <t>7Yr</t>
  </si>
  <si>
    <t>5Yr</t>
  </si>
  <si>
    <t>3Yr</t>
  </si>
  <si>
    <t>TTM</t>
  </si>
  <si>
    <t>Operating Profit Margin (OPM%)</t>
  </si>
  <si>
    <t>EBITDA</t>
  </si>
  <si>
    <t>FCF</t>
  </si>
  <si>
    <t>Source: Screener</t>
  </si>
  <si>
    <t>Depreciation % of NFA</t>
  </si>
  <si>
    <t>To upload, once you have reached the above webpage, click on the button "Choose File". A new dialogue box window will open. In the new window, navigate to the folder where you have saved the "Dr. Vijay Malik Screener Excel Template". Select the file and click open in the dialogue box. 
After clicking "Open" the dialogue box will close and you would see the abridged path of the selected file next to the button "Choose File".
Now, click on the button "Upload" to finally upload the excel template in the screener system.</t>
  </si>
  <si>
    <t>Higher the CFO the better. Always compare CFO with PAT to see if the funds are getting stuck or released from working capital</t>
  </si>
  <si>
    <t>Total 10 Yrs (2007-16)</t>
  </si>
  <si>
    <t xml:space="preserve">1. Many times, in cases where the data for last 4 quarters is not present in screener.in (either the company does not declare quarterly results e.g. for consolidated financials OR due to any reasons the screener data sheet does not have quarterly data), then the P/E ratio cell (O14) in the excel sheet which used to calculate P/E based on last 12 months (TTM) figures, loses its accuracy. Therefore, now we have edited the formula in such a fashion that if the data of any of the last 4 quarters is not present, then the P/E ratio cell (O14) will give the P/E ratio based on last FY PAT instead of the TTM PAT.
2. In cases, where the  data for any of the last 4 quarters is not present, then the entire TTM column (i.e. column L), will remain blank.
</t>
  </si>
  <si>
    <r>
      <t xml:space="preserve">Represents the latest price to earnings (P/E)  ratio based on the current market price and the earnings per share (EPS) for last 4 quarters/trailing twelve months (TTM). If the data of any of the last 4 quarters is absent, then the cell would show P/E ratio based on last financial year earnings
The conditional formating highlights the cell as </t>
    </r>
    <r>
      <rPr>
        <sz val="11"/>
        <color rgb="FF00B050"/>
        <rFont val="Calibri"/>
        <family val="2"/>
        <scheme val="minor"/>
      </rPr>
      <t>"Green"</t>
    </r>
    <r>
      <rPr>
        <sz val="11"/>
        <color theme="1"/>
        <rFont val="Calibri"/>
        <family val="2"/>
        <scheme val="minor"/>
      </rPr>
      <t xml:space="preserve"> whenever the latest P/E ratio is less than 10</t>
    </r>
  </si>
  <si>
    <t>*Please note that if the data for any of the last 4 quarter is absent in the "Data Sheet", then the column L, which contains last 12 months (TTM) figure, will remain blank.</t>
  </si>
  <si>
    <t>Rectified the error which has creeped in while correcting the issues of version 1.5. The error was leading to the cells for the data of past market cap and P/E ratios in the analysis sheet were not getting filled. The issue has been rectified in Version 1.6</t>
  </si>
  <si>
    <t>Operating Profit Margin(OPM%)</t>
  </si>
  <si>
    <t>Tax %</t>
  </si>
  <si>
    <t>Net Profit Margin(NPM%)</t>
  </si>
  <si>
    <t>Total Expense</t>
  </si>
  <si>
    <t>EBITDA Margin(%)</t>
  </si>
  <si>
    <t>CAGR</t>
  </si>
  <si>
    <t>RoE</t>
  </si>
  <si>
    <t>Total Debt</t>
  </si>
  <si>
    <t>Total Equity</t>
  </si>
  <si>
    <t>RoCE</t>
  </si>
  <si>
    <t>Interest Coverage</t>
  </si>
  <si>
    <t>Interest Payment</t>
  </si>
  <si>
    <t>Interest Rate</t>
  </si>
  <si>
    <t>Debt to Equity</t>
  </si>
  <si>
    <t>Debt to Asset</t>
  </si>
  <si>
    <t>Operating Ratios</t>
  </si>
  <si>
    <t xml:space="preserve">Fixed Assets Turnover </t>
  </si>
  <si>
    <t>Working Capital Turnover</t>
  </si>
  <si>
    <t>Total Asset Turnover</t>
  </si>
  <si>
    <t>Inventory Turn over</t>
  </si>
  <si>
    <t>Inventory Number of days</t>
  </si>
  <si>
    <t>Accounts Receivable Turnover Ratio</t>
  </si>
  <si>
    <t>EPS</t>
  </si>
  <si>
    <t>Dividend/PAT</t>
  </si>
  <si>
    <t>Receivable Days</t>
  </si>
  <si>
    <t>No of Shares</t>
  </si>
  <si>
    <t>MRS BECTORS FOOD SPECIALITIES LTD</t>
  </si>
  <si>
    <t>PBT</t>
  </si>
  <si>
    <t>Net  Profit</t>
  </si>
  <si>
    <t>Operating Profit Margin</t>
  </si>
  <si>
    <t>EBIT Margin</t>
  </si>
  <si>
    <t>Tax(%)</t>
  </si>
  <si>
    <t>Net Profit Margin</t>
  </si>
  <si>
    <t>Quarterly Sales</t>
  </si>
  <si>
    <t>Quarterly PBT</t>
  </si>
  <si>
    <t>Quarterly Net Profit</t>
  </si>
  <si>
    <t>Fixed Asset Turnover</t>
  </si>
  <si>
    <t>Inventory no of Days</t>
  </si>
  <si>
    <t>Interest payment</t>
  </si>
  <si>
    <t>Accounts receivable turnover ratio</t>
  </si>
  <si>
    <t>Sales v/s Receivables</t>
  </si>
  <si>
    <t>Fixed Assets</t>
  </si>
  <si>
    <t xml:space="preserve">Shares </t>
  </si>
  <si>
    <t>Capital reservers</t>
  </si>
  <si>
    <t>10 year Data</t>
  </si>
  <si>
    <t>CFO</t>
  </si>
  <si>
    <t>Capex</t>
  </si>
  <si>
    <t>WorkingCapital</t>
  </si>
  <si>
    <t>Dividend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</si>
</sst>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 #,##0_ ;_ * \-#,##0_ ;_ * &quot;-&quot;_ ;_ @_ "/>
    <numFmt numFmtId="165" formatCode="_ * #,##0.00_ ;_ * \-#,##0.00_ ;_ * &quot;-&quot;??_ ;_ @_ "/>
    <numFmt numFmtId="166" formatCode="[$-409]mmm\-yy;@"/>
    <numFmt numFmtId="167" formatCode="_(* #,##0.000_);_(* \(#,##0.000\);_(* &quot;-&quot;??_);_(@_)"/>
    <numFmt numFmtId="168" formatCode="_ * #,##0_ ;_ * \-#,##0_ ;_ * &quot;-&quot;??_ ;_ @_ "/>
    <numFmt numFmtId="169" formatCode="#,##0.0_);[Red]\(#,##0.0\)"/>
    <numFmt numFmtId="170" formatCode="_ * #,##0.0_ ;_ * \-#,##0.0_ ;_ * &quot;-&quot;??_ ;_ @_ "/>
    <numFmt numFmtId="171" formatCode="0.0%"/>
    <numFmt numFmtId="172" formatCode="0.0"/>
    <numFmt numFmtId="173" formatCode="#,##0_ ;\-#,##0\ "/>
  </numFmts>
  <fonts count="20"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1"/>
      <color rgb="FFFF0000"/>
      <name val="Calibri"/>
      <family val="2"/>
      <scheme val="minor"/>
    </font>
    <font>
      <sz val="11"/>
      <name val="Calibri"/>
      <family val="2"/>
      <scheme val="minor"/>
    </font>
    <font>
      <sz val="11"/>
      <color rgb="FFFF0000"/>
      <name val="Calibri"/>
      <family val="2"/>
      <scheme val="minor"/>
    </font>
    <font>
      <b/>
      <sz val="16"/>
      <color theme="0"/>
      <name val="Calibri"/>
      <family val="2"/>
      <scheme val="minor"/>
    </font>
    <font>
      <sz val="11"/>
      <color rgb="FF00B050"/>
      <name val="Calibri"/>
      <family val="2"/>
      <scheme val="minor"/>
    </font>
    <font>
      <b/>
      <sz val="11"/>
      <color rgb="FFC00000"/>
      <name val="Calibri"/>
      <family val="2"/>
      <scheme val="minor"/>
    </font>
    <font>
      <b/>
      <sz val="11"/>
      <color rgb="FF00B050"/>
      <name val="Calibri"/>
      <family val="2"/>
      <scheme val="minor"/>
    </font>
    <font>
      <sz val="11"/>
      <color rgb="FFC00000"/>
      <name val="Calibri"/>
      <family val="2"/>
      <scheme val="minor"/>
    </font>
    <font>
      <b/>
      <u/>
      <sz val="11"/>
      <color theme="1"/>
      <name val="Calibri"/>
      <family val="2"/>
      <scheme val="minor"/>
    </font>
    <font>
      <b/>
      <sz val="11"/>
      <name val="Calibri"/>
      <family val="2"/>
      <scheme val="minor"/>
    </font>
    <font>
      <sz val="9"/>
      <color indexed="81"/>
      <name val="Tahoma"/>
      <family val="2"/>
    </font>
    <font>
      <b/>
      <sz val="9"/>
      <color indexed="81"/>
      <name val="Tahoma"/>
      <family val="2"/>
    </font>
    <font>
      <sz val="11"/>
      <color rgb="FF000000"/>
      <name val="Calibri"/>
      <family val="2"/>
    </font>
  </fonts>
  <fills count="14">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0" tint="-0.14999847407452621"/>
        <bgColor indexed="64"/>
      </patternFill>
    </fill>
    <fill>
      <patternFill patternType="solid">
        <fgColor rgb="FFFF4747"/>
        <bgColor indexed="64"/>
      </patternFill>
    </fill>
    <fill>
      <patternFill patternType="solid">
        <fgColor theme="0" tint="-0.249977111117893"/>
        <bgColor indexed="64"/>
      </patternFill>
    </fill>
    <fill>
      <patternFill patternType="solid">
        <fgColor theme="0"/>
        <bgColor indexed="64"/>
      </patternFill>
    </fill>
    <fill>
      <patternFill patternType="solid">
        <fgColor theme="4"/>
        <bgColor theme="4"/>
      </patternFill>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7"/>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165"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2" borderId="0" applyNumberFormat="0" applyBorder="0" applyAlignment="0" applyProtection="0"/>
    <xf numFmtId="9" fontId="3" fillId="0" borderId="0" applyFont="0" applyFill="0" applyBorder="0" applyAlignment="0" applyProtection="0"/>
  </cellStyleXfs>
  <cellXfs count="111">
    <xf numFmtId="0" fontId="0" fillId="0" borderId="0" xfId="0"/>
    <xf numFmtId="165" fontId="1" fillId="0" borderId="0" xfId="1" applyFont="1" applyBorder="1"/>
    <xf numFmtId="0" fontId="1" fillId="0" borderId="0" xfId="0" applyFont="1" applyFill="1" applyBorder="1"/>
    <xf numFmtId="165" fontId="0" fillId="0" borderId="0" xfId="1" applyFont="1" applyBorder="1"/>
    <xf numFmtId="0" fontId="0" fillId="0" borderId="0" xfId="0" applyFont="1" applyBorder="1"/>
    <xf numFmtId="0" fontId="1" fillId="0" borderId="0" xfId="0" applyFont="1" applyBorder="1"/>
    <xf numFmtId="165" fontId="3" fillId="0" borderId="0" xfId="1" applyFont="1" applyBorder="1"/>
    <xf numFmtId="9" fontId="1" fillId="0" borderId="0" xfId="4" applyFont="1" applyBorder="1"/>
    <xf numFmtId="166" fontId="2" fillId="3" borderId="0" xfId="0" applyNumberFormat="1" applyFont="1" applyFill="1" applyBorder="1" applyAlignment="1">
      <alignment horizontal="center"/>
    </xf>
    <xf numFmtId="166" fontId="2" fillId="3" borderId="0" xfId="1" applyNumberFormat="1" applyFont="1" applyFill="1" applyBorder="1"/>
    <xf numFmtId="166" fontId="8" fillId="0" borderId="0" xfId="1" applyNumberFormat="1" applyFont="1" applyFill="1" applyBorder="1"/>
    <xf numFmtId="0" fontId="0" fillId="0" borderId="0" xfId="0" applyFont="1" applyFill="1" applyBorder="1"/>
    <xf numFmtId="43" fontId="0" fillId="0" borderId="0" xfId="1" applyNumberFormat="1" applyFont="1" applyBorder="1"/>
    <xf numFmtId="0" fontId="1" fillId="4" borderId="0" xfId="0" applyFont="1" applyFill="1" applyAlignment="1">
      <alignment horizontal="center"/>
    </xf>
    <xf numFmtId="0" fontId="1" fillId="4" borderId="0" xfId="0" applyFont="1" applyFill="1" applyAlignment="1">
      <alignment horizontal="center" wrapText="1"/>
    </xf>
    <xf numFmtId="0" fontId="0" fillId="4" borderId="0" xfId="0" applyFill="1"/>
    <xf numFmtId="0" fontId="0" fillId="0" borderId="0" xfId="0" quotePrefix="1" applyAlignment="1">
      <alignment horizontal="left" vertical="center"/>
    </xf>
    <xf numFmtId="0" fontId="0" fillId="0" borderId="0" xfId="0" applyAlignment="1">
      <alignment wrapText="1"/>
    </xf>
    <xf numFmtId="0" fontId="0" fillId="0" borderId="0" xfId="0" quotePrefix="1" applyAlignment="1">
      <alignment vertical="center"/>
    </xf>
    <xf numFmtId="0" fontId="0" fillId="0" borderId="0" xfId="0" applyFill="1" applyAlignment="1"/>
    <xf numFmtId="0" fontId="0" fillId="0" borderId="0" xfId="0" applyFill="1"/>
    <xf numFmtId="0" fontId="1" fillId="6" borderId="0" xfId="0" applyFont="1" applyFill="1" applyAlignment="1">
      <alignment horizontal="center" vertical="center"/>
    </xf>
    <xf numFmtId="0" fontId="1" fillId="6" borderId="0" xfId="0" applyFont="1" applyFill="1" applyAlignment="1">
      <alignment horizontal="center" wrapText="1"/>
    </xf>
    <xf numFmtId="0" fontId="1" fillId="0" borderId="0" xfId="0" applyFont="1" applyFill="1" applyAlignment="1">
      <alignment horizontal="center" vertical="center"/>
    </xf>
    <xf numFmtId="0" fontId="1" fillId="0" borderId="0" xfId="0" applyFont="1" applyFill="1" applyAlignment="1">
      <alignment horizontal="center" wrapText="1"/>
    </xf>
    <xf numFmtId="0" fontId="0" fillId="0" borderId="0" xfId="0" applyAlignment="1">
      <alignment vertical="center"/>
    </xf>
    <xf numFmtId="0" fontId="0" fillId="0" borderId="0" xfId="0" applyAlignment="1">
      <alignment vertical="center" wrapText="1"/>
    </xf>
    <xf numFmtId="0" fontId="0" fillId="0" borderId="0" xfId="0" quotePrefix="1" applyAlignment="1">
      <alignment wrapText="1"/>
    </xf>
    <xf numFmtId="0" fontId="1" fillId="0" borderId="0" xfId="0" applyFont="1" applyAlignment="1">
      <alignment vertical="center"/>
    </xf>
    <xf numFmtId="0" fontId="6" fillId="0" borderId="0" xfId="2" quotePrefix="1" applyFont="1" applyAlignment="1" applyProtection="1">
      <alignment wrapText="1"/>
    </xf>
    <xf numFmtId="0" fontId="4" fillId="0" borderId="0" xfId="2" quotePrefix="1" applyAlignment="1" applyProtection="1">
      <alignment wrapText="1"/>
    </xf>
    <xf numFmtId="0" fontId="1" fillId="0" borderId="0" xfId="0" applyFont="1" applyAlignment="1">
      <alignment wrapText="1"/>
    </xf>
    <xf numFmtId="0" fontId="0" fillId="0" borderId="0" xfId="0" applyFont="1" applyAlignment="1">
      <alignment wrapText="1"/>
    </xf>
    <xf numFmtId="0" fontId="6" fillId="0" borderId="0" xfId="2" applyFont="1" applyAlignment="1" applyProtection="1">
      <alignment wrapText="1"/>
    </xf>
    <xf numFmtId="0" fontId="4" fillId="0" borderId="0" xfId="2" applyAlignment="1" applyProtection="1">
      <alignment wrapText="1"/>
    </xf>
    <xf numFmtId="0" fontId="0" fillId="0" borderId="0" xfId="0" applyAlignment="1">
      <alignment horizontal="left" vertical="center" wrapText="1"/>
    </xf>
    <xf numFmtId="0" fontId="6" fillId="0" borderId="0" xfId="2" applyFont="1" applyBorder="1" applyAlignment="1" applyProtection="1">
      <alignment horizontal="left" wrapText="1"/>
    </xf>
    <xf numFmtId="0" fontId="15" fillId="0" borderId="0" xfId="0" applyFont="1" applyAlignment="1">
      <alignment vertical="center"/>
    </xf>
    <xf numFmtId="0" fontId="0" fillId="4" borderId="0" xfId="0" applyFill="1" applyAlignment="1">
      <alignment wrapText="1"/>
    </xf>
    <xf numFmtId="0" fontId="5" fillId="5" borderId="0" xfId="0" applyFont="1" applyFill="1" applyAlignment="1">
      <alignment wrapText="1"/>
    </xf>
    <xf numFmtId="0" fontId="1" fillId="0" borderId="0" xfId="0" applyFont="1"/>
    <xf numFmtId="166" fontId="16" fillId="7" borderId="0" xfId="0" applyNumberFormat="1" applyFont="1" applyFill="1" applyBorder="1" applyAlignment="1">
      <alignment horizontal="center"/>
    </xf>
    <xf numFmtId="167" fontId="0" fillId="0" borderId="0" xfId="0" applyNumberFormat="1" applyFont="1" applyBorder="1"/>
    <xf numFmtId="43" fontId="0" fillId="0" borderId="0" xfId="0" applyNumberFormat="1" applyFont="1" applyBorder="1"/>
    <xf numFmtId="0" fontId="2" fillId="8" borderId="0" xfId="0" applyFont="1" applyFill="1" applyBorder="1"/>
    <xf numFmtId="166" fontId="2" fillId="8" borderId="0" xfId="0" applyNumberFormat="1" applyFont="1" applyFill="1" applyBorder="1" applyAlignment="1">
      <alignment horizontal="center"/>
    </xf>
    <xf numFmtId="0" fontId="2" fillId="8" borderId="0" xfId="0" applyFont="1" applyFill="1" applyBorder="1" applyAlignment="1">
      <alignment horizontal="center" wrapText="1"/>
    </xf>
    <xf numFmtId="38" fontId="1" fillId="0" borderId="0" xfId="0" applyNumberFormat="1" applyFont="1" applyBorder="1" applyAlignment="1">
      <alignment horizontal="center" wrapText="1"/>
    </xf>
    <xf numFmtId="38" fontId="1" fillId="0" borderId="0" xfId="0" applyNumberFormat="1" applyFont="1" applyBorder="1" applyAlignment="1">
      <alignment horizontal="center"/>
    </xf>
    <xf numFmtId="168" fontId="3" fillId="0" borderId="0" xfId="1" applyNumberFormat="1" applyFont="1" applyBorder="1"/>
    <xf numFmtId="168" fontId="1" fillId="0" borderId="0" xfId="1" applyNumberFormat="1" applyFont="1" applyBorder="1"/>
    <xf numFmtId="38" fontId="1" fillId="0" borderId="0" xfId="0" applyNumberFormat="1" applyFont="1" applyBorder="1"/>
    <xf numFmtId="9" fontId="0" fillId="0" borderId="0" xfId="4" applyFont="1" applyBorder="1"/>
    <xf numFmtId="38" fontId="3" fillId="0" borderId="0" xfId="1" applyNumberFormat="1" applyFont="1" applyBorder="1"/>
    <xf numFmtId="9" fontId="0" fillId="0" borderId="0" xfId="0" applyNumberFormat="1" applyFont="1" applyBorder="1"/>
    <xf numFmtId="38" fontId="0" fillId="0" borderId="0" xfId="0" applyNumberFormat="1" applyFont="1" applyBorder="1"/>
    <xf numFmtId="9" fontId="1" fillId="0" borderId="0" xfId="0" applyNumberFormat="1" applyFont="1" applyBorder="1"/>
    <xf numFmtId="169" fontId="3" fillId="0" borderId="0" xfId="1" applyNumberFormat="1" applyFont="1" applyBorder="1"/>
    <xf numFmtId="9" fontId="3" fillId="0" borderId="0" xfId="4" applyFont="1" applyBorder="1"/>
    <xf numFmtId="38" fontId="0" fillId="0" borderId="0" xfId="1" applyNumberFormat="1" applyFont="1" applyBorder="1"/>
    <xf numFmtId="168" fontId="0" fillId="0" borderId="0" xfId="1" applyNumberFormat="1" applyFont="1" applyBorder="1"/>
    <xf numFmtId="170" fontId="1" fillId="0" borderId="0" xfId="1" applyNumberFormat="1" applyFont="1" applyFill="1" applyBorder="1"/>
    <xf numFmtId="169" fontId="3" fillId="0" borderId="0" xfId="1" applyNumberFormat="1" applyFont="1" applyFill="1" applyBorder="1"/>
    <xf numFmtId="170" fontId="0" fillId="0" borderId="0" xfId="1" applyNumberFormat="1" applyFont="1" applyBorder="1"/>
    <xf numFmtId="168" fontId="3" fillId="0" borderId="0" xfId="1" applyNumberFormat="1" applyFont="1" applyFill="1" applyBorder="1"/>
    <xf numFmtId="9" fontId="1" fillId="0" borderId="0" xfId="0" applyNumberFormat="1" applyFont="1" applyBorder="1" applyAlignment="1">
      <alignment horizontal="right"/>
    </xf>
    <xf numFmtId="38" fontId="1" fillId="0" borderId="0" xfId="1" applyNumberFormat="1" applyFont="1" applyBorder="1"/>
    <xf numFmtId="171" fontId="3" fillId="0" borderId="0" xfId="4" applyNumberFormat="1" applyFont="1" applyBorder="1"/>
    <xf numFmtId="168" fontId="1" fillId="0" borderId="0" xfId="0" applyNumberFormat="1" applyFont="1" applyBorder="1"/>
    <xf numFmtId="40" fontId="1" fillId="0" borderId="0" xfId="1" applyNumberFormat="1" applyFont="1" applyBorder="1"/>
    <xf numFmtId="40" fontId="1" fillId="0" borderId="0" xfId="1" applyNumberFormat="1" applyFont="1" applyFill="1" applyBorder="1"/>
    <xf numFmtId="0" fontId="1" fillId="9" borderId="1" xfId="0" applyFont="1" applyFill="1" applyBorder="1"/>
    <xf numFmtId="165" fontId="3" fillId="0" borderId="0" xfId="1" applyNumberFormat="1" applyFont="1" applyBorder="1"/>
    <xf numFmtId="170" fontId="3" fillId="0" borderId="0" xfId="1" applyNumberFormat="1" applyFont="1" applyBorder="1"/>
    <xf numFmtId="168" fontId="1" fillId="0" borderId="0" xfId="1" applyNumberFormat="1" applyFont="1" applyFill="1" applyBorder="1"/>
    <xf numFmtId="172" fontId="1" fillId="0" borderId="0" xfId="0" applyNumberFormat="1" applyFont="1" applyBorder="1"/>
    <xf numFmtId="171" fontId="0" fillId="10" borderId="0" xfId="0" applyNumberFormat="1" applyFont="1" applyFill="1" applyBorder="1"/>
    <xf numFmtId="1" fontId="0" fillId="0" borderId="0" xfId="0" applyNumberFormat="1" applyFont="1" applyBorder="1"/>
    <xf numFmtId="172" fontId="0" fillId="0" borderId="0" xfId="0" applyNumberFormat="1" applyFont="1" applyBorder="1"/>
    <xf numFmtId="40" fontId="1" fillId="0" borderId="0" xfId="0" applyNumberFormat="1" applyFont="1" applyBorder="1"/>
    <xf numFmtId="166" fontId="2" fillId="8" borderId="0" xfId="0" applyNumberFormat="1" applyFont="1" applyFill="1" applyBorder="1" applyAlignment="1">
      <alignment horizontal="center" wrapText="1"/>
    </xf>
    <xf numFmtId="2" fontId="1" fillId="0" borderId="0" xfId="0" applyNumberFormat="1" applyFont="1" applyBorder="1"/>
    <xf numFmtId="173" fontId="3" fillId="0" borderId="0" xfId="1" applyNumberFormat="1" applyFont="1" applyBorder="1"/>
    <xf numFmtId="9" fontId="0" fillId="0" borderId="0" xfId="1" applyNumberFormat="1" applyFont="1" applyBorder="1"/>
    <xf numFmtId="173" fontId="0" fillId="0" borderId="0" xfId="1" applyNumberFormat="1" applyFont="1" applyBorder="1"/>
    <xf numFmtId="164" fontId="0" fillId="0" borderId="0" xfId="1" applyNumberFormat="1" applyFont="1" applyBorder="1"/>
    <xf numFmtId="166" fontId="16" fillId="0" borderId="0" xfId="1" applyNumberFormat="1" applyFont="1" applyFill="1" applyBorder="1"/>
    <xf numFmtId="165" fontId="3" fillId="11" borderId="0" xfId="1" applyFont="1" applyFill="1" applyBorder="1"/>
    <xf numFmtId="1" fontId="0" fillId="0" borderId="0" xfId="1" applyNumberFormat="1" applyFont="1" applyBorder="1"/>
    <xf numFmtId="10" fontId="0" fillId="0" borderId="0" xfId="1" applyNumberFormat="1" applyFont="1" applyBorder="1"/>
    <xf numFmtId="165" fontId="1" fillId="10" borderId="0" xfId="1" applyFont="1" applyFill="1" applyBorder="1"/>
    <xf numFmtId="165" fontId="1" fillId="12" borderId="0" xfId="1" applyFont="1" applyFill="1" applyBorder="1"/>
    <xf numFmtId="165" fontId="1" fillId="0" borderId="0" xfId="1" applyFont="1" applyFill="1" applyBorder="1"/>
    <xf numFmtId="2" fontId="0" fillId="0" borderId="0" xfId="1" applyNumberFormat="1" applyFont="1" applyBorder="1"/>
    <xf numFmtId="0" fontId="0" fillId="0" borderId="0" xfId="1" applyNumberFormat="1" applyFont="1" applyBorder="1"/>
    <xf numFmtId="165" fontId="0" fillId="0" borderId="0" xfId="1" applyNumberFormat="1" applyFont="1" applyBorder="1"/>
    <xf numFmtId="0" fontId="0" fillId="0" borderId="2" xfId="0" applyBorder="1"/>
    <xf numFmtId="0" fontId="1" fillId="0" borderId="2" xfId="0" applyFont="1" applyBorder="1"/>
    <xf numFmtId="165" fontId="0" fillId="0" borderId="2" xfId="0" applyNumberFormat="1" applyBorder="1"/>
    <xf numFmtId="0" fontId="1" fillId="13" borderId="2" xfId="0" applyFont="1" applyFill="1" applyBorder="1"/>
    <xf numFmtId="2" fontId="0" fillId="0" borderId="2" xfId="0" applyNumberFormat="1" applyBorder="1"/>
    <xf numFmtId="166" fontId="1" fillId="13" borderId="2" xfId="0" applyNumberFormat="1" applyFont="1" applyFill="1" applyBorder="1"/>
    <xf numFmtId="1" fontId="0" fillId="0" borderId="2" xfId="0" applyNumberFormat="1" applyBorder="1"/>
    <xf numFmtId="9" fontId="0" fillId="0" borderId="2" xfId="0" applyNumberFormat="1" applyBorder="1"/>
    <xf numFmtId="164" fontId="0" fillId="0" borderId="2" xfId="0" applyNumberFormat="1" applyBorder="1"/>
    <xf numFmtId="10" fontId="0" fillId="0" borderId="2" xfId="0" applyNumberFormat="1" applyBorder="1"/>
    <xf numFmtId="0" fontId="10" fillId="5" borderId="0" xfId="0" applyFont="1" applyFill="1" applyAlignment="1">
      <alignment horizontal="center"/>
    </xf>
    <xf numFmtId="0" fontId="1" fillId="6" borderId="0" xfId="0" applyFont="1" applyFill="1" applyAlignment="1">
      <alignment horizontal="center" vertical="center"/>
    </xf>
    <xf numFmtId="0" fontId="1" fillId="0" borderId="0" xfId="0" applyFont="1" applyAlignment="1">
      <alignment horizontal="center" vertical="center"/>
    </xf>
    <xf numFmtId="165" fontId="4" fillId="0" borderId="0" xfId="2" applyNumberFormat="1" applyBorder="1" applyAlignment="1" applyProtection="1">
      <alignment horizontal="center"/>
    </xf>
    <xf numFmtId="165" fontId="2" fillId="2" borderId="0" xfId="3" applyNumberFormat="1" applyFont="1" applyBorder="1" applyAlignment="1">
      <alignment horizontal="center"/>
    </xf>
  </cellXfs>
  <cellStyles count="5">
    <cellStyle name="Accent6" xfId="3" builtinId="49"/>
    <cellStyle name="Comma" xfId="1" builtinId="3"/>
    <cellStyle name="Hyperlink" xfId="2" builtinId="8"/>
    <cellStyle name="Normal" xfId="0" builtinId="0"/>
    <cellStyle name="Percent" xfId="4" builtinId="5"/>
  </cellStyles>
  <dxfs count="59">
    <dxf>
      <font>
        <b/>
        <i val="0"/>
        <color theme="0"/>
      </font>
      <fill>
        <patternFill>
          <bgColor theme="5"/>
        </patternFill>
      </fill>
    </dxf>
    <dxf>
      <font>
        <b/>
        <i val="0"/>
        <color theme="0"/>
      </font>
      <fill>
        <patternFill>
          <bgColor theme="5"/>
        </patternFill>
      </fill>
    </dxf>
    <dxf>
      <font>
        <color auto="1"/>
      </font>
      <fill>
        <patternFill>
          <bgColor rgb="FFE4F8E8"/>
        </patternFill>
      </fill>
    </dxf>
    <dxf>
      <font>
        <color auto="1"/>
      </font>
      <fill>
        <patternFill>
          <bgColor rgb="FFFDF0E9"/>
        </patternFill>
      </fill>
    </dxf>
    <dxf>
      <font>
        <color auto="1"/>
      </font>
      <fill>
        <patternFill>
          <bgColor rgb="FFDBF5E0"/>
        </patternFill>
      </fill>
    </dxf>
    <dxf>
      <font>
        <color auto="1"/>
      </font>
      <fill>
        <patternFill>
          <bgColor rgb="FFEBF6DE"/>
        </patternFill>
      </fill>
    </dxf>
    <dxf>
      <font>
        <color auto="1"/>
      </font>
      <fill>
        <patternFill>
          <bgColor rgb="FFFFE7E7"/>
        </patternFill>
      </fill>
    </dxf>
    <dxf>
      <font>
        <color auto="1"/>
      </font>
      <fill>
        <patternFill>
          <bgColor rgb="FFE4F8E8"/>
        </patternFill>
      </fill>
    </dxf>
    <dxf>
      <font>
        <color auto="1"/>
      </font>
      <fill>
        <patternFill>
          <bgColor rgb="FFFDF0E9"/>
        </patternFill>
      </fill>
    </dxf>
    <dxf>
      <font>
        <color auto="1"/>
      </font>
      <fill>
        <patternFill>
          <bgColor rgb="FFEBF9EE"/>
        </patternFill>
      </fill>
    </dxf>
    <dxf>
      <font>
        <color auto="1"/>
      </font>
      <fill>
        <patternFill>
          <bgColor rgb="FFFFEFEF"/>
        </patternFill>
      </fill>
    </dxf>
    <dxf>
      <font>
        <color auto="1"/>
      </font>
      <fill>
        <patternFill>
          <bgColor rgb="FFE4F8E8"/>
        </patternFill>
      </fill>
    </dxf>
    <dxf>
      <font>
        <color auto="1"/>
      </font>
      <fill>
        <patternFill>
          <bgColor rgb="FFFDF0E9"/>
        </patternFill>
      </fill>
    </dxf>
    <dxf>
      <font>
        <color auto="1"/>
      </font>
      <fill>
        <patternFill>
          <bgColor rgb="FFE4F8E8"/>
        </patternFill>
      </fill>
    </dxf>
    <dxf>
      <font>
        <color auto="1"/>
      </font>
      <fill>
        <patternFill>
          <bgColor rgb="FFFDF0E9"/>
        </patternFill>
      </fill>
    </dxf>
    <dxf>
      <font>
        <color auto="1"/>
      </font>
      <fill>
        <patternFill>
          <bgColor rgb="FFE4F8E8"/>
        </patternFill>
      </fill>
    </dxf>
    <dxf>
      <font>
        <color auto="1"/>
      </font>
      <fill>
        <patternFill>
          <bgColor rgb="FFFDF0E9"/>
        </patternFill>
      </fill>
    </dxf>
    <dxf>
      <font>
        <color auto="1"/>
      </font>
      <fill>
        <patternFill>
          <bgColor rgb="FFEBF9EE"/>
        </patternFill>
      </fill>
    </dxf>
    <dxf>
      <font>
        <color auto="1"/>
      </font>
      <fill>
        <patternFill>
          <bgColor rgb="FFFFEFEF"/>
        </patternFill>
      </fill>
    </dxf>
    <dxf>
      <font>
        <color auto="1"/>
      </font>
      <fill>
        <patternFill>
          <bgColor rgb="FFEBF6DE"/>
        </patternFill>
      </fill>
    </dxf>
    <dxf>
      <font>
        <color auto="1"/>
      </font>
      <fill>
        <patternFill>
          <bgColor rgb="FFFFE7E7"/>
        </patternFill>
      </fill>
    </dxf>
    <dxf>
      <font>
        <color auto="1"/>
      </font>
      <fill>
        <patternFill>
          <bgColor rgb="FFE4F8E8"/>
        </patternFill>
      </fill>
    </dxf>
    <dxf>
      <font>
        <color auto="1"/>
      </font>
      <fill>
        <patternFill>
          <bgColor rgb="FFFDF0E9"/>
        </patternFill>
      </fill>
    </dxf>
    <dxf>
      <fill>
        <patternFill>
          <bgColor rgb="FFEEF8E4"/>
        </patternFill>
      </fill>
    </dxf>
    <dxf>
      <fill>
        <patternFill>
          <bgColor rgb="FFFFEBED"/>
        </patternFill>
      </fill>
    </dxf>
    <dxf>
      <font>
        <color auto="1"/>
      </font>
      <fill>
        <patternFill>
          <bgColor rgb="FFE4F8E8"/>
        </patternFill>
      </fill>
    </dxf>
    <dxf>
      <font>
        <color auto="1"/>
      </font>
      <fill>
        <patternFill>
          <bgColor rgb="FFFDF0E9"/>
        </patternFill>
      </fill>
    </dxf>
    <dxf>
      <font>
        <color auto="1"/>
      </font>
      <fill>
        <patternFill>
          <bgColor rgb="FFE4F8E8"/>
        </patternFill>
      </fill>
    </dxf>
    <dxf>
      <font>
        <color auto="1"/>
      </font>
      <fill>
        <patternFill>
          <bgColor rgb="FFFDF0E9"/>
        </patternFill>
      </fill>
    </dxf>
    <dxf>
      <font>
        <color auto="1"/>
      </font>
      <fill>
        <patternFill>
          <bgColor rgb="FFE4F8E8"/>
        </patternFill>
      </fill>
    </dxf>
    <dxf>
      <font>
        <color auto="1"/>
      </font>
      <fill>
        <patternFill>
          <bgColor rgb="FFFDF0E9"/>
        </patternFill>
      </fill>
    </dxf>
    <dxf>
      <font>
        <color auto="1"/>
      </font>
      <fill>
        <patternFill>
          <bgColor rgb="FFE4F8E8"/>
        </patternFill>
      </fill>
    </dxf>
    <dxf>
      <font>
        <color auto="1"/>
      </font>
      <fill>
        <patternFill>
          <bgColor rgb="FFFDF0E9"/>
        </patternFill>
      </fill>
    </dxf>
    <dxf>
      <font>
        <color auto="1"/>
      </font>
      <fill>
        <patternFill>
          <bgColor rgb="FFE4F8E8"/>
        </patternFill>
      </fill>
    </dxf>
    <dxf>
      <font>
        <color auto="1"/>
      </font>
      <fill>
        <patternFill>
          <bgColor rgb="FFFDF0E9"/>
        </patternFill>
      </fill>
    </dxf>
    <dxf>
      <font>
        <color auto="1"/>
      </font>
      <fill>
        <patternFill>
          <bgColor rgb="FFE4F8E8"/>
        </patternFill>
      </fill>
    </dxf>
    <dxf>
      <font>
        <color auto="1"/>
      </font>
      <fill>
        <patternFill>
          <bgColor rgb="FFFDF0E9"/>
        </patternFill>
      </fill>
    </dxf>
    <dxf>
      <font>
        <color auto="1"/>
      </font>
      <fill>
        <patternFill>
          <bgColor rgb="FFFFC7CE"/>
        </patternFill>
      </fill>
    </dxf>
    <dxf>
      <font>
        <color auto="1"/>
      </font>
      <fill>
        <patternFill>
          <bgColor rgb="FFC6EFCE"/>
        </patternFill>
      </fill>
    </dxf>
    <dxf>
      <font>
        <color auto="1"/>
      </font>
      <fill>
        <patternFill>
          <bgColor rgb="FFAFDC7E"/>
        </patternFill>
      </fill>
    </dxf>
    <dxf>
      <fill>
        <patternFill>
          <bgColor rgb="FFFFC7CE"/>
        </patternFill>
      </fill>
    </dxf>
    <dxf>
      <fill>
        <patternFill>
          <bgColor rgb="FFABDB77"/>
        </patternFill>
      </fill>
    </dxf>
    <dxf>
      <fill>
        <patternFill>
          <bgColor rgb="FFFFEFF1"/>
        </patternFill>
      </fill>
    </dxf>
    <dxf>
      <fill>
        <patternFill>
          <bgColor rgb="FFF2F9EB"/>
        </patternFill>
      </fill>
    </dxf>
    <dxf>
      <fill>
        <patternFill>
          <bgColor rgb="FFEDF7E1"/>
        </patternFill>
      </fill>
    </dxf>
    <dxf>
      <fill>
        <patternFill>
          <bgColor rgb="FFFFF7F8"/>
        </patternFill>
      </fill>
    </dxf>
    <dxf>
      <fill>
        <patternFill>
          <bgColor rgb="FFF0F9E7"/>
        </patternFill>
      </fill>
    </dxf>
    <dxf>
      <fill>
        <patternFill>
          <bgColor rgb="FFFFF3F4"/>
        </patternFill>
      </fill>
    </dxf>
    <dxf>
      <fill>
        <patternFill>
          <bgColor rgb="FFFFC7CE"/>
        </patternFill>
      </fill>
    </dxf>
    <dxf>
      <fill>
        <patternFill>
          <bgColor rgb="FF92D050"/>
        </patternFill>
      </fill>
    </dxf>
    <dxf>
      <font>
        <color auto="1"/>
      </font>
      <fill>
        <patternFill>
          <bgColor rgb="FFEBF9EE"/>
        </patternFill>
      </fill>
    </dxf>
    <dxf>
      <font>
        <color auto="1"/>
      </font>
      <fill>
        <patternFill>
          <bgColor rgb="FFFFEFEF"/>
        </patternFill>
      </fill>
    </dxf>
    <dxf>
      <font>
        <color auto="1"/>
      </font>
      <fill>
        <patternFill>
          <bgColor rgb="FFC6EFCE"/>
        </patternFill>
      </fill>
    </dxf>
    <dxf>
      <font>
        <color auto="1"/>
      </font>
      <fill>
        <patternFill>
          <bgColor rgb="FFFFC7CE"/>
        </patternFill>
      </fill>
    </dxf>
    <dxf>
      <font>
        <color auto="1"/>
      </font>
      <fill>
        <patternFill>
          <bgColor rgb="FFE4F8E8"/>
        </patternFill>
      </fill>
    </dxf>
    <dxf>
      <font>
        <color auto="1"/>
      </font>
      <fill>
        <patternFill>
          <bgColor rgb="FFFDF0E9"/>
        </patternFill>
      </fill>
    </dxf>
    <dxf>
      <font>
        <color auto="1"/>
      </font>
      <fill>
        <patternFill>
          <bgColor rgb="FFE4F8E8"/>
        </patternFill>
      </fill>
    </dxf>
    <dxf>
      <font>
        <color auto="1"/>
      </font>
      <fill>
        <patternFill>
          <bgColor rgb="FFFDF0E9"/>
        </patternFill>
      </fill>
    </dxf>
    <dxf>
      <fill>
        <patternFill>
          <bgColor rgb="FFFFC7CE"/>
        </patternFill>
      </fill>
    </dxf>
  </dxfs>
  <tableStyles count="0" defaultTableStyle="TableStyleMedium9" defaultPivotStyle="PivotStyleLight16"/>
  <colors>
    <mruColors>
      <color rgb="FF027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DetailedDataSheet!$A$17</c:f>
              <c:strCache>
                <c:ptCount val="1"/>
                <c:pt idx="0">
                  <c:v> Sales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DetailedDataSheet!$B$17:$K$17</c:f>
              <c:numCache>
                <c:formatCode>General</c:formatCode>
                <c:ptCount val="10"/>
                <c:pt idx="0">
                  <c:v>955.7</c:v>
                </c:pt>
                <c:pt idx="1">
                  <c:v>1076.3599999999999</c:v>
                </c:pt>
                <c:pt idx="2">
                  <c:v>2840.82</c:v>
                </c:pt>
                <c:pt idx="3">
                  <c:v>4078.76</c:v>
                </c:pt>
                <c:pt idx="4">
                  <c:v>4886.62</c:v>
                </c:pt>
                <c:pt idx="5">
                  <c:v>4587.6000000000004</c:v>
                </c:pt>
                <c:pt idx="6">
                  <c:v>3069.35</c:v>
                </c:pt>
                <c:pt idx="7">
                  <c:v>3104.87</c:v>
                </c:pt>
                <c:pt idx="8">
                  <c:v>1913.76</c:v>
                </c:pt>
                <c:pt idx="9">
                  <c:v>2817.4</c:v>
                </c:pt>
              </c:numCache>
            </c:numRef>
          </c:val>
          <c:extLst>
            <c:ext xmlns:c16="http://schemas.microsoft.com/office/drawing/2014/chart" uri="{C3380CC4-5D6E-409C-BE32-E72D297353CC}">
              <c16:uniqueId val="{00000000-8354-4F0B-8047-FDD110452F46}"/>
            </c:ext>
          </c:extLst>
        </c:ser>
        <c:dLbls>
          <c:showLegendKey val="0"/>
          <c:showVal val="0"/>
          <c:showCatName val="0"/>
          <c:showSerName val="0"/>
          <c:showPercent val="0"/>
          <c:showBubbleSize val="0"/>
        </c:dLbls>
        <c:gapWidth val="150"/>
        <c:axId val="759342176"/>
        <c:axId val="759341848"/>
      </c:barChart>
      <c:dateAx>
        <c:axId val="75934217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41848"/>
        <c:crosses val="autoZero"/>
        <c:auto val="1"/>
        <c:lblOffset val="100"/>
        <c:baseTimeUnit val="years"/>
      </c:dateAx>
      <c:valAx>
        <c:axId val="75934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42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DetailedDataSheet!$A$44</c:f>
              <c:strCache>
                <c:ptCount val="1"/>
              </c:strCache>
            </c:strRef>
          </c:tx>
          <c:spPr>
            <a:solidFill>
              <a:schemeClr val="accent1"/>
            </a:solidFill>
            <a:ln>
              <a:noFill/>
            </a:ln>
            <a:effectLst/>
          </c:spPr>
          <c:invertIfNegative val="0"/>
          <c:cat>
            <c:numRef>
              <c:f>DetailedDataSheet!$B$34:$K$34</c:f>
              <c:numCache>
                <c:formatCode>[$-409]mmm\-yy;@</c:formatCode>
                <c:ptCount val="10"/>
                <c:pt idx="0">
                  <c:v>43921</c:v>
                </c:pt>
                <c:pt idx="1">
                  <c:v>44012</c:v>
                </c:pt>
                <c:pt idx="2">
                  <c:v>44104</c:v>
                </c:pt>
                <c:pt idx="3">
                  <c:v>44196</c:v>
                </c:pt>
                <c:pt idx="4">
                  <c:v>44286</c:v>
                </c:pt>
                <c:pt idx="5">
                  <c:v>44377</c:v>
                </c:pt>
                <c:pt idx="6">
                  <c:v>44469</c:v>
                </c:pt>
                <c:pt idx="7">
                  <c:v>44561</c:v>
                </c:pt>
                <c:pt idx="8">
                  <c:v>44651</c:v>
                </c:pt>
                <c:pt idx="9">
                  <c:v>44742</c:v>
                </c:pt>
              </c:numCache>
            </c:numRef>
          </c:cat>
          <c:val>
            <c:numRef>
              <c:f>DetailedDataSheet!$B$44:$K$44</c:f>
              <c:numCache>
                <c:formatCode>_ * #,##0.00_ ;_ * \-#,##0.00_ ;_ * "-"??_ ;_ @_ </c:formatCode>
                <c:ptCount val="10"/>
              </c:numCache>
            </c:numRef>
          </c:val>
          <c:extLst>
            <c:ext xmlns:c16="http://schemas.microsoft.com/office/drawing/2014/chart" uri="{C3380CC4-5D6E-409C-BE32-E72D297353CC}">
              <c16:uniqueId val="{00000000-FF22-4316-99CB-A66094578679}"/>
            </c:ext>
          </c:extLst>
        </c:ser>
        <c:dLbls>
          <c:showLegendKey val="0"/>
          <c:showVal val="0"/>
          <c:showCatName val="0"/>
          <c:showSerName val="0"/>
          <c:showPercent val="0"/>
          <c:showBubbleSize val="0"/>
        </c:dLbls>
        <c:gapWidth val="219"/>
        <c:overlap val="-27"/>
        <c:axId val="1116199320"/>
        <c:axId val="1116203912"/>
      </c:barChart>
      <c:dateAx>
        <c:axId val="1116199320"/>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203912"/>
        <c:crosses val="autoZero"/>
        <c:auto val="1"/>
        <c:lblOffset val="100"/>
        <c:baseTimeUnit val="months"/>
      </c:dateAx>
      <c:valAx>
        <c:axId val="1116203912"/>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99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DetailedDataSheet!$A$28</c:f>
              <c:strCache>
                <c:ptCount val="1"/>
                <c:pt idx="0">
                  <c:v> Profit before tax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DetailedDataSheet!$B$28:$K$28</c:f>
              <c:numCache>
                <c:formatCode>General</c:formatCode>
                <c:ptCount val="10"/>
                <c:pt idx="0">
                  <c:v>348.19</c:v>
                </c:pt>
                <c:pt idx="1">
                  <c:v>409.16</c:v>
                </c:pt>
                <c:pt idx="2">
                  <c:v>643.92999999999995</c:v>
                </c:pt>
                <c:pt idx="3">
                  <c:v>841.27</c:v>
                </c:pt>
                <c:pt idx="4">
                  <c:v>802.81</c:v>
                </c:pt>
                <c:pt idx="5">
                  <c:v>773.82</c:v>
                </c:pt>
                <c:pt idx="6">
                  <c:v>671.37</c:v>
                </c:pt>
                <c:pt idx="7">
                  <c:v>742.45</c:v>
                </c:pt>
                <c:pt idx="8">
                  <c:v>340.88</c:v>
                </c:pt>
                <c:pt idx="9">
                  <c:v>709.92</c:v>
                </c:pt>
              </c:numCache>
            </c:numRef>
          </c:val>
          <c:extLst>
            <c:ext xmlns:c16="http://schemas.microsoft.com/office/drawing/2014/chart" uri="{C3380CC4-5D6E-409C-BE32-E72D297353CC}">
              <c16:uniqueId val="{00000000-8483-4798-9A04-9538B455D7E9}"/>
            </c:ext>
          </c:extLst>
        </c:ser>
        <c:dLbls>
          <c:showLegendKey val="0"/>
          <c:showVal val="0"/>
          <c:showCatName val="0"/>
          <c:showSerName val="0"/>
          <c:showPercent val="0"/>
          <c:showBubbleSize val="0"/>
        </c:dLbls>
        <c:gapWidth val="219"/>
        <c:overlap val="-27"/>
        <c:axId val="399616560"/>
        <c:axId val="399616888"/>
      </c:barChart>
      <c:dateAx>
        <c:axId val="399616560"/>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16888"/>
        <c:crosses val="autoZero"/>
        <c:auto val="1"/>
        <c:lblOffset val="100"/>
        <c:baseTimeUnit val="years"/>
      </c:dateAx>
      <c:valAx>
        <c:axId val="39961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1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DetailedDataSheet!$A$93</c:f>
              <c:strCache>
                <c:ptCount val="1"/>
                <c:pt idx="0">
                  <c:v> Tax %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DetailedDataSheet!$B$93:$K$93</c:f>
              <c:numCache>
                <c:formatCode>0%</c:formatCode>
                <c:ptCount val="10"/>
                <c:pt idx="0">
                  <c:v>0.32519601367069706</c:v>
                </c:pt>
                <c:pt idx="1">
                  <c:v>0.31860396910743966</c:v>
                </c:pt>
                <c:pt idx="2">
                  <c:v>0.31118289255043252</c:v>
                </c:pt>
                <c:pt idx="3">
                  <c:v>0.33187918266430516</c:v>
                </c:pt>
                <c:pt idx="4">
                  <c:v>0.34721789713630874</c:v>
                </c:pt>
                <c:pt idx="5">
                  <c:v>0.31748985552195602</c:v>
                </c:pt>
                <c:pt idx="6">
                  <c:v>0.37055572932957981</c:v>
                </c:pt>
                <c:pt idx="7">
                  <c:v>0.27954744427234157</c:v>
                </c:pt>
                <c:pt idx="8">
                  <c:v>0.24381013846514904</c:v>
                </c:pt>
                <c:pt idx="9">
                  <c:v>0.29579389226955155</c:v>
                </c:pt>
              </c:numCache>
            </c:numRef>
          </c:val>
          <c:extLst>
            <c:ext xmlns:c16="http://schemas.microsoft.com/office/drawing/2014/chart" uri="{C3380CC4-5D6E-409C-BE32-E72D297353CC}">
              <c16:uniqueId val="{00000000-1D3F-4983-99AD-D7E9ABE78D9E}"/>
            </c:ext>
          </c:extLst>
        </c:ser>
        <c:dLbls>
          <c:showLegendKey val="0"/>
          <c:showVal val="0"/>
          <c:showCatName val="0"/>
          <c:showSerName val="0"/>
          <c:showPercent val="0"/>
          <c:showBubbleSize val="0"/>
        </c:dLbls>
        <c:gapWidth val="219"/>
        <c:overlap val="-27"/>
        <c:axId val="1149866680"/>
        <c:axId val="1149871600"/>
      </c:barChart>
      <c:dateAx>
        <c:axId val="1149866680"/>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71600"/>
        <c:crosses val="autoZero"/>
        <c:auto val="1"/>
        <c:lblOffset val="100"/>
        <c:baseTimeUnit val="years"/>
      </c:dateAx>
      <c:valAx>
        <c:axId val="1149871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66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Quarterly Profit before tax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DetailedDataSheet!$A$40</c:f>
              <c:strCache>
                <c:ptCount val="1"/>
                <c:pt idx="0">
                  <c:v> Profit before tax </c:v>
                </c:pt>
              </c:strCache>
            </c:strRef>
          </c:tx>
          <c:spPr>
            <a:solidFill>
              <a:schemeClr val="accent1"/>
            </a:solidFill>
            <a:ln>
              <a:noFill/>
            </a:ln>
            <a:effectLst/>
          </c:spPr>
          <c:invertIfNegative val="0"/>
          <c:cat>
            <c:numRef>
              <c:f>DetailedDataSheet!$B$34:$K$34</c:f>
              <c:numCache>
                <c:formatCode>[$-409]mmm\-yy;@</c:formatCode>
                <c:ptCount val="10"/>
                <c:pt idx="0">
                  <c:v>43921</c:v>
                </c:pt>
                <c:pt idx="1">
                  <c:v>44012</c:v>
                </c:pt>
                <c:pt idx="2">
                  <c:v>44104</c:v>
                </c:pt>
                <c:pt idx="3">
                  <c:v>44196</c:v>
                </c:pt>
                <c:pt idx="4">
                  <c:v>44286</c:v>
                </c:pt>
                <c:pt idx="5">
                  <c:v>44377</c:v>
                </c:pt>
                <c:pt idx="6">
                  <c:v>44469</c:v>
                </c:pt>
                <c:pt idx="7">
                  <c:v>44561</c:v>
                </c:pt>
                <c:pt idx="8">
                  <c:v>44651</c:v>
                </c:pt>
                <c:pt idx="9">
                  <c:v>44742</c:v>
                </c:pt>
              </c:numCache>
            </c:numRef>
          </c:cat>
          <c:val>
            <c:numRef>
              <c:f>DetailedDataSheet!$B$40:$K$40</c:f>
              <c:numCache>
                <c:formatCode>General</c:formatCode>
                <c:ptCount val="10"/>
                <c:pt idx="0">
                  <c:v>400.43</c:v>
                </c:pt>
                <c:pt idx="1">
                  <c:v>-106.02</c:v>
                </c:pt>
                <c:pt idx="2">
                  <c:v>40.6</c:v>
                </c:pt>
                <c:pt idx="3">
                  <c:v>68.540000000000006</c:v>
                </c:pt>
                <c:pt idx="4">
                  <c:v>337.76</c:v>
                </c:pt>
                <c:pt idx="5">
                  <c:v>-28.18</c:v>
                </c:pt>
                <c:pt idx="6">
                  <c:v>61.77</c:v>
                </c:pt>
                <c:pt idx="7">
                  <c:v>298.54000000000002</c:v>
                </c:pt>
                <c:pt idx="8">
                  <c:v>377.78</c:v>
                </c:pt>
                <c:pt idx="9">
                  <c:v>53.34</c:v>
                </c:pt>
              </c:numCache>
            </c:numRef>
          </c:val>
          <c:extLst>
            <c:ext xmlns:c16="http://schemas.microsoft.com/office/drawing/2014/chart" uri="{C3380CC4-5D6E-409C-BE32-E72D297353CC}">
              <c16:uniqueId val="{00000000-1906-4361-90B5-1728C3E3DAD9}"/>
            </c:ext>
          </c:extLst>
        </c:ser>
        <c:dLbls>
          <c:showLegendKey val="0"/>
          <c:showVal val="0"/>
          <c:showCatName val="0"/>
          <c:showSerName val="0"/>
          <c:showPercent val="0"/>
          <c:showBubbleSize val="0"/>
        </c:dLbls>
        <c:gapWidth val="219"/>
        <c:overlap val="-27"/>
        <c:axId val="1090621144"/>
        <c:axId val="1090615896"/>
      </c:barChart>
      <c:dateAx>
        <c:axId val="1090621144"/>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15896"/>
        <c:crosses val="autoZero"/>
        <c:auto val="1"/>
        <c:lblOffset val="100"/>
        <c:baseTimeUnit val="months"/>
      </c:dateAx>
      <c:valAx>
        <c:axId val="109061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21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Quarterly</a:t>
            </a:r>
            <a:r>
              <a:rPr lang="en-US" baseline="0"/>
              <a:t> </a:t>
            </a:r>
            <a:r>
              <a:rPr lang="en-US"/>
              <a:t>Net profit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DetailedDataSheet!$A$42</c:f>
              <c:strCache>
                <c:ptCount val="1"/>
                <c:pt idx="0">
                  <c:v> Net profit </c:v>
                </c:pt>
              </c:strCache>
            </c:strRef>
          </c:tx>
          <c:spPr>
            <a:solidFill>
              <a:schemeClr val="accent1"/>
            </a:solidFill>
            <a:ln>
              <a:noFill/>
            </a:ln>
            <a:effectLst/>
          </c:spPr>
          <c:invertIfNegative val="0"/>
          <c:cat>
            <c:numRef>
              <c:f>DetailedDataSheet!$B$34:$K$34</c:f>
              <c:numCache>
                <c:formatCode>[$-409]mmm\-yy;@</c:formatCode>
                <c:ptCount val="10"/>
                <c:pt idx="0">
                  <c:v>43921</c:v>
                </c:pt>
                <c:pt idx="1">
                  <c:v>44012</c:v>
                </c:pt>
                <c:pt idx="2">
                  <c:v>44104</c:v>
                </c:pt>
                <c:pt idx="3">
                  <c:v>44196</c:v>
                </c:pt>
                <c:pt idx="4">
                  <c:v>44286</c:v>
                </c:pt>
                <c:pt idx="5">
                  <c:v>44377</c:v>
                </c:pt>
                <c:pt idx="6">
                  <c:v>44469</c:v>
                </c:pt>
                <c:pt idx="7">
                  <c:v>44561</c:v>
                </c:pt>
                <c:pt idx="8">
                  <c:v>44651</c:v>
                </c:pt>
                <c:pt idx="9">
                  <c:v>44742</c:v>
                </c:pt>
              </c:numCache>
            </c:numRef>
          </c:cat>
          <c:val>
            <c:numRef>
              <c:f>DetailedDataSheet!$B$42:$K$42</c:f>
              <c:numCache>
                <c:formatCode>General</c:formatCode>
                <c:ptCount val="10"/>
                <c:pt idx="0">
                  <c:v>309.72000000000003</c:v>
                </c:pt>
                <c:pt idx="1">
                  <c:v>-78.040000000000006</c:v>
                </c:pt>
                <c:pt idx="2">
                  <c:v>26.25</c:v>
                </c:pt>
                <c:pt idx="3">
                  <c:v>49.19</c:v>
                </c:pt>
                <c:pt idx="4">
                  <c:v>260.37</c:v>
                </c:pt>
                <c:pt idx="5">
                  <c:v>-20.95</c:v>
                </c:pt>
                <c:pt idx="6">
                  <c:v>43.25</c:v>
                </c:pt>
                <c:pt idx="7">
                  <c:v>213.26</c:v>
                </c:pt>
                <c:pt idx="8">
                  <c:v>264.36</c:v>
                </c:pt>
                <c:pt idx="9">
                  <c:v>39.86</c:v>
                </c:pt>
              </c:numCache>
            </c:numRef>
          </c:val>
          <c:extLst>
            <c:ext xmlns:c16="http://schemas.microsoft.com/office/drawing/2014/chart" uri="{C3380CC4-5D6E-409C-BE32-E72D297353CC}">
              <c16:uniqueId val="{00000000-1536-4A14-AC42-F4E9DB7E6298}"/>
            </c:ext>
          </c:extLst>
        </c:ser>
        <c:dLbls>
          <c:showLegendKey val="0"/>
          <c:showVal val="0"/>
          <c:showCatName val="0"/>
          <c:showSerName val="0"/>
          <c:showPercent val="0"/>
          <c:showBubbleSize val="0"/>
        </c:dLbls>
        <c:gapWidth val="219"/>
        <c:overlap val="-27"/>
        <c:axId val="1145023792"/>
        <c:axId val="1145022808"/>
      </c:barChart>
      <c:dateAx>
        <c:axId val="1145023792"/>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22808"/>
        <c:crosses val="autoZero"/>
        <c:auto val="1"/>
        <c:lblOffset val="100"/>
        <c:baseTimeUnit val="months"/>
      </c:dateAx>
      <c:valAx>
        <c:axId val="1145022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2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DetailedDataSheet!$A$30</c:f>
              <c:strCache>
                <c:ptCount val="1"/>
                <c:pt idx="0">
                  <c:v> Net profit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DetailedDataSheet!$B$30:$K$30</c:f>
              <c:numCache>
                <c:formatCode>General</c:formatCode>
                <c:ptCount val="10"/>
                <c:pt idx="0">
                  <c:v>234.96</c:v>
                </c:pt>
                <c:pt idx="1">
                  <c:v>278.79000000000002</c:v>
                </c:pt>
                <c:pt idx="2">
                  <c:v>443.55</c:v>
                </c:pt>
                <c:pt idx="3">
                  <c:v>562.07000000000005</c:v>
                </c:pt>
                <c:pt idx="4">
                  <c:v>524.05999999999995</c:v>
                </c:pt>
                <c:pt idx="5">
                  <c:v>528.15</c:v>
                </c:pt>
                <c:pt idx="6">
                  <c:v>422.59</c:v>
                </c:pt>
                <c:pt idx="7">
                  <c:v>534.9</c:v>
                </c:pt>
                <c:pt idx="8">
                  <c:v>257.77</c:v>
                </c:pt>
                <c:pt idx="9">
                  <c:v>499.92</c:v>
                </c:pt>
              </c:numCache>
            </c:numRef>
          </c:val>
          <c:extLst>
            <c:ext xmlns:c16="http://schemas.microsoft.com/office/drawing/2014/chart" uri="{C3380CC4-5D6E-409C-BE32-E72D297353CC}">
              <c16:uniqueId val="{00000000-1E5E-407B-B785-D809565E5984}"/>
            </c:ext>
          </c:extLst>
        </c:ser>
        <c:dLbls>
          <c:showLegendKey val="0"/>
          <c:showVal val="0"/>
          <c:showCatName val="0"/>
          <c:showSerName val="0"/>
          <c:showPercent val="0"/>
          <c:showBubbleSize val="0"/>
        </c:dLbls>
        <c:gapWidth val="219"/>
        <c:overlap val="-27"/>
        <c:axId val="1183743432"/>
        <c:axId val="1183748352"/>
      </c:barChart>
      <c:dateAx>
        <c:axId val="1183743432"/>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48352"/>
        <c:crosses val="autoZero"/>
        <c:auto val="1"/>
        <c:lblOffset val="100"/>
        <c:baseTimeUnit val="years"/>
      </c:dateAx>
      <c:valAx>
        <c:axId val="118374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43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DetailedDataSheet!$A$94</c:f>
              <c:strCache>
                <c:ptCount val="1"/>
                <c:pt idx="0">
                  <c:v> Net Profit Margin(NPM%)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DetailedDataSheet!$B$94:$K$94</c:f>
              <c:numCache>
                <c:formatCode>0%</c:formatCode>
                <c:ptCount val="10"/>
                <c:pt idx="0">
                  <c:v>0.24585120853824421</c:v>
                </c:pt>
                <c:pt idx="1">
                  <c:v>0.25901185476977967</c:v>
                </c:pt>
                <c:pt idx="2">
                  <c:v>0.15613449637780641</c:v>
                </c:pt>
                <c:pt idx="3">
                  <c:v>0.1378041365513048</c:v>
                </c:pt>
                <c:pt idx="4">
                  <c:v>0.10724386181041291</c:v>
                </c:pt>
                <c:pt idx="5">
                  <c:v>0.11512555584619408</c:v>
                </c:pt>
                <c:pt idx="6">
                  <c:v>0.13768061641715673</c:v>
                </c:pt>
                <c:pt idx="7">
                  <c:v>0.17227774431779752</c:v>
                </c:pt>
                <c:pt idx="8">
                  <c:v>0.13469296045481147</c:v>
                </c:pt>
                <c:pt idx="9">
                  <c:v>0.17744019308582382</c:v>
                </c:pt>
              </c:numCache>
            </c:numRef>
          </c:val>
          <c:extLst>
            <c:ext xmlns:c16="http://schemas.microsoft.com/office/drawing/2014/chart" uri="{C3380CC4-5D6E-409C-BE32-E72D297353CC}">
              <c16:uniqueId val="{00000000-52D8-4369-9074-44E497657669}"/>
            </c:ext>
          </c:extLst>
        </c:ser>
        <c:dLbls>
          <c:dLblPos val="outEnd"/>
          <c:showLegendKey val="0"/>
          <c:showVal val="1"/>
          <c:showCatName val="0"/>
          <c:showSerName val="0"/>
          <c:showPercent val="0"/>
          <c:showBubbleSize val="0"/>
        </c:dLbls>
        <c:gapWidth val="219"/>
        <c:overlap val="-27"/>
        <c:axId val="1118095072"/>
        <c:axId val="1118099336"/>
      </c:barChart>
      <c:dateAx>
        <c:axId val="1118095072"/>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99336"/>
        <c:crosses val="autoZero"/>
        <c:auto val="1"/>
        <c:lblOffset val="100"/>
        <c:baseTimeUnit val="years"/>
      </c:dateAx>
      <c:valAx>
        <c:axId val="1118099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9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DetailedDataSheet!$A$115</c:f>
              <c:strCache>
                <c:ptCount val="1"/>
                <c:pt idx="0">
                  <c:v> EPS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DetailedDataSheet!$B$115:$K$115</c:f>
              <c:numCache>
                <c:formatCode>0.00</c:formatCode>
                <c:ptCount val="10"/>
                <c:pt idx="0">
                  <c:v>2.0431304347826087</c:v>
                </c:pt>
                <c:pt idx="1">
                  <c:v>2.4242608695652175</c:v>
                </c:pt>
                <c:pt idx="2">
                  <c:v>3.8569565217391304</c:v>
                </c:pt>
                <c:pt idx="3">
                  <c:v>5.7500767263427113</c:v>
                </c:pt>
                <c:pt idx="4">
                  <c:v>4.2888943448727392</c:v>
                </c:pt>
                <c:pt idx="5">
                  <c:v>2.8816564818856394</c:v>
                </c:pt>
                <c:pt idx="6">
                  <c:v>2.3057071147970318</c:v>
                </c:pt>
                <c:pt idx="7">
                  <c:v>2.9184853775643824</c:v>
                </c:pt>
                <c:pt idx="8">
                  <c:v>1.4064273243125271</c:v>
                </c:pt>
                <c:pt idx="9">
                  <c:v>2.7276298559580971</c:v>
                </c:pt>
              </c:numCache>
            </c:numRef>
          </c:val>
          <c:extLst>
            <c:ext xmlns:c16="http://schemas.microsoft.com/office/drawing/2014/chart" uri="{C3380CC4-5D6E-409C-BE32-E72D297353CC}">
              <c16:uniqueId val="{00000000-DACA-4F58-BF5A-93DC53FF8DB9}"/>
            </c:ext>
          </c:extLst>
        </c:ser>
        <c:dLbls>
          <c:showLegendKey val="0"/>
          <c:showVal val="0"/>
          <c:showCatName val="0"/>
          <c:showSerName val="0"/>
          <c:showPercent val="0"/>
          <c:showBubbleSize val="0"/>
        </c:dLbls>
        <c:gapWidth val="219"/>
        <c:overlap val="-27"/>
        <c:axId val="1175695784"/>
        <c:axId val="1175692504"/>
      </c:barChart>
      <c:dateAx>
        <c:axId val="1175695784"/>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692504"/>
        <c:crosses val="autoZero"/>
        <c:auto val="1"/>
        <c:lblOffset val="100"/>
        <c:baseTimeUnit val="years"/>
      </c:dateAx>
      <c:valAx>
        <c:axId val="1175692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695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ysClr val="windowText" lastClr="000000"/>
                </a:solidFill>
              </a:rPr>
              <a:t>GROWTH</a:t>
            </a:r>
            <a:r>
              <a:rPr lang="en-IN" sz="1800" b="1" baseline="0">
                <a:solidFill>
                  <a:sysClr val="windowText" lastClr="000000"/>
                </a:solidFill>
              </a:rPr>
              <a:t> in 10 years</a:t>
            </a:r>
            <a:endParaRPr lang="en-IN"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DetailedDataSheet!$A$17</c:f>
              <c:strCache>
                <c:ptCount val="1"/>
                <c:pt idx="0">
                  <c:v> Sales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DetailedDataSheet!$B$17:$K$17</c:f>
              <c:numCache>
                <c:formatCode>General</c:formatCode>
                <c:ptCount val="10"/>
                <c:pt idx="0">
                  <c:v>955.7</c:v>
                </c:pt>
                <c:pt idx="1">
                  <c:v>1076.3599999999999</c:v>
                </c:pt>
                <c:pt idx="2">
                  <c:v>2840.82</c:v>
                </c:pt>
                <c:pt idx="3">
                  <c:v>4078.76</c:v>
                </c:pt>
                <c:pt idx="4">
                  <c:v>4886.62</c:v>
                </c:pt>
                <c:pt idx="5">
                  <c:v>4587.6000000000004</c:v>
                </c:pt>
                <c:pt idx="6">
                  <c:v>3069.35</c:v>
                </c:pt>
                <c:pt idx="7">
                  <c:v>3104.87</c:v>
                </c:pt>
                <c:pt idx="8">
                  <c:v>1913.76</c:v>
                </c:pt>
                <c:pt idx="9">
                  <c:v>2817.4</c:v>
                </c:pt>
              </c:numCache>
            </c:numRef>
          </c:val>
          <c:extLst>
            <c:ext xmlns:c16="http://schemas.microsoft.com/office/drawing/2014/chart" uri="{C3380CC4-5D6E-409C-BE32-E72D297353CC}">
              <c16:uniqueId val="{00000002-D3B8-4FDB-A240-AF8867F7923A}"/>
            </c:ext>
          </c:extLst>
        </c:ser>
        <c:ser>
          <c:idx val="1"/>
          <c:order val="1"/>
          <c:tx>
            <c:strRef>
              <c:f>DetailedDataSheet!$A$30</c:f>
              <c:strCache>
                <c:ptCount val="1"/>
                <c:pt idx="0">
                  <c:v> Net profit </c:v>
                </c:pt>
              </c:strCache>
            </c:strRef>
          </c:tx>
          <c:spPr>
            <a:solidFill>
              <a:schemeClr val="accent2"/>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DetailedDataSheet!$B$30:$K$30</c:f>
              <c:numCache>
                <c:formatCode>General</c:formatCode>
                <c:ptCount val="10"/>
                <c:pt idx="0">
                  <c:v>234.96</c:v>
                </c:pt>
                <c:pt idx="1">
                  <c:v>278.79000000000002</c:v>
                </c:pt>
                <c:pt idx="2">
                  <c:v>443.55</c:v>
                </c:pt>
                <c:pt idx="3">
                  <c:v>562.07000000000005</c:v>
                </c:pt>
                <c:pt idx="4">
                  <c:v>524.05999999999995</c:v>
                </c:pt>
                <c:pt idx="5">
                  <c:v>528.15</c:v>
                </c:pt>
                <c:pt idx="6">
                  <c:v>422.59</c:v>
                </c:pt>
                <c:pt idx="7">
                  <c:v>534.9</c:v>
                </c:pt>
                <c:pt idx="8">
                  <c:v>257.77</c:v>
                </c:pt>
                <c:pt idx="9">
                  <c:v>499.92</c:v>
                </c:pt>
              </c:numCache>
            </c:numRef>
          </c:val>
          <c:extLst>
            <c:ext xmlns:c16="http://schemas.microsoft.com/office/drawing/2014/chart" uri="{C3380CC4-5D6E-409C-BE32-E72D297353CC}">
              <c16:uniqueId val="{00000003-D3B8-4FDB-A240-AF8867F7923A}"/>
            </c:ext>
          </c:extLst>
        </c:ser>
        <c:ser>
          <c:idx val="2"/>
          <c:order val="2"/>
          <c:tx>
            <c:strRef>
              <c:f>DetailedDataSheet!$A$31</c:f>
              <c:strCache>
                <c:ptCount val="1"/>
                <c:pt idx="0">
                  <c:v> Dividend Amount </c:v>
                </c:pt>
              </c:strCache>
            </c:strRef>
          </c:tx>
          <c:spPr>
            <a:solidFill>
              <a:schemeClr val="accent3"/>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DetailedDataSheet!$B$31:$K$31</c:f>
              <c:numCache>
                <c:formatCode>General</c:formatCode>
                <c:ptCount val="10"/>
                <c:pt idx="0">
                  <c:v>47</c:v>
                </c:pt>
                <c:pt idx="1">
                  <c:v>57.68</c:v>
                </c:pt>
                <c:pt idx="2">
                  <c:v>83.71</c:v>
                </c:pt>
                <c:pt idx="3">
                  <c:v>168.97</c:v>
                </c:pt>
                <c:pt idx="4">
                  <c:v>157.13999999999999</c:v>
                </c:pt>
                <c:pt idx="5">
                  <c:v>133.61000000000001</c:v>
                </c:pt>
                <c:pt idx="6">
                  <c:v>126.83</c:v>
                </c:pt>
                <c:pt idx="7">
                  <c:v>161.29</c:v>
                </c:pt>
                <c:pt idx="8">
                  <c:v>134.71</c:v>
                </c:pt>
                <c:pt idx="9">
                  <c:v>152.12</c:v>
                </c:pt>
              </c:numCache>
            </c:numRef>
          </c:val>
          <c:extLst>
            <c:ext xmlns:c16="http://schemas.microsoft.com/office/drawing/2014/chart" uri="{C3380CC4-5D6E-409C-BE32-E72D297353CC}">
              <c16:uniqueId val="{00000004-D3B8-4FDB-A240-AF8867F7923A}"/>
            </c:ext>
          </c:extLst>
        </c:ser>
        <c:dLbls>
          <c:showLegendKey val="0"/>
          <c:showVal val="0"/>
          <c:showCatName val="0"/>
          <c:showSerName val="0"/>
          <c:showPercent val="0"/>
          <c:showBubbleSize val="0"/>
        </c:dLbls>
        <c:gapWidth val="219"/>
        <c:overlap val="-27"/>
        <c:axId val="1175711200"/>
        <c:axId val="1175709888"/>
      </c:barChart>
      <c:dateAx>
        <c:axId val="1175711200"/>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09888"/>
        <c:crosses val="autoZero"/>
        <c:auto val="1"/>
        <c:lblOffset val="100"/>
        <c:baseTimeUnit val="years"/>
      </c:dateAx>
      <c:valAx>
        <c:axId val="117570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11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ysClr val="windowText" lastClr="000000"/>
                </a:solidFill>
              </a:rPr>
              <a:t>Receivables and Capital WIP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DetailedDataSheet!$A$56</c:f>
              <c:strCache>
                <c:ptCount val="1"/>
                <c:pt idx="0">
                  <c:v> Capital Work in Progress </c:v>
                </c:pt>
              </c:strCache>
            </c:strRef>
          </c:tx>
          <c:spPr>
            <a:solidFill>
              <a:schemeClr val="accent1"/>
            </a:solidFill>
            <a:ln>
              <a:noFill/>
            </a:ln>
            <a:effectLst/>
          </c:spPr>
          <c:invertIfNegative val="0"/>
          <c:cat>
            <c:numRef>
              <c:f>DetailedDataSheet!$B$49:$K$49</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DetailedDataSheet!$B$56:$K$56</c:f>
              <c:numCache>
                <c:formatCode>General</c:formatCode>
                <c:ptCount val="10"/>
                <c:pt idx="0" formatCode="_ * #,##0.00_ ;_ * \-#,##0.00_ ;_ * &quot;-&quot;??_ ;_ @_ ">
                  <c:v>45.47</c:v>
                </c:pt>
                <c:pt idx="1">
                  <c:v>69.53</c:v>
                </c:pt>
                <c:pt idx="2">
                  <c:v>142.27000000000001</c:v>
                </c:pt>
                <c:pt idx="3" formatCode="_ * #,##0.00_ ;_ * \-#,##0.00_ ;_ * &quot;-&quot;??_ ;_ @_ ">
                  <c:v>126.21</c:v>
                </c:pt>
                <c:pt idx="4">
                  <c:v>135.88</c:v>
                </c:pt>
                <c:pt idx="5">
                  <c:v>129.84</c:v>
                </c:pt>
                <c:pt idx="6" formatCode="_ * #,##0.00_ ;_ * \-#,##0.00_ ;_ * &quot;-&quot;??_ ;_ @_ ">
                  <c:v>47.03</c:v>
                </c:pt>
                <c:pt idx="7" formatCode="_ * #,##0.00_ ;_ * \-#,##0.00_ ;_ * &quot;-&quot;??_ ;_ @_ ">
                  <c:v>42.06</c:v>
                </c:pt>
                <c:pt idx="8">
                  <c:v>21.5</c:v>
                </c:pt>
                <c:pt idx="9">
                  <c:v>40.729999999999997</c:v>
                </c:pt>
              </c:numCache>
            </c:numRef>
          </c:val>
          <c:extLst>
            <c:ext xmlns:c16="http://schemas.microsoft.com/office/drawing/2014/chart" uri="{C3380CC4-5D6E-409C-BE32-E72D297353CC}">
              <c16:uniqueId val="{00000000-D18B-43E4-B710-25152C79F473}"/>
            </c:ext>
          </c:extLst>
        </c:ser>
        <c:ser>
          <c:idx val="1"/>
          <c:order val="1"/>
          <c:tx>
            <c:strRef>
              <c:f>DetailedDataSheet!$A$60</c:f>
              <c:strCache>
                <c:ptCount val="1"/>
                <c:pt idx="0">
                  <c:v> Receivables </c:v>
                </c:pt>
              </c:strCache>
            </c:strRef>
          </c:tx>
          <c:spPr>
            <a:solidFill>
              <a:schemeClr val="accent2"/>
            </a:solidFill>
            <a:ln>
              <a:noFill/>
            </a:ln>
            <a:effectLst/>
          </c:spPr>
          <c:invertIfNegative val="0"/>
          <c:cat>
            <c:numRef>
              <c:f>DetailedDataSheet!$B$49:$K$49</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DetailedDataSheet!$B$60:$K$60</c:f>
              <c:numCache>
                <c:formatCode>General</c:formatCode>
                <c:ptCount val="10"/>
                <c:pt idx="0">
                  <c:v>88.39</c:v>
                </c:pt>
                <c:pt idx="1">
                  <c:v>275.45</c:v>
                </c:pt>
                <c:pt idx="2">
                  <c:v>334.79</c:v>
                </c:pt>
                <c:pt idx="3">
                  <c:v>144.86000000000001</c:v>
                </c:pt>
                <c:pt idx="4">
                  <c:v>154.55000000000001</c:v>
                </c:pt>
                <c:pt idx="5">
                  <c:v>770.41</c:v>
                </c:pt>
                <c:pt idx="6">
                  <c:v>525.92999999999995</c:v>
                </c:pt>
                <c:pt idx="7">
                  <c:v>338.37</c:v>
                </c:pt>
                <c:pt idx="8">
                  <c:v>322.69</c:v>
                </c:pt>
                <c:pt idx="9">
                  <c:v>304.16000000000003</c:v>
                </c:pt>
              </c:numCache>
            </c:numRef>
          </c:val>
          <c:extLst>
            <c:ext xmlns:c16="http://schemas.microsoft.com/office/drawing/2014/chart" uri="{C3380CC4-5D6E-409C-BE32-E72D297353CC}">
              <c16:uniqueId val="{00000001-D18B-43E4-B710-25152C79F473}"/>
            </c:ext>
          </c:extLst>
        </c:ser>
        <c:dLbls>
          <c:showLegendKey val="0"/>
          <c:showVal val="0"/>
          <c:showCatName val="0"/>
          <c:showSerName val="0"/>
          <c:showPercent val="0"/>
          <c:showBubbleSize val="0"/>
        </c:dLbls>
        <c:gapWidth val="219"/>
        <c:overlap val="-27"/>
        <c:axId val="1180906248"/>
        <c:axId val="1180909200"/>
      </c:barChart>
      <c:dateAx>
        <c:axId val="1180906248"/>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09200"/>
        <c:crosses val="autoZero"/>
        <c:auto val="1"/>
        <c:lblOffset val="100"/>
        <c:baseTimeUnit val="years"/>
      </c:dateAx>
      <c:valAx>
        <c:axId val="118090920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0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Balance Sheet - Share</a:t>
            </a:r>
            <a:r>
              <a:rPr lang="en-IN" baseline="0"/>
              <a:t> capital Reserves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Sheet'!$A$57</c:f>
              <c:strCache>
                <c:ptCount val="1"/>
                <c:pt idx="0">
                  <c:v> Equity Share Capital </c:v>
                </c:pt>
              </c:strCache>
            </c:strRef>
          </c:tx>
          <c:spPr>
            <a:solidFill>
              <a:schemeClr val="accent1"/>
            </a:solidFill>
            <a:ln>
              <a:noFill/>
            </a:ln>
            <a:effectLst/>
          </c:spPr>
          <c:invertIfNegative val="0"/>
          <c:cat>
            <c:numRef>
              <c:f>'Data Sheet'!$B$56:$K$56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'Data Sheet'!$B$57:$K$57</c:f>
              <c:numCache>
                <c:formatCode>General</c:formatCode>
                <c:ptCount val="10"/>
                <c:pt idx="0">
                  <c:v>115</c:v>
                </c:pt>
                <c:pt idx="1">
                  <c:v>115</c:v>
                </c:pt>
                <c:pt idx="2">
                  <c:v>115</c:v>
                </c:pt>
                <c:pt idx="3">
                  <c:v>97.75</c:v>
                </c:pt>
                <c:pt idx="4">
                  <c:v>122.19</c:v>
                </c:pt>
                <c:pt idx="5">
                  <c:v>183.28</c:v>
                </c:pt>
                <c:pt idx="6">
                  <c:v>183.28</c:v>
                </c:pt>
                <c:pt idx="7">
                  <c:v>183.28</c:v>
                </c:pt>
                <c:pt idx="8">
                  <c:v>183.28</c:v>
                </c:pt>
                <c:pt idx="9">
                  <c:v>183.28</c:v>
                </c:pt>
              </c:numCache>
            </c:numRef>
          </c:val>
          <c:extLst>
            <c:ext xmlns:c16="http://schemas.microsoft.com/office/drawing/2014/chart" uri="{C3380CC4-5D6E-409C-BE32-E72D297353CC}">
              <c16:uniqueId val="{00000000-6406-4C66-8ADE-4F45FDCBE5A7}"/>
            </c:ext>
          </c:extLst>
        </c:ser>
        <c:ser>
          <c:idx val="1"/>
          <c:order val="1"/>
          <c:tx>
            <c:strRef>
              <c:f>'Data Sheet'!$A$58</c:f>
              <c:strCache>
                <c:ptCount val="1"/>
                <c:pt idx="0">
                  <c:v> Reserves </c:v>
                </c:pt>
              </c:strCache>
            </c:strRef>
          </c:tx>
          <c:spPr>
            <a:solidFill>
              <a:schemeClr val="accent2"/>
            </a:solidFill>
            <a:ln>
              <a:noFill/>
            </a:ln>
            <a:effectLst/>
          </c:spPr>
          <c:invertIfNegative val="0"/>
          <c:cat>
            <c:numRef>
              <c:f>'Data Sheet'!$B$56:$K$56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'Data Sheet'!$B$58:$K$58</c:f>
              <c:numCache>
                <c:formatCode>General</c:formatCode>
                <c:ptCount val="10"/>
                <c:pt idx="0">
                  <c:v>617.38</c:v>
                </c:pt>
                <c:pt idx="1">
                  <c:v>936.18</c:v>
                </c:pt>
                <c:pt idx="2">
                  <c:v>1537.67</c:v>
                </c:pt>
                <c:pt idx="3">
                  <c:v>1753.49</c:v>
                </c:pt>
                <c:pt idx="4">
                  <c:v>2072.79</c:v>
                </c:pt>
                <c:pt idx="5">
                  <c:v>1773.1</c:v>
                </c:pt>
                <c:pt idx="6">
                  <c:v>2085.2600000000002</c:v>
                </c:pt>
                <c:pt idx="7">
                  <c:v>2423.5500000000002</c:v>
                </c:pt>
                <c:pt idx="8">
                  <c:v>2501.4699999999998</c:v>
                </c:pt>
                <c:pt idx="9">
                  <c:v>2847.28</c:v>
                </c:pt>
              </c:numCache>
            </c:numRef>
          </c:val>
          <c:extLst>
            <c:ext xmlns:c16="http://schemas.microsoft.com/office/drawing/2014/chart" uri="{C3380CC4-5D6E-409C-BE32-E72D297353CC}">
              <c16:uniqueId val="{00000001-6406-4C66-8ADE-4F45FDCBE5A7}"/>
            </c:ext>
          </c:extLst>
        </c:ser>
        <c:dLbls>
          <c:showLegendKey val="0"/>
          <c:showVal val="0"/>
          <c:showCatName val="0"/>
          <c:showSerName val="0"/>
          <c:showPercent val="0"/>
          <c:showBubbleSize val="0"/>
        </c:dLbls>
        <c:gapWidth val="150"/>
        <c:axId val="713793896"/>
        <c:axId val="713800456"/>
      </c:barChart>
      <c:dateAx>
        <c:axId val="713793896"/>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00456"/>
        <c:crosses val="autoZero"/>
        <c:auto val="1"/>
        <c:lblOffset val="100"/>
        <c:baseTimeUnit val="years"/>
      </c:dateAx>
      <c:valAx>
        <c:axId val="71380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9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DetailedDataSheet!$A$96</c:f>
              <c:strCache>
                <c:ptCount val="1"/>
                <c:pt idx="0">
                  <c:v> Total Debt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DetailedDataSheet!$B$96:$K$96</c:f>
              <c:numCache>
                <c:formatCode>_ * #,##0.00_ ;_ * \-#,##0.00_ ;_ * "-"??_ ;_ @_ </c:formatCode>
                <c:ptCount val="10"/>
                <c:pt idx="0">
                  <c:v>0</c:v>
                </c:pt>
                <c:pt idx="1">
                  <c:v>0</c:v>
                </c:pt>
                <c:pt idx="2">
                  <c:v>0</c:v>
                </c:pt>
                <c:pt idx="3">
                  <c:v>3.71</c:v>
                </c:pt>
                <c:pt idx="4">
                  <c:v>3.58</c:v>
                </c:pt>
                <c:pt idx="5">
                  <c:v>3.69</c:v>
                </c:pt>
                <c:pt idx="6">
                  <c:v>5.39</c:v>
                </c:pt>
                <c:pt idx="7">
                  <c:v>14.51</c:v>
                </c:pt>
                <c:pt idx="8">
                  <c:v>11.29</c:v>
                </c:pt>
                <c:pt idx="9">
                  <c:v>10.11</c:v>
                </c:pt>
              </c:numCache>
            </c:numRef>
          </c:val>
          <c:extLst>
            <c:ext xmlns:c16="http://schemas.microsoft.com/office/drawing/2014/chart" uri="{C3380CC4-5D6E-409C-BE32-E72D297353CC}">
              <c16:uniqueId val="{00000000-1109-457D-9278-EA84A9E6CEA4}"/>
            </c:ext>
          </c:extLst>
        </c:ser>
        <c:dLbls>
          <c:showLegendKey val="0"/>
          <c:showVal val="0"/>
          <c:showCatName val="0"/>
          <c:showSerName val="0"/>
          <c:showPercent val="0"/>
          <c:showBubbleSize val="0"/>
        </c:dLbls>
        <c:gapWidth val="219"/>
        <c:overlap val="-27"/>
        <c:axId val="1176292408"/>
        <c:axId val="1176292736"/>
      </c:barChart>
      <c:dateAx>
        <c:axId val="1176292408"/>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92736"/>
        <c:crosses val="autoZero"/>
        <c:auto val="1"/>
        <c:lblOffset val="100"/>
        <c:baseTimeUnit val="years"/>
      </c:dateAx>
      <c:valAx>
        <c:axId val="1176292736"/>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92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DetailedDataSheet!$A$95</c:f>
              <c:strCache>
                <c:ptCount val="1"/>
                <c:pt idx="0">
                  <c:v> Total Expense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DetailedDataSheet!$B$95:$K$95</c:f>
              <c:numCache>
                <c:formatCode>_ * #,##0_ ;_ * \-#,##0_ ;_ * "-"_ ;_ @_ </c:formatCode>
                <c:ptCount val="10"/>
                <c:pt idx="0">
                  <c:v>556.06999999999994</c:v>
                </c:pt>
                <c:pt idx="1">
                  <c:v>624.21</c:v>
                </c:pt>
                <c:pt idx="2">
                  <c:v>2124.98</c:v>
                </c:pt>
                <c:pt idx="3">
                  <c:v>3178.88</c:v>
                </c:pt>
                <c:pt idx="4">
                  <c:v>4017.2999999999997</c:v>
                </c:pt>
                <c:pt idx="5">
                  <c:v>3746.1000000000004</c:v>
                </c:pt>
                <c:pt idx="6">
                  <c:v>2310.33</c:v>
                </c:pt>
                <c:pt idx="7">
                  <c:v>2260.5200000000004</c:v>
                </c:pt>
                <c:pt idx="8">
                  <c:v>1473.63</c:v>
                </c:pt>
                <c:pt idx="9">
                  <c:v>2012.38</c:v>
                </c:pt>
              </c:numCache>
            </c:numRef>
          </c:val>
          <c:extLst>
            <c:ext xmlns:c16="http://schemas.microsoft.com/office/drawing/2014/chart" uri="{C3380CC4-5D6E-409C-BE32-E72D297353CC}">
              <c16:uniqueId val="{00000003-E152-43B0-B558-55CD2B7488CB}"/>
            </c:ext>
          </c:extLst>
        </c:ser>
        <c:dLbls>
          <c:showLegendKey val="0"/>
          <c:showVal val="0"/>
          <c:showCatName val="0"/>
          <c:showSerName val="0"/>
          <c:showPercent val="0"/>
          <c:showBubbleSize val="0"/>
        </c:dLbls>
        <c:gapWidth val="219"/>
        <c:overlap val="-27"/>
        <c:axId val="1087693464"/>
        <c:axId val="1087689528"/>
      </c:barChart>
      <c:dateAx>
        <c:axId val="1087693464"/>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89528"/>
        <c:crosses val="autoZero"/>
        <c:auto val="1"/>
        <c:lblOffset val="100"/>
        <c:baseTimeUnit val="years"/>
      </c:dateAx>
      <c:valAx>
        <c:axId val="108768952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93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DetailedDataSheet!$A$107</c:f>
              <c:strCache>
                <c:ptCount val="1"/>
                <c:pt idx="0">
                  <c:v> Fixed Assets Turnover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DetailedDataSheet!$B$107:$K$107</c:f>
              <c:numCache>
                <c:formatCode>0.00</c:formatCode>
                <c:ptCount val="10"/>
                <c:pt idx="1">
                  <c:v>4.4092333531327439</c:v>
                </c:pt>
                <c:pt idx="2">
                  <c:v>7.1533754689900038</c:v>
                </c:pt>
                <c:pt idx="3">
                  <c:v>6.7169382529004427</c:v>
                </c:pt>
                <c:pt idx="4">
                  <c:v>6.7220854254075242</c:v>
                </c:pt>
                <c:pt idx="5">
                  <c:v>5.6445054167615094</c:v>
                </c:pt>
                <c:pt idx="6">
                  <c:v>3.3630262689347248</c:v>
                </c:pt>
                <c:pt idx="7">
                  <c:v>3.2867244646278593</c:v>
                </c:pt>
                <c:pt idx="8">
                  <c:v>2.0718863675731853</c:v>
                </c:pt>
                <c:pt idx="9">
                  <c:v>3.1499742850115156</c:v>
                </c:pt>
              </c:numCache>
            </c:numRef>
          </c:val>
          <c:extLst>
            <c:ext xmlns:c16="http://schemas.microsoft.com/office/drawing/2014/chart" uri="{C3380CC4-5D6E-409C-BE32-E72D297353CC}">
              <c16:uniqueId val="{00000000-023A-404F-B847-3EE6ED8F4BA3}"/>
            </c:ext>
          </c:extLst>
        </c:ser>
        <c:dLbls>
          <c:showLegendKey val="0"/>
          <c:showVal val="0"/>
          <c:showCatName val="0"/>
          <c:showSerName val="0"/>
          <c:showPercent val="0"/>
          <c:showBubbleSize val="0"/>
        </c:dLbls>
        <c:gapWidth val="219"/>
        <c:axId val="1150866888"/>
        <c:axId val="1150868856"/>
      </c:barChart>
      <c:dateAx>
        <c:axId val="1150866888"/>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68856"/>
        <c:crosses val="autoZero"/>
        <c:auto val="1"/>
        <c:lblOffset val="100"/>
        <c:baseTimeUnit val="years"/>
      </c:dateAx>
      <c:valAx>
        <c:axId val="1150868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66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DetailedDataSheet!$A$111</c:f>
              <c:strCache>
                <c:ptCount val="1"/>
                <c:pt idx="0">
                  <c:v> Inventory Number of days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DetailedDataSheet!$B$111:$K$111</c:f>
              <c:numCache>
                <c:formatCode>0</c:formatCode>
                <c:ptCount val="10"/>
                <c:pt idx="1">
                  <c:v>273.57705600356758</c:v>
                </c:pt>
                <c:pt idx="2">
                  <c:v>159.12747023746664</c:v>
                </c:pt>
                <c:pt idx="3">
                  <c:v>158.09528508664397</c:v>
                </c:pt>
                <c:pt idx="4">
                  <c:v>161.52375261428148</c:v>
                </c:pt>
                <c:pt idx="5">
                  <c:v>169.14387697270905</c:v>
                </c:pt>
                <c:pt idx="6">
                  <c:v>220.24209523188946</c:v>
                </c:pt>
                <c:pt idx="7">
                  <c:v>155.21084618679686</c:v>
                </c:pt>
                <c:pt idx="8">
                  <c:v>227.53566277903184</c:v>
                </c:pt>
                <c:pt idx="9">
                  <c:v>206.70809966635903</c:v>
                </c:pt>
              </c:numCache>
            </c:numRef>
          </c:val>
          <c:extLst>
            <c:ext xmlns:c16="http://schemas.microsoft.com/office/drawing/2014/chart" uri="{C3380CC4-5D6E-409C-BE32-E72D297353CC}">
              <c16:uniqueId val="{00000000-8B40-4081-8C59-87C0A6AB638A}"/>
            </c:ext>
          </c:extLst>
        </c:ser>
        <c:dLbls>
          <c:showLegendKey val="0"/>
          <c:showVal val="0"/>
          <c:showCatName val="0"/>
          <c:showSerName val="0"/>
          <c:showPercent val="0"/>
          <c:showBubbleSize val="0"/>
        </c:dLbls>
        <c:gapWidth val="219"/>
        <c:overlap val="-27"/>
        <c:axId val="1175724976"/>
        <c:axId val="1175727928"/>
      </c:barChart>
      <c:dateAx>
        <c:axId val="1175724976"/>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27928"/>
        <c:crosses val="autoZero"/>
        <c:auto val="1"/>
        <c:lblOffset val="100"/>
        <c:baseTimeUnit val="years"/>
      </c:dateAx>
      <c:valAx>
        <c:axId val="1175727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2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DetailedDataSheet!$A$101</c:f>
              <c:strCache>
                <c:ptCount val="1"/>
                <c:pt idx="0">
                  <c:v> Interest Payment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DetailedDataSheet!$B$101:$K$101</c:f>
              <c:numCache>
                <c:formatCode>0</c:formatCode>
                <c:ptCount val="10"/>
                <c:pt idx="1">
                  <c:v>0</c:v>
                </c:pt>
                <c:pt idx="2">
                  <c:v>0</c:v>
                </c:pt>
                <c:pt idx="3">
                  <c:v>0.22259999999999999</c:v>
                </c:pt>
                <c:pt idx="4">
                  <c:v>0.43740000000000001</c:v>
                </c:pt>
                <c:pt idx="5">
                  <c:v>0.43619999999999998</c:v>
                </c:pt>
                <c:pt idx="6">
                  <c:v>0.54479999999999995</c:v>
                </c:pt>
                <c:pt idx="7">
                  <c:v>1.194</c:v>
                </c:pt>
                <c:pt idx="8">
                  <c:v>1.5479999999999998</c:v>
                </c:pt>
                <c:pt idx="9">
                  <c:v>1.2839999999999998</c:v>
                </c:pt>
              </c:numCache>
            </c:numRef>
          </c:val>
          <c:extLst>
            <c:ext xmlns:c16="http://schemas.microsoft.com/office/drawing/2014/chart" uri="{C3380CC4-5D6E-409C-BE32-E72D297353CC}">
              <c16:uniqueId val="{00000000-ECBD-4EF4-8D03-D89A8899B833}"/>
            </c:ext>
          </c:extLst>
        </c:ser>
        <c:dLbls>
          <c:showLegendKey val="0"/>
          <c:showVal val="0"/>
          <c:showCatName val="0"/>
          <c:showSerName val="0"/>
          <c:showPercent val="0"/>
          <c:showBubbleSize val="0"/>
        </c:dLbls>
        <c:gapWidth val="219"/>
        <c:overlap val="-27"/>
        <c:axId val="1016586496"/>
        <c:axId val="1016576000"/>
      </c:barChart>
      <c:dateAx>
        <c:axId val="1016586496"/>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76000"/>
        <c:crosses val="autoZero"/>
        <c:auto val="1"/>
        <c:lblOffset val="100"/>
        <c:baseTimeUnit val="years"/>
      </c:dateAx>
      <c:valAx>
        <c:axId val="101657600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8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DetailedDataSheet!$A$112</c:f>
              <c:strCache>
                <c:ptCount val="1"/>
                <c:pt idx="0">
                  <c:v> Accounts Receivable Turnover Ratio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DetailedDataSheet!$B$112:$K$112</c:f>
              <c:numCache>
                <c:formatCode>0</c:formatCode>
                <c:ptCount val="10"/>
                <c:pt idx="1">
                  <c:v>5.916666666666667</c:v>
                </c:pt>
                <c:pt idx="2">
                  <c:v>9.3105007865757745</c:v>
                </c:pt>
                <c:pt idx="3">
                  <c:v>17.007234441780465</c:v>
                </c:pt>
                <c:pt idx="4">
                  <c:v>32.641661935139105</c:v>
                </c:pt>
                <c:pt idx="5">
                  <c:v>9.9195640892579142</c:v>
                </c:pt>
                <c:pt idx="6">
                  <c:v>4.7354089204992516</c:v>
                </c:pt>
                <c:pt idx="7">
                  <c:v>7.1847043850514867</c:v>
                </c:pt>
                <c:pt idx="8">
                  <c:v>5.7899736786373408</c:v>
                </c:pt>
                <c:pt idx="9">
                  <c:v>8.9890723458562647</c:v>
                </c:pt>
              </c:numCache>
            </c:numRef>
          </c:val>
          <c:extLst>
            <c:ext xmlns:c16="http://schemas.microsoft.com/office/drawing/2014/chart" uri="{C3380CC4-5D6E-409C-BE32-E72D297353CC}">
              <c16:uniqueId val="{00000000-8ABA-4FE5-8DE6-45C7E57E5E63}"/>
            </c:ext>
          </c:extLst>
        </c:ser>
        <c:dLbls>
          <c:showLegendKey val="0"/>
          <c:showVal val="0"/>
          <c:showCatName val="0"/>
          <c:showSerName val="0"/>
          <c:showPercent val="0"/>
          <c:showBubbleSize val="0"/>
        </c:dLbls>
        <c:gapWidth val="219"/>
        <c:overlap val="-27"/>
        <c:axId val="408076128"/>
        <c:axId val="408068256"/>
      </c:barChart>
      <c:dateAx>
        <c:axId val="408076128"/>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68256"/>
        <c:crosses val="autoZero"/>
        <c:auto val="1"/>
        <c:lblOffset val="100"/>
        <c:baseTimeUnit val="years"/>
      </c:dateAx>
      <c:valAx>
        <c:axId val="40806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7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DetailedDataSheet!$A$98</c:f>
              <c:strCache>
                <c:ptCount val="1"/>
                <c:pt idx="0">
                  <c:v> RoE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DetailedDataSheet!$B$98:$K$98</c:f>
              <c:numCache>
                <c:formatCode>0%</c:formatCode>
                <c:ptCount val="10"/>
                <c:pt idx="1">
                  <c:v>0.31262194711700197</c:v>
                </c:pt>
                <c:pt idx="2">
                  <c:v>0.32808772675999043</c:v>
                </c:pt>
                <c:pt idx="3">
                  <c:v>0.32082445039969637</c:v>
                </c:pt>
                <c:pt idx="4">
                  <c:v>0.25903682943586848</c:v>
                </c:pt>
                <c:pt idx="5">
                  <c:v>0.2544467355276343</c:v>
                </c:pt>
                <c:pt idx="6">
                  <c:v>0.20004639141096162</c:v>
                </c:pt>
                <c:pt idx="7">
                  <c:v>0.21942949970976558</c:v>
                </c:pt>
                <c:pt idx="8">
                  <c:v>9.7426477536010039E-2</c:v>
                </c:pt>
                <c:pt idx="9">
                  <c:v>0.17494064188994121</c:v>
                </c:pt>
              </c:numCache>
            </c:numRef>
          </c:val>
          <c:extLst>
            <c:ext xmlns:c16="http://schemas.microsoft.com/office/drawing/2014/chart" uri="{C3380CC4-5D6E-409C-BE32-E72D297353CC}">
              <c16:uniqueId val="{00000000-20E7-4436-B930-1D6F8BF3E133}"/>
            </c:ext>
          </c:extLst>
        </c:ser>
        <c:dLbls>
          <c:showLegendKey val="0"/>
          <c:showVal val="0"/>
          <c:showCatName val="0"/>
          <c:showSerName val="0"/>
          <c:showPercent val="0"/>
          <c:showBubbleSize val="0"/>
        </c:dLbls>
        <c:gapWidth val="219"/>
        <c:overlap val="-27"/>
        <c:axId val="1087692480"/>
        <c:axId val="1087692808"/>
      </c:barChart>
      <c:dateAx>
        <c:axId val="1087692480"/>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92808"/>
        <c:crosses val="autoZero"/>
        <c:auto val="1"/>
        <c:lblOffset val="100"/>
        <c:baseTimeUnit val="years"/>
      </c:dateAx>
      <c:valAx>
        <c:axId val="1087692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9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DetailedDataSheet!$A$99</c:f>
              <c:strCache>
                <c:ptCount val="1"/>
                <c:pt idx="0">
                  <c:v> RoCE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DetailedDataSheet!$B$99:$K$99</c:f>
              <c:numCache>
                <c:formatCode>0%</c:formatCode>
                <c:ptCount val="10"/>
                <c:pt idx="1">
                  <c:v>6.0020179273838604E-2</c:v>
                </c:pt>
                <c:pt idx="2">
                  <c:v>8.289311211818233E-2</c:v>
                </c:pt>
                <c:pt idx="3">
                  <c:v>9.3799231135681296E-2</c:v>
                </c:pt>
                <c:pt idx="4">
                  <c:v>8.9463369387968811E-2</c:v>
                </c:pt>
                <c:pt idx="5">
                  <c:v>0.1032949992166776</c:v>
                </c:pt>
                <c:pt idx="6">
                  <c:v>0.1110824678789869</c:v>
                </c:pt>
                <c:pt idx="7">
                  <c:v>0.13268767452835212</c:v>
                </c:pt>
                <c:pt idx="8">
                  <c:v>5.8676414658661809E-2</c:v>
                </c:pt>
                <c:pt idx="9">
                  <c:v>0.11285480801875993</c:v>
                </c:pt>
              </c:numCache>
            </c:numRef>
          </c:val>
          <c:extLst>
            <c:ext xmlns:c16="http://schemas.microsoft.com/office/drawing/2014/chart" uri="{C3380CC4-5D6E-409C-BE32-E72D297353CC}">
              <c16:uniqueId val="{00000000-66AD-4696-8552-B23C8EFB1278}"/>
            </c:ext>
          </c:extLst>
        </c:ser>
        <c:dLbls>
          <c:showLegendKey val="0"/>
          <c:showVal val="0"/>
          <c:showCatName val="0"/>
          <c:showSerName val="0"/>
          <c:showPercent val="0"/>
          <c:showBubbleSize val="0"/>
        </c:dLbls>
        <c:gapWidth val="219"/>
        <c:overlap val="-27"/>
        <c:axId val="1183737856"/>
        <c:axId val="1183735888"/>
      </c:barChart>
      <c:dateAx>
        <c:axId val="1183737856"/>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35888"/>
        <c:crosses val="autoZero"/>
        <c:auto val="1"/>
        <c:lblOffset val="100"/>
        <c:baseTimeUnit val="years"/>
      </c:dateAx>
      <c:valAx>
        <c:axId val="1183735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3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DetailedDataSheet!$A$103</c:f>
              <c:strCache>
                <c:ptCount val="1"/>
                <c:pt idx="0">
                  <c:v> Debt to Equity </c:v>
                </c:pt>
              </c:strCache>
            </c:strRef>
          </c:tx>
          <c:spPr>
            <a:solidFill>
              <a:schemeClr val="accent1"/>
            </a:solidFill>
            <a:ln>
              <a:noFill/>
            </a:ln>
            <a:effectLst/>
          </c:spPr>
          <c:invertIfNegative val="0"/>
          <c:val>
            <c:numRef>
              <c:f>DetailedDataSheet!$B$103:$K$103</c:f>
              <c:numCache>
                <c:formatCode>0%</c:formatCode>
                <c:ptCount val="10"/>
                <c:pt idx="0">
                  <c:v>0</c:v>
                </c:pt>
                <c:pt idx="1">
                  <c:v>0</c:v>
                </c:pt>
                <c:pt idx="2">
                  <c:v>0</c:v>
                </c:pt>
                <c:pt idx="3">
                  <c:v>2.0040621421317604E-3</c:v>
                </c:pt>
                <c:pt idx="4">
                  <c:v>1.630994359857493E-3</c:v>
                </c:pt>
                <c:pt idx="5">
                  <c:v>1.88613664012104E-3</c:v>
                </c:pt>
                <c:pt idx="6">
                  <c:v>2.3759775009477456E-3</c:v>
                </c:pt>
                <c:pt idx="7">
                  <c:v>5.5661473897415624E-3</c:v>
                </c:pt>
                <c:pt idx="8">
                  <c:v>4.2052332619424522E-3</c:v>
                </c:pt>
                <c:pt idx="9">
                  <c:v>3.3360171057494319E-3</c:v>
                </c:pt>
              </c:numCache>
            </c:numRef>
          </c:val>
          <c:extLst>
            <c:ext xmlns:c16="http://schemas.microsoft.com/office/drawing/2014/chart" uri="{C3380CC4-5D6E-409C-BE32-E72D297353CC}">
              <c16:uniqueId val="{00000000-D199-4574-981D-7DFF0D4CC1B9}"/>
            </c:ext>
          </c:extLst>
        </c:ser>
        <c:dLbls>
          <c:showLegendKey val="0"/>
          <c:showVal val="0"/>
          <c:showCatName val="0"/>
          <c:showSerName val="0"/>
          <c:showPercent val="0"/>
          <c:showBubbleSize val="0"/>
        </c:dLbls>
        <c:gapWidth val="219"/>
        <c:axId val="1151168472"/>
        <c:axId val="1151169456"/>
      </c:barChart>
      <c:catAx>
        <c:axId val="11511684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69456"/>
        <c:crosses val="autoZero"/>
        <c:auto val="1"/>
        <c:lblAlgn val="ctr"/>
        <c:lblOffset val="100"/>
        <c:noMultiLvlLbl val="0"/>
      </c:catAx>
      <c:valAx>
        <c:axId val="1151169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68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DetailedDataSheet!$A$104</c:f>
              <c:strCache>
                <c:ptCount val="1"/>
                <c:pt idx="0">
                  <c:v> Debt to Asset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DetailedDataSheet!$B$104:$K$104</c:f>
              <c:numCache>
                <c:formatCode>0.00%</c:formatCode>
                <c:ptCount val="10"/>
                <c:pt idx="0">
                  <c:v>0</c:v>
                </c:pt>
                <c:pt idx="1">
                  <c:v>0</c:v>
                </c:pt>
                <c:pt idx="2">
                  <c:v>0</c:v>
                </c:pt>
                <c:pt idx="3">
                  <c:v>3.8482962213050396E-4</c:v>
                </c:pt>
                <c:pt idx="4">
                  <c:v>4.2583662623201201E-4</c:v>
                </c:pt>
                <c:pt idx="5">
                  <c:v>5.5429874449081117E-4</c:v>
                </c:pt>
                <c:pt idx="6">
                  <c:v>9.7584114247642776E-4</c:v>
                </c:pt>
                <c:pt idx="7">
                  <c:v>2.5235660370795505E-3</c:v>
                </c:pt>
                <c:pt idx="8">
                  <c:v>1.8723920845412389E-3</c:v>
                </c:pt>
                <c:pt idx="9">
                  <c:v>1.5236045681010551E-3</c:v>
                </c:pt>
              </c:numCache>
            </c:numRef>
          </c:val>
          <c:extLst>
            <c:ext xmlns:c16="http://schemas.microsoft.com/office/drawing/2014/chart" uri="{C3380CC4-5D6E-409C-BE32-E72D297353CC}">
              <c16:uniqueId val="{00000000-53C2-4770-8F09-CB18A62C185B}"/>
            </c:ext>
          </c:extLst>
        </c:ser>
        <c:dLbls>
          <c:showLegendKey val="0"/>
          <c:showVal val="0"/>
          <c:showCatName val="0"/>
          <c:showSerName val="0"/>
          <c:showPercent val="0"/>
          <c:showBubbleSize val="0"/>
        </c:dLbls>
        <c:gapWidth val="219"/>
        <c:overlap val="-27"/>
        <c:axId val="1180928224"/>
        <c:axId val="1180927896"/>
      </c:barChart>
      <c:dateAx>
        <c:axId val="1180928224"/>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27896"/>
        <c:crosses val="autoZero"/>
        <c:auto val="1"/>
        <c:lblOffset val="100"/>
        <c:baseTimeUnit val="years"/>
      </c:dateAx>
      <c:valAx>
        <c:axId val="1180927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2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DetailedDataSheet!$A$25</c:f>
              <c:strCache>
                <c:ptCount val="1"/>
                <c:pt idx="0">
                  <c:v> Other Income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DetailedDataSheet!$B$25:$K$25</c:f>
              <c:numCache>
                <c:formatCode>General</c:formatCode>
                <c:ptCount val="10"/>
                <c:pt idx="0">
                  <c:v>463.19</c:v>
                </c:pt>
                <c:pt idx="1">
                  <c:v>463.78</c:v>
                </c:pt>
                <c:pt idx="2">
                  <c:v>439.03</c:v>
                </c:pt>
                <c:pt idx="3">
                  <c:v>384.76</c:v>
                </c:pt>
                <c:pt idx="4">
                  <c:v>299.94</c:v>
                </c:pt>
                <c:pt idx="5">
                  <c:v>172.56</c:v>
                </c:pt>
                <c:pt idx="6">
                  <c:v>135.99</c:v>
                </c:pt>
                <c:pt idx="7">
                  <c:v>88.05</c:v>
                </c:pt>
                <c:pt idx="8">
                  <c:v>94.61</c:v>
                </c:pt>
                <c:pt idx="9">
                  <c:v>77.63</c:v>
                </c:pt>
              </c:numCache>
            </c:numRef>
          </c:val>
          <c:extLst>
            <c:ext xmlns:c16="http://schemas.microsoft.com/office/drawing/2014/chart" uri="{C3380CC4-5D6E-409C-BE32-E72D297353CC}">
              <c16:uniqueId val="{00000000-BB12-421E-BCDE-93707BC76510}"/>
            </c:ext>
          </c:extLst>
        </c:ser>
        <c:dLbls>
          <c:showLegendKey val="0"/>
          <c:showVal val="0"/>
          <c:showCatName val="0"/>
          <c:showSerName val="0"/>
          <c:showPercent val="0"/>
          <c:showBubbleSize val="0"/>
        </c:dLbls>
        <c:gapWidth val="219"/>
        <c:overlap val="-27"/>
        <c:axId val="398524888"/>
        <c:axId val="1095828464"/>
      </c:barChart>
      <c:dateAx>
        <c:axId val="398524888"/>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828464"/>
        <c:crosses val="autoZero"/>
        <c:auto val="1"/>
        <c:lblOffset val="100"/>
        <c:baseTimeUnit val="years"/>
      </c:dateAx>
      <c:valAx>
        <c:axId val="109582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52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DetailedDataSheet!$A$116</c:f>
              <c:strCache>
                <c:ptCount val="1"/>
                <c:pt idx="0">
                  <c:v> Dividend/PAT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DetailedDataSheet!$B$116:$K$116</c:f>
              <c:numCache>
                <c:formatCode>0%</c:formatCode>
                <c:ptCount val="10"/>
                <c:pt idx="0">
                  <c:v>0.2000340483486551</c:v>
                </c:pt>
                <c:pt idx="1">
                  <c:v>0.20689407797984144</c:v>
                </c:pt>
                <c:pt idx="2">
                  <c:v>0.18872731371885917</c:v>
                </c:pt>
                <c:pt idx="3">
                  <c:v>0.30062091910260286</c:v>
                </c:pt>
                <c:pt idx="4">
                  <c:v>0.2998511620806778</c:v>
                </c:pt>
                <c:pt idx="5">
                  <c:v>0.25297737385212538</c:v>
                </c:pt>
                <c:pt idx="6">
                  <c:v>0.30012541707091983</c:v>
                </c:pt>
                <c:pt idx="7">
                  <c:v>0.30153299682183587</c:v>
                </c:pt>
                <c:pt idx="8">
                  <c:v>0.52259766458470736</c:v>
                </c:pt>
                <c:pt idx="9">
                  <c:v>0.30428868618979038</c:v>
                </c:pt>
              </c:numCache>
            </c:numRef>
          </c:val>
          <c:extLst>
            <c:ext xmlns:c16="http://schemas.microsoft.com/office/drawing/2014/chart" uri="{C3380CC4-5D6E-409C-BE32-E72D297353CC}">
              <c16:uniqueId val="{00000000-BCD1-4BBB-8CFD-631E34D43C4A}"/>
            </c:ext>
          </c:extLst>
        </c:ser>
        <c:dLbls>
          <c:dLblPos val="outEnd"/>
          <c:showLegendKey val="0"/>
          <c:showVal val="1"/>
          <c:showCatName val="0"/>
          <c:showSerName val="0"/>
          <c:showPercent val="0"/>
          <c:showBubbleSize val="0"/>
        </c:dLbls>
        <c:gapWidth val="219"/>
        <c:overlap val="-27"/>
        <c:axId val="1118120984"/>
        <c:axId val="1118119344"/>
      </c:barChart>
      <c:dateAx>
        <c:axId val="1118120984"/>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19344"/>
        <c:crosses val="autoZero"/>
        <c:auto val="1"/>
        <c:lblOffset val="100"/>
        <c:baseTimeUnit val="years"/>
      </c:dateAx>
      <c:valAx>
        <c:axId val="1118119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20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Vs Receivables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DetailedDataSheet!$A$17</c:f>
              <c:strCache>
                <c:ptCount val="1"/>
                <c:pt idx="0">
                  <c:v> Sales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DetailedDataSheet!$B$17:$K$17</c:f>
              <c:numCache>
                <c:formatCode>General</c:formatCode>
                <c:ptCount val="10"/>
                <c:pt idx="0">
                  <c:v>955.7</c:v>
                </c:pt>
                <c:pt idx="1">
                  <c:v>1076.3599999999999</c:v>
                </c:pt>
                <c:pt idx="2">
                  <c:v>2840.82</c:v>
                </c:pt>
                <c:pt idx="3">
                  <c:v>4078.76</c:v>
                </c:pt>
                <c:pt idx="4">
                  <c:v>4886.62</c:v>
                </c:pt>
                <c:pt idx="5">
                  <c:v>4587.6000000000004</c:v>
                </c:pt>
                <c:pt idx="6">
                  <c:v>3069.35</c:v>
                </c:pt>
                <c:pt idx="7">
                  <c:v>3104.87</c:v>
                </c:pt>
                <c:pt idx="8">
                  <c:v>1913.76</c:v>
                </c:pt>
                <c:pt idx="9">
                  <c:v>2817.4</c:v>
                </c:pt>
              </c:numCache>
            </c:numRef>
          </c:val>
          <c:extLst>
            <c:ext xmlns:c16="http://schemas.microsoft.com/office/drawing/2014/chart" uri="{C3380CC4-5D6E-409C-BE32-E72D297353CC}">
              <c16:uniqueId val="{00000000-AFE0-44B3-8E0D-723CE94965CD}"/>
            </c:ext>
          </c:extLst>
        </c:ser>
        <c:ser>
          <c:idx val="1"/>
          <c:order val="1"/>
          <c:tx>
            <c:strRef>
              <c:f>DetailedDataSheet!$A$60</c:f>
              <c:strCache>
                <c:ptCount val="1"/>
                <c:pt idx="0">
                  <c:v> Receivables </c:v>
                </c:pt>
              </c:strCache>
            </c:strRef>
          </c:tx>
          <c:spPr>
            <a:solidFill>
              <a:schemeClr val="accent2"/>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DetailedDataSheet!$B$60:$K$60</c:f>
              <c:numCache>
                <c:formatCode>General</c:formatCode>
                <c:ptCount val="10"/>
                <c:pt idx="0">
                  <c:v>88.39</c:v>
                </c:pt>
                <c:pt idx="1">
                  <c:v>275.45</c:v>
                </c:pt>
                <c:pt idx="2">
                  <c:v>334.79</c:v>
                </c:pt>
                <c:pt idx="3">
                  <c:v>144.86000000000001</c:v>
                </c:pt>
                <c:pt idx="4">
                  <c:v>154.55000000000001</c:v>
                </c:pt>
                <c:pt idx="5">
                  <c:v>770.41</c:v>
                </c:pt>
                <c:pt idx="6">
                  <c:v>525.92999999999995</c:v>
                </c:pt>
                <c:pt idx="7">
                  <c:v>338.37</c:v>
                </c:pt>
                <c:pt idx="8">
                  <c:v>322.69</c:v>
                </c:pt>
                <c:pt idx="9">
                  <c:v>304.16000000000003</c:v>
                </c:pt>
              </c:numCache>
            </c:numRef>
          </c:val>
          <c:extLst>
            <c:ext xmlns:c16="http://schemas.microsoft.com/office/drawing/2014/chart" uri="{C3380CC4-5D6E-409C-BE32-E72D297353CC}">
              <c16:uniqueId val="{00000001-AFE0-44B3-8E0D-723CE94965CD}"/>
            </c:ext>
          </c:extLst>
        </c:ser>
        <c:dLbls>
          <c:showLegendKey val="0"/>
          <c:showVal val="0"/>
          <c:showCatName val="0"/>
          <c:showSerName val="0"/>
          <c:showPercent val="0"/>
          <c:showBubbleSize val="0"/>
        </c:dLbls>
        <c:gapWidth val="219"/>
        <c:overlap val="-27"/>
        <c:axId val="1272343136"/>
        <c:axId val="1272343464"/>
      </c:barChart>
      <c:dateAx>
        <c:axId val="1272343136"/>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43464"/>
        <c:crosses val="autoZero"/>
        <c:auto val="1"/>
        <c:lblOffset val="100"/>
        <c:baseTimeUnit val="years"/>
      </c:dateAx>
      <c:valAx>
        <c:axId val="127234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4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DetailedDataSheet!$A$113</c:f>
              <c:strCache>
                <c:ptCount val="1"/>
                <c:pt idx="0">
                  <c:v> Receivable Days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DetailedDataSheet!$B$113:$K$113</c:f>
              <c:numCache>
                <c:formatCode>0</c:formatCode>
                <c:ptCount val="10"/>
                <c:pt idx="1">
                  <c:v>61.690140845070417</c:v>
                </c:pt>
                <c:pt idx="2">
                  <c:v>39.203047007554154</c:v>
                </c:pt>
                <c:pt idx="3">
                  <c:v>21.461455197167766</c:v>
                </c:pt>
                <c:pt idx="4">
                  <c:v>11.182028682402152</c:v>
                </c:pt>
                <c:pt idx="5">
                  <c:v>36.795971749934608</c:v>
                </c:pt>
                <c:pt idx="6">
                  <c:v>77.078876635118192</c:v>
                </c:pt>
                <c:pt idx="7">
                  <c:v>50.802368537169031</c:v>
                </c:pt>
                <c:pt idx="8">
                  <c:v>63.040010241618589</c:v>
                </c:pt>
                <c:pt idx="9">
                  <c:v>40.604857315255202</c:v>
                </c:pt>
              </c:numCache>
            </c:numRef>
          </c:val>
          <c:extLst>
            <c:ext xmlns:c16="http://schemas.microsoft.com/office/drawing/2014/chart" uri="{C3380CC4-5D6E-409C-BE32-E72D297353CC}">
              <c16:uniqueId val="{00000000-B579-429E-9B24-925652668A8B}"/>
            </c:ext>
          </c:extLst>
        </c:ser>
        <c:dLbls>
          <c:showLegendKey val="0"/>
          <c:showVal val="0"/>
          <c:showCatName val="0"/>
          <c:showSerName val="0"/>
          <c:showPercent val="0"/>
          <c:showBubbleSize val="0"/>
        </c:dLbls>
        <c:gapWidth val="219"/>
        <c:overlap val="-27"/>
        <c:axId val="1183755568"/>
        <c:axId val="1183753272"/>
      </c:barChart>
      <c:dateAx>
        <c:axId val="1183755568"/>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53272"/>
        <c:crosses val="autoZero"/>
        <c:auto val="1"/>
        <c:lblOffset val="100"/>
        <c:baseTimeUnit val="years"/>
      </c:dateAx>
      <c:valAx>
        <c:axId val="1183753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5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Fixed Assets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DetailedDataSheet!$A$55</c:f>
              <c:strCache>
                <c:ptCount val="1"/>
                <c:pt idx="0">
                  <c:v> Net Block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DetailedDataSheet!$B$55:$K$55</c:f>
              <c:numCache>
                <c:formatCode>General</c:formatCode>
                <c:ptCount val="10"/>
                <c:pt idx="0">
                  <c:v>211.67</c:v>
                </c:pt>
                <c:pt idx="1">
                  <c:v>276.56</c:v>
                </c:pt>
                <c:pt idx="2">
                  <c:v>517.70000000000005</c:v>
                </c:pt>
                <c:pt idx="3">
                  <c:v>696.77</c:v>
                </c:pt>
                <c:pt idx="4">
                  <c:v>757.13</c:v>
                </c:pt>
                <c:pt idx="5">
                  <c:v>868.38</c:v>
                </c:pt>
                <c:pt idx="6">
                  <c:v>956.97</c:v>
                </c:pt>
                <c:pt idx="7">
                  <c:v>932.37</c:v>
                </c:pt>
                <c:pt idx="8">
                  <c:v>914.99</c:v>
                </c:pt>
                <c:pt idx="9">
                  <c:v>873.85</c:v>
                </c:pt>
              </c:numCache>
            </c:numRef>
          </c:val>
          <c:extLst>
            <c:ext xmlns:c16="http://schemas.microsoft.com/office/drawing/2014/chart" uri="{C3380CC4-5D6E-409C-BE32-E72D297353CC}">
              <c16:uniqueId val="{00000002-BEF7-4F87-898D-384BAB2056CA}"/>
            </c:ext>
          </c:extLst>
        </c:ser>
        <c:dLbls>
          <c:showLegendKey val="0"/>
          <c:showVal val="0"/>
          <c:showCatName val="0"/>
          <c:showSerName val="0"/>
          <c:showPercent val="0"/>
          <c:showBubbleSize val="0"/>
        </c:dLbls>
        <c:gapWidth val="219"/>
        <c:overlap val="-27"/>
        <c:axId val="398154472"/>
        <c:axId val="398151520"/>
      </c:barChart>
      <c:dateAx>
        <c:axId val="398154472"/>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151520"/>
        <c:crosses val="autoZero"/>
        <c:auto val="1"/>
        <c:lblOffset val="100"/>
        <c:baseTimeUnit val="years"/>
      </c:dateAx>
      <c:valAx>
        <c:axId val="39815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154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Cash utilization over 10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DetailedDataSheet!$N$74:$S$74</c:f>
              <c:strCache>
                <c:ptCount val="6"/>
                <c:pt idx="0">
                  <c:v>CFO</c:v>
                </c:pt>
                <c:pt idx="1">
                  <c:v>Capex</c:v>
                </c:pt>
                <c:pt idx="2">
                  <c:v>FCF</c:v>
                </c:pt>
                <c:pt idx="3">
                  <c:v>EBITDA</c:v>
                </c:pt>
                <c:pt idx="4">
                  <c:v>WorkingCapital</c:v>
                </c:pt>
                <c:pt idx="5">
                  <c:v>Dividend</c:v>
                </c:pt>
              </c:strCache>
            </c:strRef>
          </c:cat>
          <c:val>
            <c:numRef>
              <c:f>DetailedDataSheet!$N$75:$S$75</c:f>
              <c:numCache>
                <c:formatCode>_ * #,##0.00_ ;_ * \-#,##0.00_ ;_ * "-"??_ ;_ @_ </c:formatCode>
                <c:ptCount val="6"/>
                <c:pt idx="0">
                  <c:v>943.6</c:v>
                </c:pt>
                <c:pt idx="1">
                  <c:v>1308.3600000000001</c:v>
                </c:pt>
                <c:pt idx="2">
                  <c:v>-364.7600000000001</c:v>
                </c:pt>
                <c:pt idx="3">
                  <c:v>7026.84</c:v>
                </c:pt>
                <c:pt idx="4">
                  <c:v>800.52</c:v>
                </c:pt>
                <c:pt idx="5">
                  <c:v>1223.06</c:v>
                </c:pt>
              </c:numCache>
            </c:numRef>
          </c:val>
          <c:extLst>
            <c:ext xmlns:c16="http://schemas.microsoft.com/office/drawing/2014/chart" uri="{C3380CC4-5D6E-409C-BE32-E72D297353CC}">
              <c16:uniqueId val="{00000000-CF56-4061-B107-C75B07123B38}"/>
            </c:ext>
          </c:extLst>
        </c:ser>
        <c:dLbls>
          <c:dLblPos val="inEnd"/>
          <c:showLegendKey val="0"/>
          <c:showVal val="1"/>
          <c:showCatName val="0"/>
          <c:showSerName val="0"/>
          <c:showPercent val="0"/>
          <c:showBubbleSize val="0"/>
        </c:dLbls>
        <c:gapWidth val="219"/>
        <c:overlap val="-27"/>
        <c:axId val="946378640"/>
        <c:axId val="946375688"/>
      </c:barChart>
      <c:catAx>
        <c:axId val="94637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75688"/>
        <c:crosses val="autoZero"/>
        <c:auto val="1"/>
        <c:lblAlgn val="ctr"/>
        <c:lblOffset val="100"/>
        <c:noMultiLvlLbl val="0"/>
      </c:catAx>
      <c:valAx>
        <c:axId val="946375688"/>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7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DetailedDataSheet!$A$26</c:f>
              <c:strCache>
                <c:ptCount val="1"/>
                <c:pt idx="0">
                  <c:v> Depreciation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DetailedDataSheet!$B$26:$K$26</c:f>
              <c:numCache>
                <c:formatCode>General</c:formatCode>
                <c:ptCount val="10"/>
                <c:pt idx="0">
                  <c:v>50.25</c:v>
                </c:pt>
                <c:pt idx="1">
                  <c:v>41.69</c:v>
                </c:pt>
                <c:pt idx="2">
                  <c:v>66.680000000000007</c:v>
                </c:pt>
                <c:pt idx="3">
                  <c:v>53.22</c:v>
                </c:pt>
                <c:pt idx="4">
                  <c:v>62.02</c:v>
                </c:pt>
                <c:pt idx="5">
                  <c:v>63.48</c:v>
                </c:pt>
                <c:pt idx="6">
                  <c:v>82.5</c:v>
                </c:pt>
                <c:pt idx="7">
                  <c:v>96.44</c:v>
                </c:pt>
                <c:pt idx="8">
                  <c:v>94.54</c:v>
                </c:pt>
                <c:pt idx="9">
                  <c:v>90.35</c:v>
                </c:pt>
              </c:numCache>
            </c:numRef>
          </c:val>
          <c:extLst>
            <c:ext xmlns:c16="http://schemas.microsoft.com/office/drawing/2014/chart" uri="{C3380CC4-5D6E-409C-BE32-E72D297353CC}">
              <c16:uniqueId val="{00000000-E313-44B8-83A7-84EC9D993DA6}"/>
            </c:ext>
          </c:extLst>
        </c:ser>
        <c:dLbls>
          <c:showLegendKey val="0"/>
          <c:showVal val="0"/>
          <c:showCatName val="0"/>
          <c:showSerName val="0"/>
          <c:showPercent val="0"/>
          <c:showBubbleSize val="0"/>
        </c:dLbls>
        <c:gapWidth val="219"/>
        <c:overlap val="-27"/>
        <c:axId val="1151145512"/>
        <c:axId val="1151150104"/>
      </c:barChart>
      <c:dateAx>
        <c:axId val="1151145512"/>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50104"/>
        <c:crosses val="autoZero"/>
        <c:auto val="1"/>
        <c:lblOffset val="100"/>
        <c:baseTimeUnit val="years"/>
      </c:dateAx>
      <c:valAx>
        <c:axId val="115115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4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Quarterly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DetailedDataSheet!$A$35</c:f>
              <c:strCache>
                <c:ptCount val="1"/>
                <c:pt idx="0">
                  <c:v> Sales </c:v>
                </c:pt>
              </c:strCache>
            </c:strRef>
          </c:tx>
          <c:spPr>
            <a:solidFill>
              <a:schemeClr val="accent1"/>
            </a:solidFill>
            <a:ln>
              <a:noFill/>
            </a:ln>
            <a:effectLst/>
          </c:spPr>
          <c:invertIfNegative val="0"/>
          <c:cat>
            <c:numRef>
              <c:f>DetailedDataSheet!$B$34:$K$34</c:f>
              <c:numCache>
                <c:formatCode>[$-409]mmm\-yy;@</c:formatCode>
                <c:ptCount val="10"/>
                <c:pt idx="0">
                  <c:v>43921</c:v>
                </c:pt>
                <c:pt idx="1">
                  <c:v>44012</c:v>
                </c:pt>
                <c:pt idx="2">
                  <c:v>44104</c:v>
                </c:pt>
                <c:pt idx="3">
                  <c:v>44196</c:v>
                </c:pt>
                <c:pt idx="4">
                  <c:v>44286</c:v>
                </c:pt>
                <c:pt idx="5">
                  <c:v>44377</c:v>
                </c:pt>
                <c:pt idx="6">
                  <c:v>44469</c:v>
                </c:pt>
                <c:pt idx="7">
                  <c:v>44561</c:v>
                </c:pt>
                <c:pt idx="8">
                  <c:v>44651</c:v>
                </c:pt>
                <c:pt idx="9">
                  <c:v>44742</c:v>
                </c:pt>
              </c:numCache>
            </c:numRef>
          </c:cat>
          <c:val>
            <c:numRef>
              <c:f>DetailedDataSheet!$B$35:$K$35</c:f>
              <c:numCache>
                <c:formatCode>General</c:formatCode>
                <c:ptCount val="10"/>
                <c:pt idx="0">
                  <c:v>1439.39</c:v>
                </c:pt>
                <c:pt idx="1">
                  <c:v>31.45</c:v>
                </c:pt>
                <c:pt idx="2">
                  <c:v>280.83999999999997</c:v>
                </c:pt>
                <c:pt idx="3">
                  <c:v>459.02</c:v>
                </c:pt>
                <c:pt idx="4">
                  <c:v>1136.8599999999999</c:v>
                </c:pt>
                <c:pt idx="5">
                  <c:v>128.59</c:v>
                </c:pt>
                <c:pt idx="6">
                  <c:v>503.83</c:v>
                </c:pt>
                <c:pt idx="7">
                  <c:v>803.9</c:v>
                </c:pt>
                <c:pt idx="8">
                  <c:v>1381.07</c:v>
                </c:pt>
                <c:pt idx="9">
                  <c:v>694.8</c:v>
                </c:pt>
              </c:numCache>
            </c:numRef>
          </c:val>
          <c:extLst>
            <c:ext xmlns:c16="http://schemas.microsoft.com/office/drawing/2014/chart" uri="{C3380CC4-5D6E-409C-BE32-E72D297353CC}">
              <c16:uniqueId val="{00000000-28EA-4F28-9B92-96DE4996142A}"/>
            </c:ext>
          </c:extLst>
        </c:ser>
        <c:dLbls>
          <c:showLegendKey val="0"/>
          <c:showVal val="0"/>
          <c:showCatName val="0"/>
          <c:showSerName val="0"/>
          <c:showPercent val="0"/>
          <c:showBubbleSize val="0"/>
        </c:dLbls>
        <c:gapWidth val="219"/>
        <c:overlap val="-27"/>
        <c:axId val="1149868976"/>
        <c:axId val="1149869304"/>
      </c:barChart>
      <c:dateAx>
        <c:axId val="1149868976"/>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69304"/>
        <c:crosses val="autoZero"/>
        <c:auto val="1"/>
        <c:lblOffset val="100"/>
        <c:baseTimeUnit val="months"/>
      </c:dateAx>
      <c:valAx>
        <c:axId val="114986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6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DetailedDataSheet!$A$89</c:f>
              <c:strCache>
                <c:ptCount val="1"/>
                <c:pt idx="0">
                  <c:v> Operating Profit </c:v>
                </c:pt>
              </c:strCache>
            </c:strRef>
          </c:tx>
          <c:spPr>
            <a:solidFill>
              <a:schemeClr val="accent1"/>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DetailedDataSheet!$B$89:$K$89</c:f>
              <c:numCache>
                <c:formatCode>#,##0_ ;\-#,##0\ </c:formatCode>
                <c:ptCount val="10"/>
                <c:pt idx="0">
                  <c:v>-63.559999999999945</c:v>
                </c:pt>
                <c:pt idx="1">
                  <c:v>-11.630000000000166</c:v>
                </c:pt>
                <c:pt idx="2">
                  <c:v>276.81000000000017</c:v>
                </c:pt>
                <c:pt idx="3">
                  <c:v>515.12000000000035</c:v>
                </c:pt>
                <c:pt idx="4">
                  <c:v>569.38000000000011</c:v>
                </c:pt>
                <c:pt idx="5">
                  <c:v>668.94000000000028</c:v>
                </c:pt>
                <c:pt idx="6">
                  <c:v>623.03</c:v>
                </c:pt>
                <c:pt idx="7">
                  <c:v>756.29999999999961</c:v>
                </c:pt>
                <c:pt idx="8">
                  <c:v>345.52</c:v>
                </c:pt>
                <c:pt idx="9">
                  <c:v>727.3900000000001</c:v>
                </c:pt>
              </c:numCache>
            </c:numRef>
          </c:val>
          <c:extLst>
            <c:ext xmlns:c16="http://schemas.microsoft.com/office/drawing/2014/chart" uri="{C3380CC4-5D6E-409C-BE32-E72D297353CC}">
              <c16:uniqueId val="{00000000-DA10-4636-ACE2-57E4E6F20F7F}"/>
            </c:ext>
          </c:extLst>
        </c:ser>
        <c:dLbls>
          <c:showLegendKey val="0"/>
          <c:showVal val="0"/>
          <c:showCatName val="0"/>
          <c:showSerName val="0"/>
          <c:showPercent val="0"/>
          <c:showBubbleSize val="0"/>
        </c:dLbls>
        <c:gapWidth val="219"/>
        <c:axId val="1149855528"/>
        <c:axId val="1149855856"/>
      </c:barChart>
      <c:dateAx>
        <c:axId val="1149855528"/>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55856"/>
        <c:crosses val="autoZero"/>
        <c:auto val="1"/>
        <c:lblOffset val="100"/>
        <c:baseTimeUnit val="years"/>
      </c:dateAx>
      <c:valAx>
        <c:axId val="114985585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855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DetailedDataSheet!$A$90</c:f>
              <c:strCache>
                <c:ptCount val="1"/>
                <c:pt idx="0">
                  <c:v> Operating Profit Margin(OPM%)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DetailedDataSheet!$B$90:$K$90</c:f>
              <c:numCache>
                <c:formatCode>0%</c:formatCode>
                <c:ptCount val="10"/>
                <c:pt idx="0">
                  <c:v>0</c:v>
                </c:pt>
                <c:pt idx="1">
                  <c:v>0</c:v>
                </c:pt>
                <c:pt idx="2">
                  <c:v>9.7440175723910755E-2</c:v>
                </c:pt>
                <c:pt idx="3">
                  <c:v>0.1262932852141338</c:v>
                </c:pt>
                <c:pt idx="4">
                  <c:v>0.11651816593064329</c:v>
                </c:pt>
                <c:pt idx="5">
                  <c:v>0.14581480512686376</c:v>
                </c:pt>
                <c:pt idx="6">
                  <c:v>0.2029843452196719</c:v>
                </c:pt>
                <c:pt idx="7">
                  <c:v>0.2435850776361006</c:v>
                </c:pt>
                <c:pt idx="8">
                  <c:v>0.18054510492433742</c:v>
                </c:pt>
                <c:pt idx="9">
                  <c:v>0.25817775253780084</c:v>
                </c:pt>
              </c:numCache>
            </c:numRef>
          </c:val>
          <c:extLst>
            <c:ext xmlns:c16="http://schemas.microsoft.com/office/drawing/2014/chart" uri="{C3380CC4-5D6E-409C-BE32-E72D297353CC}">
              <c16:uniqueId val="{00000000-09B4-4D0B-8DF7-279757984002}"/>
            </c:ext>
          </c:extLst>
        </c:ser>
        <c:dLbls>
          <c:dLblPos val="outEnd"/>
          <c:showLegendKey val="0"/>
          <c:showVal val="1"/>
          <c:showCatName val="0"/>
          <c:showSerName val="0"/>
          <c:showPercent val="0"/>
          <c:showBubbleSize val="0"/>
        </c:dLbls>
        <c:gapWidth val="219"/>
        <c:overlap val="-27"/>
        <c:axId val="1122685104"/>
        <c:axId val="1122687400"/>
      </c:barChart>
      <c:dateAx>
        <c:axId val="1122685104"/>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87400"/>
        <c:crosses val="autoZero"/>
        <c:auto val="1"/>
        <c:lblOffset val="100"/>
        <c:baseTimeUnit val="years"/>
      </c:dateAx>
      <c:valAx>
        <c:axId val="1122687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DetailedDataSheet!$A$91</c:f>
              <c:strCache>
                <c:ptCount val="1"/>
                <c:pt idx="0">
                  <c:v> EBITDA </c:v>
                </c:pt>
              </c:strCache>
            </c:strRef>
          </c:tx>
          <c:spPr>
            <a:solidFill>
              <a:schemeClr val="accent2"/>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DetailedDataSheet!$B$91:$K$91</c:f>
              <c:numCache>
                <c:formatCode>#,##0_ ;\-#,##0\ </c:formatCode>
                <c:ptCount val="10"/>
                <c:pt idx="0">
                  <c:v>399.63000000000005</c:v>
                </c:pt>
                <c:pt idx="1">
                  <c:v>452.14999999999981</c:v>
                </c:pt>
                <c:pt idx="2">
                  <c:v>715.84000000000015</c:v>
                </c:pt>
                <c:pt idx="3">
                  <c:v>899.88000000000034</c:v>
                </c:pt>
                <c:pt idx="4">
                  <c:v>869.32000000000016</c:v>
                </c:pt>
                <c:pt idx="5">
                  <c:v>841.50000000000023</c:v>
                </c:pt>
                <c:pt idx="6">
                  <c:v>759.02</c:v>
                </c:pt>
                <c:pt idx="7">
                  <c:v>844.34999999999957</c:v>
                </c:pt>
                <c:pt idx="8">
                  <c:v>440.13</c:v>
                </c:pt>
                <c:pt idx="9">
                  <c:v>805.0200000000001</c:v>
                </c:pt>
              </c:numCache>
            </c:numRef>
          </c:val>
          <c:extLst>
            <c:ext xmlns:c16="http://schemas.microsoft.com/office/drawing/2014/chart" uri="{C3380CC4-5D6E-409C-BE32-E72D297353CC}">
              <c16:uniqueId val="{00000000-A7CE-42D6-8DC2-8A68F0DABD33}"/>
            </c:ext>
          </c:extLst>
        </c:ser>
        <c:dLbls>
          <c:showLegendKey val="0"/>
          <c:showVal val="0"/>
          <c:showCatName val="0"/>
          <c:showSerName val="0"/>
          <c:showPercent val="0"/>
          <c:showBubbleSize val="0"/>
        </c:dLbls>
        <c:gapWidth val="150"/>
        <c:axId val="1117175288"/>
        <c:axId val="1117180864"/>
      </c:barChart>
      <c:dateAx>
        <c:axId val="1117175288"/>
        <c:scaling>
          <c:orientation val="minMax"/>
        </c:scaling>
        <c:delete val="0"/>
        <c:axPos val="b"/>
        <c:numFmt formatCode="[$-409]mmm\-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180864"/>
        <c:crosses val="autoZero"/>
        <c:auto val="1"/>
        <c:lblOffset val="100"/>
        <c:baseTimeUnit val="years"/>
      </c:dateAx>
      <c:valAx>
        <c:axId val="1117180864"/>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17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DetailedDataSheet!$A$92</c:f>
              <c:strCache>
                <c:ptCount val="1"/>
                <c:pt idx="0">
                  <c:v> EBITDA Margin(%) </c:v>
                </c:pt>
              </c:strCache>
            </c:strRef>
          </c:tx>
          <c:spPr>
            <a:solidFill>
              <a:schemeClr val="accent2"/>
            </a:solidFill>
            <a:ln>
              <a:noFill/>
            </a:ln>
            <a:effectLst/>
          </c:spPr>
          <c:invertIfNegative val="0"/>
          <c:cat>
            <c:numRef>
              <c:f>DetailedDataSheet!$B$16:$K$16</c:f>
              <c:numCache>
                <c:formatCode>[$-409]mmm\-yy;@</c:formatCode>
                <c:ptCount val="10"/>
                <c:pt idx="0">
                  <c:v>40999</c:v>
                </c:pt>
                <c:pt idx="1">
                  <c:v>41364</c:v>
                </c:pt>
                <c:pt idx="2">
                  <c:v>42094</c:v>
                </c:pt>
                <c:pt idx="3">
                  <c:v>42460</c:v>
                </c:pt>
                <c:pt idx="4">
                  <c:v>42825</c:v>
                </c:pt>
                <c:pt idx="5">
                  <c:v>43190</c:v>
                </c:pt>
                <c:pt idx="6">
                  <c:v>43555</c:v>
                </c:pt>
                <c:pt idx="7">
                  <c:v>43921</c:v>
                </c:pt>
                <c:pt idx="8">
                  <c:v>44286</c:v>
                </c:pt>
                <c:pt idx="9">
                  <c:v>44651</c:v>
                </c:pt>
              </c:numCache>
            </c:numRef>
          </c:cat>
          <c:val>
            <c:numRef>
              <c:f>DetailedDataSheet!$B$92:$K$92</c:f>
              <c:numCache>
                <c:formatCode>0%</c:formatCode>
                <c:ptCount val="10"/>
                <c:pt idx="0">
                  <c:v>-6.6506225803076219E-2</c:v>
                </c:pt>
                <c:pt idx="1">
                  <c:v>0.42007320970678941</c:v>
                </c:pt>
                <c:pt idx="2">
                  <c:v>0.251983582205138</c:v>
                </c:pt>
                <c:pt idx="3">
                  <c:v>0.22062587649187504</c:v>
                </c:pt>
                <c:pt idx="4">
                  <c:v>0.17789801539714573</c:v>
                </c:pt>
                <c:pt idx="5">
                  <c:v>0.18342924404917607</c:v>
                </c:pt>
                <c:pt idx="6">
                  <c:v>0.24729014286412432</c:v>
                </c:pt>
                <c:pt idx="7">
                  <c:v>0.27194375287854228</c:v>
                </c:pt>
                <c:pt idx="8">
                  <c:v>0.22998181590168046</c:v>
                </c:pt>
                <c:pt idx="9">
                  <c:v>0.28573152551998299</c:v>
                </c:pt>
              </c:numCache>
            </c:numRef>
          </c:val>
          <c:extLst>
            <c:ext xmlns:c16="http://schemas.microsoft.com/office/drawing/2014/chart" uri="{C3380CC4-5D6E-409C-BE32-E72D297353CC}">
              <c16:uniqueId val="{00000000-29EC-4F8F-BE32-42574B67042C}"/>
            </c:ext>
          </c:extLst>
        </c:ser>
        <c:dLbls>
          <c:showLegendKey val="0"/>
          <c:showVal val="0"/>
          <c:showCatName val="0"/>
          <c:showSerName val="0"/>
          <c:showPercent val="0"/>
          <c:showBubbleSize val="0"/>
        </c:dLbls>
        <c:gapWidth val="219"/>
        <c:overlap val="-27"/>
        <c:axId val="1150873776"/>
        <c:axId val="1150871480"/>
      </c:barChart>
      <c:dateAx>
        <c:axId val="1150873776"/>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71480"/>
        <c:crosses val="autoZero"/>
        <c:auto val="1"/>
        <c:lblOffset val="100"/>
        <c:baseTimeUnit val="years"/>
      </c:dateAx>
      <c:valAx>
        <c:axId val="1150871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7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180975</xdr:rowOff>
    </xdr:from>
    <xdr:to>
      <xdr:col>5</xdr:col>
      <xdr:colOff>571050</xdr:colOff>
      <xdr:row>12</xdr:row>
      <xdr:rowOff>54975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485774</xdr:colOff>
      <xdr:row>34</xdr:row>
      <xdr:rowOff>171450</xdr:rowOff>
    </xdr:from>
    <xdr:to>
      <xdr:col>17</xdr:col>
      <xdr:colOff>428174</xdr:colOff>
      <xdr:row>46</xdr:row>
      <xdr:rowOff>45450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576262</xdr:colOff>
      <xdr:row>0</xdr:row>
      <xdr:rowOff>185737</xdr:rowOff>
    </xdr:from>
    <xdr:to>
      <xdr:col>11</xdr:col>
      <xdr:colOff>518662</xdr:colOff>
      <xdr:row>12</xdr:row>
      <xdr:rowOff>59737</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519112</xdr:colOff>
      <xdr:row>0</xdr:row>
      <xdr:rowOff>185737</xdr:rowOff>
    </xdr:from>
    <xdr:to>
      <xdr:col>17</xdr:col>
      <xdr:colOff>461512</xdr:colOff>
      <xdr:row>12</xdr:row>
      <xdr:rowOff>59737</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461962</xdr:colOff>
      <xdr:row>0</xdr:row>
      <xdr:rowOff>185737</xdr:rowOff>
    </xdr:from>
    <xdr:to>
      <xdr:col>23</xdr:col>
      <xdr:colOff>404362</xdr:colOff>
      <xdr:row>12</xdr:row>
      <xdr:rowOff>59737</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23812</xdr:colOff>
      <xdr:row>12</xdr:row>
      <xdr:rowOff>52387</xdr:rowOff>
    </xdr:from>
    <xdr:to>
      <xdr:col>5</xdr:col>
      <xdr:colOff>575812</xdr:colOff>
      <xdr:row>23</xdr:row>
      <xdr:rowOff>116887</xdr:rowOff>
    </xdr:to>
    <xdr:graphicFrame macro="">
      <xdr:nvGraphicFramePr>
        <xdr:cNvPr id="8" name="Chart 7">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576262</xdr:colOff>
      <xdr:row>12</xdr:row>
      <xdr:rowOff>52387</xdr:rowOff>
    </xdr:from>
    <xdr:to>
      <xdr:col>11</xdr:col>
      <xdr:colOff>518662</xdr:colOff>
      <xdr:row>23</xdr:row>
      <xdr:rowOff>116887</xdr:rowOff>
    </xdr:to>
    <xdr:graphicFrame macro="">
      <xdr:nvGraphicFramePr>
        <xdr:cNvPr id="9" name="Chart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23812</xdr:colOff>
      <xdr:row>23</xdr:row>
      <xdr:rowOff>109537</xdr:rowOff>
    </xdr:from>
    <xdr:to>
      <xdr:col>5</xdr:col>
      <xdr:colOff>575812</xdr:colOff>
      <xdr:row>34</xdr:row>
      <xdr:rowOff>174037</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576262</xdr:colOff>
      <xdr:row>23</xdr:row>
      <xdr:rowOff>100012</xdr:rowOff>
    </xdr:from>
    <xdr:to>
      <xdr:col>11</xdr:col>
      <xdr:colOff>518662</xdr:colOff>
      <xdr:row>34</xdr:row>
      <xdr:rowOff>164512</xdr:rowOff>
    </xdr:to>
    <xdr:graphicFrame macro="">
      <xdr:nvGraphicFramePr>
        <xdr:cNvPr id="11" name="Chart 10">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509587</xdr:colOff>
      <xdr:row>23</xdr:row>
      <xdr:rowOff>109537</xdr:rowOff>
    </xdr:from>
    <xdr:to>
      <xdr:col>23</xdr:col>
      <xdr:colOff>451987</xdr:colOff>
      <xdr:row>34</xdr:row>
      <xdr:rowOff>174037</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23812</xdr:colOff>
      <xdr:row>34</xdr:row>
      <xdr:rowOff>176212</xdr:rowOff>
    </xdr:from>
    <xdr:to>
      <xdr:col>5</xdr:col>
      <xdr:colOff>575812</xdr:colOff>
      <xdr:row>46</xdr:row>
      <xdr:rowOff>50212</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576262</xdr:colOff>
      <xdr:row>34</xdr:row>
      <xdr:rowOff>166687</xdr:rowOff>
    </xdr:from>
    <xdr:to>
      <xdr:col>11</xdr:col>
      <xdr:colOff>518662</xdr:colOff>
      <xdr:row>46</xdr:row>
      <xdr:rowOff>40687</xdr:rowOff>
    </xdr:to>
    <xdr:graphicFrame macro="">
      <xdr:nvGraphicFramePr>
        <xdr:cNvPr id="14" name="Chart 13">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433387</xdr:colOff>
      <xdr:row>34</xdr:row>
      <xdr:rowOff>176212</xdr:rowOff>
    </xdr:from>
    <xdr:to>
      <xdr:col>23</xdr:col>
      <xdr:colOff>375787</xdr:colOff>
      <xdr:row>46</xdr:row>
      <xdr:rowOff>50212</xdr:rowOff>
    </xdr:to>
    <xdr:graphicFrame macro="">
      <xdr:nvGraphicFramePr>
        <xdr:cNvPr id="15" name="Chart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433387</xdr:colOff>
      <xdr:row>46</xdr:row>
      <xdr:rowOff>52387</xdr:rowOff>
    </xdr:from>
    <xdr:to>
      <xdr:col>23</xdr:col>
      <xdr:colOff>375787</xdr:colOff>
      <xdr:row>57</xdr:row>
      <xdr:rowOff>116887</xdr:rowOff>
    </xdr:to>
    <xdr:graphicFrame macro="">
      <xdr:nvGraphicFramePr>
        <xdr:cNvPr id="16" name="Chart 15">
          <a:extLst>
            <a:ext uri="{FF2B5EF4-FFF2-40B4-BE49-F238E27FC236}">
              <a16:creationId xmlns:a16="http://schemas.microsoft.com/office/drawing/2014/main" id="{00000000-0008-0000-06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14287</xdr:colOff>
      <xdr:row>46</xdr:row>
      <xdr:rowOff>52387</xdr:rowOff>
    </xdr:from>
    <xdr:to>
      <xdr:col>5</xdr:col>
      <xdr:colOff>566287</xdr:colOff>
      <xdr:row>57</xdr:row>
      <xdr:rowOff>116887</xdr:rowOff>
    </xdr:to>
    <xdr:graphicFrame macro="">
      <xdr:nvGraphicFramePr>
        <xdr:cNvPr id="17" name="Chart 16">
          <a:extLst>
            <a:ext uri="{FF2B5EF4-FFF2-40B4-BE49-F238E27FC236}">
              <a16:creationId xmlns:a16="http://schemas.microsoft.com/office/drawing/2014/main" id="{00000000-0008-0000-06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566737</xdr:colOff>
      <xdr:row>46</xdr:row>
      <xdr:rowOff>52387</xdr:rowOff>
    </xdr:from>
    <xdr:to>
      <xdr:col>11</xdr:col>
      <xdr:colOff>509137</xdr:colOff>
      <xdr:row>57</xdr:row>
      <xdr:rowOff>116887</xdr:rowOff>
    </xdr:to>
    <xdr:graphicFrame macro="">
      <xdr:nvGraphicFramePr>
        <xdr:cNvPr id="18" name="Chart 17">
          <a:extLst>
            <a:ext uri="{FF2B5EF4-FFF2-40B4-BE49-F238E27FC236}">
              <a16:creationId xmlns:a16="http://schemas.microsoft.com/office/drawing/2014/main" id="{00000000-0008-0000-06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500062</xdr:colOff>
      <xdr:row>46</xdr:row>
      <xdr:rowOff>42862</xdr:rowOff>
    </xdr:from>
    <xdr:to>
      <xdr:col>17</xdr:col>
      <xdr:colOff>442462</xdr:colOff>
      <xdr:row>57</xdr:row>
      <xdr:rowOff>107362</xdr:rowOff>
    </xdr:to>
    <xdr:graphicFrame macro="">
      <xdr:nvGraphicFramePr>
        <xdr:cNvPr id="19" name="Chart 18">
          <a:extLst>
            <a:ext uri="{FF2B5EF4-FFF2-40B4-BE49-F238E27FC236}">
              <a16:creationId xmlns:a16="http://schemas.microsoft.com/office/drawing/2014/main" id="{00000000-0008-0000-06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57</xdr:row>
      <xdr:rowOff>138111</xdr:rowOff>
    </xdr:from>
    <xdr:to>
      <xdr:col>11</xdr:col>
      <xdr:colOff>494400</xdr:colOff>
      <xdr:row>76</xdr:row>
      <xdr:rowOff>118611</xdr:rowOff>
    </xdr:to>
    <xdr:graphicFrame macro="">
      <xdr:nvGraphicFramePr>
        <xdr:cNvPr id="20" name="Chart 19">
          <a:extLst>
            <a:ext uri="{FF2B5EF4-FFF2-40B4-BE49-F238E27FC236}">
              <a16:creationId xmlns:a16="http://schemas.microsoft.com/office/drawing/2014/main" id="{00000000-0008-0000-06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509587</xdr:colOff>
      <xdr:row>57</xdr:row>
      <xdr:rowOff>138112</xdr:rowOff>
    </xdr:from>
    <xdr:to>
      <xdr:col>23</xdr:col>
      <xdr:colOff>394387</xdr:colOff>
      <xdr:row>76</xdr:row>
      <xdr:rowOff>118612</xdr:rowOff>
    </xdr:to>
    <xdr:graphicFrame macro="">
      <xdr:nvGraphicFramePr>
        <xdr:cNvPr id="21" name="Chart 20">
          <a:extLst>
            <a:ext uri="{FF2B5EF4-FFF2-40B4-BE49-F238E27FC236}">
              <a16:creationId xmlns:a16="http://schemas.microsoft.com/office/drawing/2014/main" id="{00000000-0008-0000-06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519112</xdr:colOff>
      <xdr:row>12</xdr:row>
      <xdr:rowOff>61912</xdr:rowOff>
    </xdr:from>
    <xdr:to>
      <xdr:col>17</xdr:col>
      <xdr:colOff>461512</xdr:colOff>
      <xdr:row>23</xdr:row>
      <xdr:rowOff>126412</xdr:rowOff>
    </xdr:to>
    <xdr:graphicFrame macro="">
      <xdr:nvGraphicFramePr>
        <xdr:cNvPr id="22" name="Chart 21">
          <a:extLst>
            <a:ext uri="{FF2B5EF4-FFF2-40B4-BE49-F238E27FC236}">
              <a16:creationId xmlns:a16="http://schemas.microsoft.com/office/drawing/2014/main" id="{00000000-0008-0000-06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519112</xdr:colOff>
      <xdr:row>23</xdr:row>
      <xdr:rowOff>80962</xdr:rowOff>
    </xdr:from>
    <xdr:to>
      <xdr:col>17</xdr:col>
      <xdr:colOff>461512</xdr:colOff>
      <xdr:row>34</xdr:row>
      <xdr:rowOff>145462</xdr:rowOff>
    </xdr:to>
    <xdr:graphicFrame macro="">
      <xdr:nvGraphicFramePr>
        <xdr:cNvPr id="23" name="Chart 22">
          <a:extLst>
            <a:ext uri="{FF2B5EF4-FFF2-40B4-BE49-F238E27FC236}">
              <a16:creationId xmlns:a16="http://schemas.microsoft.com/office/drawing/2014/main" id="{00000000-0008-0000-06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33337</xdr:colOff>
      <xdr:row>76</xdr:row>
      <xdr:rowOff>166687</xdr:rowOff>
    </xdr:from>
    <xdr:to>
      <xdr:col>5</xdr:col>
      <xdr:colOff>585337</xdr:colOff>
      <xdr:row>88</xdr:row>
      <xdr:rowOff>40687</xdr:rowOff>
    </xdr:to>
    <xdr:graphicFrame macro="">
      <xdr:nvGraphicFramePr>
        <xdr:cNvPr id="24" name="Chart 23">
          <a:extLst>
            <a:ext uri="{FF2B5EF4-FFF2-40B4-BE49-F238E27FC236}">
              <a16:creationId xmlns:a16="http://schemas.microsoft.com/office/drawing/2014/main" id="{00000000-0008-0000-06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585787</xdr:colOff>
      <xdr:row>76</xdr:row>
      <xdr:rowOff>166687</xdr:rowOff>
    </xdr:from>
    <xdr:to>
      <xdr:col>11</xdr:col>
      <xdr:colOff>528187</xdr:colOff>
      <xdr:row>88</xdr:row>
      <xdr:rowOff>40687</xdr:rowOff>
    </xdr:to>
    <xdr:graphicFrame macro="">
      <xdr:nvGraphicFramePr>
        <xdr:cNvPr id="25" name="Chart 24">
          <a:extLst>
            <a:ext uri="{FF2B5EF4-FFF2-40B4-BE49-F238E27FC236}">
              <a16:creationId xmlns:a16="http://schemas.microsoft.com/office/drawing/2014/main" id="{00000000-0008-0000-06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528637</xdr:colOff>
      <xdr:row>76</xdr:row>
      <xdr:rowOff>176212</xdr:rowOff>
    </xdr:from>
    <xdr:to>
      <xdr:col>17</xdr:col>
      <xdr:colOff>471037</xdr:colOff>
      <xdr:row>88</xdr:row>
      <xdr:rowOff>50212</xdr:rowOff>
    </xdr:to>
    <xdr:graphicFrame macro="">
      <xdr:nvGraphicFramePr>
        <xdr:cNvPr id="26" name="Chart 25">
          <a:extLst>
            <a:ext uri="{FF2B5EF4-FFF2-40B4-BE49-F238E27FC236}">
              <a16:creationId xmlns:a16="http://schemas.microsoft.com/office/drawing/2014/main" id="{00000000-0008-0000-06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481012</xdr:colOff>
      <xdr:row>76</xdr:row>
      <xdr:rowOff>157162</xdr:rowOff>
    </xdr:from>
    <xdr:to>
      <xdr:col>23</xdr:col>
      <xdr:colOff>423412</xdr:colOff>
      <xdr:row>88</xdr:row>
      <xdr:rowOff>31162</xdr:rowOff>
    </xdr:to>
    <xdr:graphicFrame macro="">
      <xdr:nvGraphicFramePr>
        <xdr:cNvPr id="27" name="Chart 26">
          <a:extLst>
            <a:ext uri="{FF2B5EF4-FFF2-40B4-BE49-F238E27FC236}">
              <a16:creationId xmlns:a16="http://schemas.microsoft.com/office/drawing/2014/main" id="{00000000-0008-0000-06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23812</xdr:colOff>
      <xdr:row>88</xdr:row>
      <xdr:rowOff>52387</xdr:rowOff>
    </xdr:from>
    <xdr:to>
      <xdr:col>5</xdr:col>
      <xdr:colOff>575812</xdr:colOff>
      <xdr:row>99</xdr:row>
      <xdr:rowOff>116887</xdr:rowOff>
    </xdr:to>
    <xdr:graphicFrame macro="">
      <xdr:nvGraphicFramePr>
        <xdr:cNvPr id="28" name="Chart 27">
          <a:extLst>
            <a:ext uri="{FF2B5EF4-FFF2-40B4-BE49-F238E27FC236}">
              <a16:creationId xmlns:a16="http://schemas.microsoft.com/office/drawing/2014/main" id="{00000000-0008-0000-06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5</xdr:col>
      <xdr:colOff>576262</xdr:colOff>
      <xdr:row>88</xdr:row>
      <xdr:rowOff>33337</xdr:rowOff>
    </xdr:from>
    <xdr:to>
      <xdr:col>11</xdr:col>
      <xdr:colOff>518662</xdr:colOff>
      <xdr:row>99</xdr:row>
      <xdr:rowOff>97837</xdr:rowOff>
    </xdr:to>
    <xdr:graphicFrame macro="">
      <xdr:nvGraphicFramePr>
        <xdr:cNvPr id="29" name="Chart 28">
          <a:extLst>
            <a:ext uri="{FF2B5EF4-FFF2-40B4-BE49-F238E27FC236}">
              <a16:creationId xmlns:a16="http://schemas.microsoft.com/office/drawing/2014/main" id="{00000000-0008-0000-06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528637</xdr:colOff>
      <xdr:row>88</xdr:row>
      <xdr:rowOff>52387</xdr:rowOff>
    </xdr:from>
    <xdr:to>
      <xdr:col>17</xdr:col>
      <xdr:colOff>471037</xdr:colOff>
      <xdr:row>99</xdr:row>
      <xdr:rowOff>116887</xdr:rowOff>
    </xdr:to>
    <xdr:graphicFrame macro="">
      <xdr:nvGraphicFramePr>
        <xdr:cNvPr id="30" name="Chart 29">
          <a:extLst>
            <a:ext uri="{FF2B5EF4-FFF2-40B4-BE49-F238E27FC236}">
              <a16:creationId xmlns:a16="http://schemas.microsoft.com/office/drawing/2014/main" id="{00000000-0008-0000-06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481012</xdr:colOff>
      <xdr:row>88</xdr:row>
      <xdr:rowOff>33337</xdr:rowOff>
    </xdr:from>
    <xdr:to>
      <xdr:col>23</xdr:col>
      <xdr:colOff>423412</xdr:colOff>
      <xdr:row>99</xdr:row>
      <xdr:rowOff>97837</xdr:rowOff>
    </xdr:to>
    <xdr:graphicFrame macro="">
      <xdr:nvGraphicFramePr>
        <xdr:cNvPr id="31" name="Chart 30">
          <a:extLst>
            <a:ext uri="{FF2B5EF4-FFF2-40B4-BE49-F238E27FC236}">
              <a16:creationId xmlns:a16="http://schemas.microsoft.com/office/drawing/2014/main" id="{00000000-0008-0000-06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99</xdr:row>
      <xdr:rowOff>138112</xdr:rowOff>
    </xdr:from>
    <xdr:to>
      <xdr:col>5</xdr:col>
      <xdr:colOff>552000</xdr:colOff>
      <xdr:row>111</xdr:row>
      <xdr:rowOff>12112</xdr:rowOff>
    </xdr:to>
    <xdr:graphicFrame macro="">
      <xdr:nvGraphicFramePr>
        <xdr:cNvPr id="32" name="Chart 31">
          <a:extLst>
            <a:ext uri="{FF2B5EF4-FFF2-40B4-BE49-F238E27FC236}">
              <a16:creationId xmlns:a16="http://schemas.microsoft.com/office/drawing/2014/main" id="{00000000-0008-0000-06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xdr:col>
      <xdr:colOff>571500</xdr:colOff>
      <xdr:row>99</xdr:row>
      <xdr:rowOff>104775</xdr:rowOff>
    </xdr:from>
    <xdr:to>
      <xdr:col>11</xdr:col>
      <xdr:colOff>513900</xdr:colOff>
      <xdr:row>110</xdr:row>
      <xdr:rowOff>169275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523875</xdr:colOff>
      <xdr:row>99</xdr:row>
      <xdr:rowOff>104775</xdr:rowOff>
    </xdr:from>
    <xdr:to>
      <xdr:col>17</xdr:col>
      <xdr:colOff>466275</xdr:colOff>
      <xdr:row>110</xdr:row>
      <xdr:rowOff>169275</xdr:rowOff>
    </xdr:to>
    <xdr:graphicFrame macro="">
      <xdr:nvGraphicFramePr>
        <xdr:cNvPr id="34" name="Chart 33">
          <a:extLst>
            <a:ext uri="{FF2B5EF4-FFF2-40B4-BE49-F238E27FC236}">
              <a16:creationId xmlns:a16="http://schemas.microsoft.com/office/drawing/2014/main" id="{00000000-0008-0000-06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17</xdr:col>
      <xdr:colOff>485775</xdr:colOff>
      <xdr:row>99</xdr:row>
      <xdr:rowOff>95250</xdr:rowOff>
    </xdr:from>
    <xdr:to>
      <xdr:col>23</xdr:col>
      <xdr:colOff>428175</xdr:colOff>
      <xdr:row>110</xdr:row>
      <xdr:rowOff>159750</xdr:rowOff>
    </xdr:to>
    <xdr:graphicFrame macro="">
      <xdr:nvGraphicFramePr>
        <xdr:cNvPr id="35" name="Chart 34">
          <a:extLst>
            <a:ext uri="{FF2B5EF4-FFF2-40B4-BE49-F238E27FC236}">
              <a16:creationId xmlns:a16="http://schemas.microsoft.com/office/drawing/2014/main" id="{00000000-0008-0000-06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xdr:col>
      <xdr:colOff>581025</xdr:colOff>
      <xdr:row>110</xdr:row>
      <xdr:rowOff>176212</xdr:rowOff>
    </xdr:from>
    <xdr:to>
      <xdr:col>11</xdr:col>
      <xdr:colOff>504824</xdr:colOff>
      <xdr:row>122</xdr:row>
      <xdr:rowOff>66675</xdr:rowOff>
    </xdr:to>
    <xdr:graphicFrame macro="">
      <xdr:nvGraphicFramePr>
        <xdr:cNvPr id="33" name="Chart 32">
          <a:extLst>
            <a:ext uri="{FF2B5EF4-FFF2-40B4-BE49-F238E27FC236}">
              <a16:creationId xmlns:a16="http://schemas.microsoft.com/office/drawing/2014/main" id="{00000000-0008-0000-06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600075</xdr:colOff>
          <xdr:row>1</xdr:row>
          <xdr:rowOff>180975</xdr:rowOff>
        </xdr:from>
        <xdr:to>
          <xdr:col>3</xdr:col>
          <xdr:colOff>19050</xdr:colOff>
          <xdr:row>3</xdr:row>
          <xdr:rowOff>180975</xdr:rowOff>
        </xdr:to>
        <xdr:sp macro="" textlink="">
          <xdr:nvSpPr>
            <xdr:cNvPr id="13314" name="Button 2" hidden="1">
              <a:extLst>
                <a:ext uri="{63B3BB69-23CF-44E3-9099-C40C66FF867C}">
                  <a14:compatExt spid="_x0000_s13314"/>
                </a:ext>
                <a:ext uri="{FF2B5EF4-FFF2-40B4-BE49-F238E27FC236}">
                  <a16:creationId xmlns:a16="http://schemas.microsoft.com/office/drawing/2014/main" id="{00000000-0008-0000-0700-000002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Select Screener File To Compare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Startup" Target="PERSON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GetDataFromFile"/>
    </definedNames>
    <sheetDataSet>
      <sheetData sheetId="0"/>
      <sheetData sheetId="1" refreshError="1"/>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drvijaymalik.com/p/ask-your-queries.html" TargetMode="External"/><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drvijaymalik.com/2015/03/how-to-analyse-operating-performance-of-companies.html" TargetMode="External"/><Relationship Id="rId7" Type="http://schemas.openxmlformats.org/officeDocument/2006/relationships/hyperlink" Target="http://www.drvijaymalik.com/2015/06/self-sustainable-growth-rate-measure-of.html" TargetMode="External"/><Relationship Id="rId2" Type="http://schemas.openxmlformats.org/officeDocument/2006/relationships/hyperlink" Target="http://www.drvijaymalik.com/2016/02/margin-of-safety-in-stock-investing.html" TargetMode="External"/><Relationship Id="rId1" Type="http://schemas.openxmlformats.org/officeDocument/2006/relationships/hyperlink" Target="http://www.drvijaymalik.com/2014/12/selecting-top-stocks-to-buy-part-6.html" TargetMode="External"/><Relationship Id="rId6" Type="http://schemas.openxmlformats.org/officeDocument/2006/relationships/hyperlink" Target="http://www.drvijaymalik.com/2014/12/selecting-top-stocks-to-buy-part-9.html" TargetMode="External"/><Relationship Id="rId5" Type="http://schemas.openxmlformats.org/officeDocument/2006/relationships/hyperlink" Target="http://www.drvijaymalik.com/2014/12/selecting-top-stocks-to-buy-part-6.html" TargetMode="External"/><Relationship Id="rId4" Type="http://schemas.openxmlformats.org/officeDocument/2006/relationships/hyperlink" Target="http://www.drvijaymalik.com/2014/12/selecting-top-stocks-to-buy-part-6.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creener.in/excel/"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screener.in/excel/"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O27"/>
  <sheetViews>
    <sheetView workbookViewId="0">
      <pane ySplit="1" topLeftCell="A2" activePane="bottomLeft" state="frozen"/>
      <selection activeCell="H103" sqref="H103"/>
      <selection pane="bottomLeft" activeCell="H103" sqref="H103"/>
    </sheetView>
  </sheetViews>
  <sheetFormatPr defaultRowHeight="15" x14ac:dyDescent="0.25"/>
  <cols>
    <col min="1" max="1" width="9.140625" style="25"/>
    <col min="2" max="2" width="156" style="17" customWidth="1"/>
  </cols>
  <sheetData>
    <row r="1" spans="1:15" ht="21" x14ac:dyDescent="0.35">
      <c r="A1" s="106" t="s">
        <v>66</v>
      </c>
      <c r="B1" s="106"/>
      <c r="C1" s="19"/>
      <c r="D1" s="19"/>
      <c r="E1" s="19"/>
      <c r="F1" s="19"/>
      <c r="G1" s="19"/>
      <c r="H1" s="19"/>
      <c r="I1" s="19"/>
      <c r="J1" s="19"/>
      <c r="K1" s="19"/>
      <c r="L1" s="19"/>
      <c r="M1" s="19"/>
      <c r="N1" s="19"/>
      <c r="O1" s="20"/>
    </row>
    <row r="2" spans="1:15" x14ac:dyDescent="0.25">
      <c r="C2" s="20"/>
      <c r="D2" s="20"/>
      <c r="E2" s="20"/>
      <c r="F2" s="20"/>
      <c r="G2" s="20"/>
      <c r="H2" s="20"/>
      <c r="I2" s="20"/>
      <c r="J2" s="20"/>
      <c r="K2" s="20"/>
      <c r="L2" s="20"/>
      <c r="M2" s="20"/>
      <c r="N2" s="20"/>
      <c r="O2" s="20"/>
    </row>
    <row r="3" spans="1:15" x14ac:dyDescent="0.25">
      <c r="A3" s="28" t="s">
        <v>250</v>
      </c>
      <c r="C3" s="20"/>
      <c r="D3" s="20"/>
      <c r="E3" s="20"/>
      <c r="F3" s="20"/>
      <c r="G3" s="20"/>
      <c r="H3" s="20"/>
      <c r="I3" s="20"/>
      <c r="J3" s="20"/>
      <c r="K3" s="20"/>
      <c r="L3" s="20"/>
      <c r="M3" s="20"/>
      <c r="N3" s="20"/>
      <c r="O3" s="20"/>
    </row>
    <row r="4" spans="1:15" x14ac:dyDescent="0.25">
      <c r="A4" s="25">
        <v>1</v>
      </c>
      <c r="B4" s="17" t="s">
        <v>251</v>
      </c>
      <c r="C4" s="20"/>
      <c r="D4" s="20"/>
      <c r="E4" s="20"/>
      <c r="F4" s="20"/>
      <c r="G4" s="20"/>
      <c r="H4" s="20"/>
      <c r="I4" s="20"/>
      <c r="J4" s="20"/>
      <c r="K4" s="20"/>
      <c r="L4" s="20"/>
      <c r="M4" s="20"/>
      <c r="N4" s="20"/>
      <c r="O4" s="20"/>
    </row>
    <row r="5" spans="1:15" x14ac:dyDescent="0.25">
      <c r="A5" s="25">
        <v>2</v>
      </c>
      <c r="B5" s="17" t="s">
        <v>252</v>
      </c>
    </row>
    <row r="6" spans="1:15" x14ac:dyDescent="0.25">
      <c r="A6" s="25">
        <v>3</v>
      </c>
      <c r="B6" s="17" t="s">
        <v>253</v>
      </c>
    </row>
    <row r="7" spans="1:15" x14ac:dyDescent="0.25">
      <c r="B7" s="36" t="s">
        <v>58</v>
      </c>
    </row>
    <row r="8" spans="1:15" ht="90" x14ac:dyDescent="0.25">
      <c r="B8" s="17" t="s">
        <v>283</v>
      </c>
    </row>
    <row r="9" spans="1:15" x14ac:dyDescent="0.25">
      <c r="A9" s="25">
        <v>4</v>
      </c>
      <c r="B9" s="17" t="s">
        <v>254</v>
      </c>
    </row>
    <row r="10" spans="1:15" ht="30" x14ac:dyDescent="0.25">
      <c r="A10" s="25">
        <v>5</v>
      </c>
      <c r="B10" s="17" t="s">
        <v>255</v>
      </c>
    </row>
    <row r="12" spans="1:15" x14ac:dyDescent="0.25">
      <c r="A12" s="37" t="s">
        <v>256</v>
      </c>
    </row>
    <row r="13" spans="1:15" ht="60" x14ac:dyDescent="0.25">
      <c r="A13" s="25">
        <v>1</v>
      </c>
      <c r="B13" s="31" t="s">
        <v>257</v>
      </c>
    </row>
    <row r="15" spans="1:15" x14ac:dyDescent="0.25">
      <c r="A15" s="28" t="s">
        <v>258</v>
      </c>
    </row>
    <row r="16" spans="1:15" ht="75" x14ac:dyDescent="0.25">
      <c r="B16" s="38" t="s">
        <v>259</v>
      </c>
    </row>
    <row r="18" spans="1:2" x14ac:dyDescent="0.25">
      <c r="A18" s="28" t="s">
        <v>260</v>
      </c>
    </row>
    <row r="19" spans="1:2" x14ac:dyDescent="0.25">
      <c r="A19" s="25">
        <v>1</v>
      </c>
      <c r="B19" s="17" t="s">
        <v>261</v>
      </c>
    </row>
    <row r="20" spans="1:2" x14ac:dyDescent="0.25">
      <c r="A20" s="25">
        <v>2</v>
      </c>
      <c r="B20" s="17" t="s">
        <v>262</v>
      </c>
    </row>
    <row r="21" spans="1:2" x14ac:dyDescent="0.25">
      <c r="A21" s="25">
        <v>3</v>
      </c>
      <c r="B21" s="39" t="s">
        <v>263</v>
      </c>
    </row>
    <row r="23" spans="1:2" x14ac:dyDescent="0.25">
      <c r="A23" s="28" t="s">
        <v>264</v>
      </c>
    </row>
    <row r="24" spans="1:2" ht="90" x14ac:dyDescent="0.25">
      <c r="A24" s="25">
        <v>1</v>
      </c>
      <c r="B24" s="39" t="s">
        <v>265</v>
      </c>
    </row>
    <row r="25" spans="1:2" ht="30" x14ac:dyDescent="0.25">
      <c r="A25" s="25">
        <v>2</v>
      </c>
      <c r="B25" s="17" t="s">
        <v>266</v>
      </c>
    </row>
    <row r="26" spans="1:2" ht="30" x14ac:dyDescent="0.25">
      <c r="A26" s="25">
        <v>3</v>
      </c>
      <c r="B26" s="17" t="s">
        <v>267</v>
      </c>
    </row>
    <row r="27" spans="1:2" x14ac:dyDescent="0.25">
      <c r="B27" s="33" t="s">
        <v>268</v>
      </c>
    </row>
  </sheetData>
  <mergeCells count="1">
    <mergeCell ref="A1:B1"/>
  </mergeCells>
  <hyperlinks>
    <hyperlink ref="B7" r:id="rId1" display=" http://www.screener.in/excel" xr:uid="{00000000-0004-0000-0000-000000000000}"/>
    <hyperlink ref="B27" r:id="rId2" xr:uid="{00000000-0004-0000-0000-000001000000}"/>
  </hyperlinks>
  <printOptions gridLines="1"/>
  <pageMargins left="0.7" right="0.7" top="0.75" bottom="0.75" header="0.3" footer="0.3"/>
  <pageSetup paperSize="9" scale="83" orientation="landscape"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O116"/>
  <sheetViews>
    <sheetView zoomScale="80" zoomScaleNormal="80" workbookViewId="0">
      <pane ySplit="3" topLeftCell="A15" activePane="bottomLeft" state="frozen"/>
      <selection activeCell="H103" sqref="H103"/>
      <selection pane="bottomLeft" activeCell="B13" sqref="B13"/>
    </sheetView>
  </sheetViews>
  <sheetFormatPr defaultRowHeight="15" x14ac:dyDescent="0.25"/>
  <cols>
    <col min="1" max="1" width="38" style="25" bestFit="1" customWidth="1"/>
    <col min="2" max="2" width="61.7109375" style="25" customWidth="1"/>
    <col min="3" max="3" width="84.7109375" style="17" customWidth="1"/>
  </cols>
  <sheetData>
    <row r="1" spans="1:15" ht="21" x14ac:dyDescent="0.35">
      <c r="A1" s="106" t="s">
        <v>66</v>
      </c>
      <c r="B1" s="106"/>
      <c r="C1" s="106"/>
      <c r="D1" s="19"/>
      <c r="E1" s="19"/>
      <c r="F1" s="19"/>
      <c r="G1" s="19"/>
      <c r="H1" s="19"/>
      <c r="I1" s="19"/>
      <c r="J1" s="19"/>
      <c r="K1" s="19"/>
      <c r="L1" s="19"/>
      <c r="M1" s="19"/>
      <c r="N1" s="19"/>
      <c r="O1" s="20"/>
    </row>
    <row r="2" spans="1:15" x14ac:dyDescent="0.25">
      <c r="A2" s="108" t="s">
        <v>67</v>
      </c>
      <c r="B2" s="108"/>
      <c r="C2" s="108"/>
    </row>
    <row r="3" spans="1:15" x14ac:dyDescent="0.25">
      <c r="A3" s="21" t="s">
        <v>68</v>
      </c>
      <c r="B3" s="21" t="s">
        <v>69</v>
      </c>
      <c r="C3" s="22" t="s">
        <v>70</v>
      </c>
    </row>
    <row r="4" spans="1:15" s="20" customFormat="1" x14ac:dyDescent="0.25">
      <c r="A4" s="23"/>
      <c r="B4" s="23"/>
      <c r="C4" s="24"/>
    </row>
    <row r="5" spans="1:15" x14ac:dyDescent="0.25">
      <c r="A5" s="107" t="s">
        <v>71</v>
      </c>
      <c r="B5" s="107"/>
      <c r="C5" s="107"/>
    </row>
    <row r="6" spans="1:15" ht="60" x14ac:dyDescent="0.25">
      <c r="A6" s="25" t="s">
        <v>2</v>
      </c>
      <c r="B6" s="26" t="s">
        <v>72</v>
      </c>
      <c r="C6" s="17" t="s">
        <v>73</v>
      </c>
    </row>
    <row r="7" spans="1:15" ht="30" x14ac:dyDescent="0.25">
      <c r="A7" s="25" t="s">
        <v>4</v>
      </c>
      <c r="B7" s="25" t="s">
        <v>74</v>
      </c>
      <c r="C7" s="17" t="s">
        <v>75</v>
      </c>
    </row>
    <row r="8" spans="1:15" ht="165" x14ac:dyDescent="0.25">
      <c r="A8" s="25" t="s">
        <v>76</v>
      </c>
      <c r="B8" s="26" t="s">
        <v>77</v>
      </c>
      <c r="C8" s="27" t="s">
        <v>78</v>
      </c>
    </row>
    <row r="9" spans="1:15" ht="75" x14ac:dyDescent="0.25">
      <c r="A9" s="25" t="s">
        <v>5</v>
      </c>
      <c r="B9" s="26" t="s">
        <v>79</v>
      </c>
      <c r="C9" s="17" t="s">
        <v>80</v>
      </c>
    </row>
    <row r="10" spans="1:15" ht="75" x14ac:dyDescent="0.25">
      <c r="A10" s="25" t="s">
        <v>7</v>
      </c>
      <c r="B10" s="26" t="s">
        <v>81</v>
      </c>
      <c r="C10" s="17" t="s">
        <v>82</v>
      </c>
    </row>
    <row r="11" spans="1:15" x14ac:dyDescent="0.25">
      <c r="A11" s="25" t="s">
        <v>83</v>
      </c>
      <c r="C11" s="17" t="s">
        <v>84</v>
      </c>
    </row>
    <row r="12" spans="1:15" ht="60" x14ac:dyDescent="0.25">
      <c r="A12" s="25" t="s">
        <v>85</v>
      </c>
      <c r="B12" s="26" t="s">
        <v>86</v>
      </c>
      <c r="C12" s="27" t="s">
        <v>87</v>
      </c>
    </row>
    <row r="13" spans="1:15" x14ac:dyDescent="0.25">
      <c r="A13" s="25" t="s">
        <v>88</v>
      </c>
      <c r="B13" s="25" t="s">
        <v>89</v>
      </c>
      <c r="C13" s="17" t="s">
        <v>90</v>
      </c>
    </row>
    <row r="14" spans="1:15" ht="90" x14ac:dyDescent="0.25">
      <c r="A14" s="25" t="s">
        <v>91</v>
      </c>
      <c r="B14" s="26" t="s">
        <v>92</v>
      </c>
      <c r="C14" s="27" t="s">
        <v>93</v>
      </c>
    </row>
    <row r="15" spans="1:15" x14ac:dyDescent="0.25">
      <c r="C15" s="27"/>
    </row>
    <row r="16" spans="1:15" x14ac:dyDescent="0.25">
      <c r="A16" s="28" t="s">
        <v>94</v>
      </c>
      <c r="B16" s="28"/>
      <c r="C16" s="27"/>
    </row>
    <row r="17" spans="1:3" x14ac:dyDescent="0.25">
      <c r="C17" s="29" t="s">
        <v>95</v>
      </c>
    </row>
    <row r="18" spans="1:3" x14ac:dyDescent="0.25">
      <c r="C18" s="30"/>
    </row>
    <row r="19" spans="1:3" x14ac:dyDescent="0.25">
      <c r="A19" s="107" t="s">
        <v>96</v>
      </c>
      <c r="B19" s="107"/>
      <c r="C19" s="107"/>
    </row>
    <row r="20" spans="1:3" x14ac:dyDescent="0.25">
      <c r="C20" s="27"/>
    </row>
    <row r="21" spans="1:3" ht="75" x14ac:dyDescent="0.25">
      <c r="A21" s="25" t="s">
        <v>97</v>
      </c>
      <c r="B21" s="26" t="s">
        <v>284</v>
      </c>
      <c r="C21" s="17" t="s">
        <v>99</v>
      </c>
    </row>
    <row r="22" spans="1:3" ht="150" x14ac:dyDescent="0.25">
      <c r="A22" s="25" t="s">
        <v>100</v>
      </c>
      <c r="B22" s="26" t="s">
        <v>101</v>
      </c>
      <c r="C22" s="17" t="s">
        <v>102</v>
      </c>
    </row>
    <row r="23" spans="1:3" ht="75" x14ac:dyDescent="0.25">
      <c r="A23" s="25" t="s">
        <v>103</v>
      </c>
      <c r="B23" s="26" t="s">
        <v>104</v>
      </c>
      <c r="C23" s="17" t="s">
        <v>105</v>
      </c>
    </row>
    <row r="24" spans="1:3" ht="45" x14ac:dyDescent="0.25">
      <c r="A24" s="25" t="s">
        <v>106</v>
      </c>
      <c r="B24" s="26" t="s">
        <v>107</v>
      </c>
      <c r="C24" s="27" t="s">
        <v>108</v>
      </c>
    </row>
    <row r="25" spans="1:3" ht="105" x14ac:dyDescent="0.25">
      <c r="A25" s="25" t="s">
        <v>109</v>
      </c>
      <c r="B25" s="26" t="s">
        <v>110</v>
      </c>
      <c r="C25" s="17" t="s">
        <v>111</v>
      </c>
    </row>
    <row r="26" spans="1:3" x14ac:dyDescent="0.25">
      <c r="A26" s="25" t="s">
        <v>112</v>
      </c>
      <c r="C26" s="17" t="s">
        <v>113</v>
      </c>
    </row>
    <row r="27" spans="1:3" ht="45" x14ac:dyDescent="0.25">
      <c r="A27" s="25" t="s">
        <v>114</v>
      </c>
      <c r="B27" s="26" t="s">
        <v>107</v>
      </c>
      <c r="C27" s="17" t="s">
        <v>115</v>
      </c>
    </row>
    <row r="28" spans="1:3" ht="75" x14ac:dyDescent="0.25">
      <c r="B28" s="31" t="s">
        <v>116</v>
      </c>
    </row>
    <row r="29" spans="1:3" ht="75" x14ac:dyDescent="0.25">
      <c r="A29" s="25" t="s">
        <v>117</v>
      </c>
      <c r="B29" s="32" t="s">
        <v>118</v>
      </c>
      <c r="C29" s="17" t="s">
        <v>119</v>
      </c>
    </row>
    <row r="30" spans="1:3" ht="105" x14ac:dyDescent="0.25">
      <c r="A30" s="25" t="s">
        <v>120</v>
      </c>
      <c r="B30" s="32" t="s">
        <v>121</v>
      </c>
      <c r="C30" s="27" t="s">
        <v>122</v>
      </c>
    </row>
    <row r="31" spans="1:3" x14ac:dyDescent="0.25">
      <c r="C31" s="31"/>
    </row>
    <row r="32" spans="1:3" x14ac:dyDescent="0.25">
      <c r="A32" s="28" t="s">
        <v>123</v>
      </c>
      <c r="B32" s="28"/>
      <c r="C32" s="31"/>
    </row>
    <row r="33" spans="1:3" x14ac:dyDescent="0.25">
      <c r="C33" s="33" t="s">
        <v>124</v>
      </c>
    </row>
    <row r="34" spans="1:3" x14ac:dyDescent="0.25">
      <c r="C34" s="31"/>
    </row>
    <row r="35" spans="1:3" x14ac:dyDescent="0.25">
      <c r="A35" s="107" t="s">
        <v>125</v>
      </c>
      <c r="B35" s="107"/>
      <c r="C35" s="107"/>
    </row>
    <row r="37" spans="1:3" ht="150" x14ac:dyDescent="0.25">
      <c r="A37" s="25" t="s">
        <v>126</v>
      </c>
      <c r="B37" s="25" t="s">
        <v>127</v>
      </c>
      <c r="C37" s="17" t="s">
        <v>128</v>
      </c>
    </row>
    <row r="38" spans="1:3" x14ac:dyDescent="0.25">
      <c r="C38" s="34" t="s">
        <v>129</v>
      </c>
    </row>
    <row r="40" spans="1:3" ht="105" x14ac:dyDescent="0.25">
      <c r="A40" s="25" t="s">
        <v>130</v>
      </c>
      <c r="B40" s="25" t="s">
        <v>131</v>
      </c>
      <c r="C40" s="27" t="s">
        <v>132</v>
      </c>
    </row>
    <row r="41" spans="1:3" ht="105" x14ac:dyDescent="0.25">
      <c r="A41" s="25" t="s">
        <v>133</v>
      </c>
      <c r="B41" s="26" t="s">
        <v>134</v>
      </c>
      <c r="C41" s="27" t="s">
        <v>135</v>
      </c>
    </row>
    <row r="42" spans="1:3" ht="105" x14ac:dyDescent="0.25">
      <c r="A42" s="25" t="s">
        <v>136</v>
      </c>
      <c r="B42" s="25" t="s">
        <v>137</v>
      </c>
      <c r="C42" s="27" t="s">
        <v>138</v>
      </c>
    </row>
    <row r="43" spans="1:3" ht="105" x14ac:dyDescent="0.25">
      <c r="A43" s="25" t="s">
        <v>139</v>
      </c>
      <c r="B43" s="26" t="s">
        <v>140</v>
      </c>
      <c r="C43" s="17" t="s">
        <v>141</v>
      </c>
    </row>
    <row r="45" spans="1:3" x14ac:dyDescent="0.25">
      <c r="A45" s="107" t="s">
        <v>142</v>
      </c>
      <c r="B45" s="107"/>
      <c r="C45" s="107"/>
    </row>
    <row r="47" spans="1:3" ht="75" x14ac:dyDescent="0.25">
      <c r="A47" s="25" t="s">
        <v>143</v>
      </c>
      <c r="B47" s="26" t="s">
        <v>144</v>
      </c>
      <c r="C47" s="27" t="s">
        <v>145</v>
      </c>
    </row>
    <row r="48" spans="1:3" ht="75" x14ac:dyDescent="0.25">
      <c r="A48" s="25" t="s">
        <v>146</v>
      </c>
      <c r="B48" s="26" t="s">
        <v>147</v>
      </c>
      <c r="C48" s="27" t="s">
        <v>148</v>
      </c>
    </row>
    <row r="49" spans="1:3" ht="105" x14ac:dyDescent="0.25">
      <c r="A49" s="25" t="s">
        <v>149</v>
      </c>
      <c r="B49" s="26" t="s">
        <v>150</v>
      </c>
      <c r="C49" s="27" t="s">
        <v>151</v>
      </c>
    </row>
    <row r="50" spans="1:3" x14ac:dyDescent="0.25">
      <c r="C50" s="27"/>
    </row>
    <row r="51" spans="1:3" x14ac:dyDescent="0.25">
      <c r="A51" s="28" t="s">
        <v>152</v>
      </c>
      <c r="B51" s="28"/>
      <c r="C51" s="27"/>
    </row>
    <row r="52" spans="1:3" x14ac:dyDescent="0.25">
      <c r="C52" s="29" t="s">
        <v>153</v>
      </c>
    </row>
    <row r="53" spans="1:3" x14ac:dyDescent="0.25">
      <c r="C53" s="27"/>
    </row>
    <row r="54" spans="1:3" x14ac:dyDescent="0.25">
      <c r="A54" s="107" t="s">
        <v>154</v>
      </c>
      <c r="B54" s="107"/>
      <c r="C54" s="107"/>
    </row>
    <row r="55" spans="1:3" x14ac:dyDescent="0.25">
      <c r="C55" s="27"/>
    </row>
    <row r="56" spans="1:3" ht="30" x14ac:dyDescent="0.25">
      <c r="A56" s="25" t="s">
        <v>155</v>
      </c>
      <c r="B56" s="26" t="s">
        <v>156</v>
      </c>
      <c r="C56" s="17" t="s">
        <v>157</v>
      </c>
    </row>
    <row r="57" spans="1:3" ht="75" x14ac:dyDescent="0.25">
      <c r="A57" s="25" t="s">
        <v>158</v>
      </c>
      <c r="B57" s="26" t="s">
        <v>159</v>
      </c>
      <c r="C57" s="17" t="s">
        <v>160</v>
      </c>
    </row>
    <row r="58" spans="1:3" ht="105" x14ac:dyDescent="0.25">
      <c r="A58" s="25" t="s">
        <v>161</v>
      </c>
      <c r="B58" s="26" t="s">
        <v>162</v>
      </c>
      <c r="C58" s="17" t="s">
        <v>163</v>
      </c>
    </row>
    <row r="59" spans="1:3" ht="75" x14ac:dyDescent="0.25">
      <c r="A59" s="25" t="s">
        <v>164</v>
      </c>
      <c r="B59" s="26" t="s">
        <v>165</v>
      </c>
      <c r="C59" s="17" t="s">
        <v>166</v>
      </c>
    </row>
    <row r="60" spans="1:3" ht="90" x14ac:dyDescent="0.25">
      <c r="A60" s="25" t="s">
        <v>167</v>
      </c>
      <c r="B60" s="26" t="s">
        <v>168</v>
      </c>
      <c r="C60" s="27" t="s">
        <v>169</v>
      </c>
    </row>
    <row r="61" spans="1:3" ht="105" x14ac:dyDescent="0.25">
      <c r="A61" s="25" t="s">
        <v>170</v>
      </c>
      <c r="B61" s="35" t="s">
        <v>171</v>
      </c>
      <c r="C61" s="27" t="s">
        <v>172</v>
      </c>
    </row>
    <row r="62" spans="1:3" ht="45" x14ac:dyDescent="0.25">
      <c r="A62" s="25" t="s">
        <v>11</v>
      </c>
      <c r="B62" s="25" t="s">
        <v>173</v>
      </c>
      <c r="C62" s="27" t="s">
        <v>174</v>
      </c>
    </row>
    <row r="63" spans="1:3" ht="105" x14ac:dyDescent="0.25">
      <c r="A63" s="25" t="s">
        <v>175</v>
      </c>
      <c r="B63" s="26" t="s">
        <v>176</v>
      </c>
      <c r="C63" s="17" t="s">
        <v>177</v>
      </c>
    </row>
    <row r="64" spans="1:3" ht="45" x14ac:dyDescent="0.25">
      <c r="A64" s="25" t="s">
        <v>106</v>
      </c>
      <c r="B64" s="26" t="s">
        <v>107</v>
      </c>
      <c r="C64" s="17" t="s">
        <v>115</v>
      </c>
    </row>
    <row r="66" spans="1:3" ht="75" x14ac:dyDescent="0.25">
      <c r="A66" s="25" t="s">
        <v>103</v>
      </c>
      <c r="B66" s="26" t="s">
        <v>104</v>
      </c>
      <c r="C66" s="17" t="s">
        <v>105</v>
      </c>
    </row>
    <row r="67" spans="1:3" ht="30" x14ac:dyDescent="0.25">
      <c r="A67" s="25" t="s">
        <v>178</v>
      </c>
      <c r="B67" s="26" t="s">
        <v>179</v>
      </c>
      <c r="C67" s="17" t="s">
        <v>180</v>
      </c>
    </row>
    <row r="68" spans="1:3" ht="120" x14ac:dyDescent="0.25">
      <c r="A68" s="25" t="s">
        <v>181</v>
      </c>
      <c r="B68" s="26" t="s">
        <v>182</v>
      </c>
      <c r="C68" s="27" t="s">
        <v>183</v>
      </c>
    </row>
    <row r="69" spans="1:3" ht="75" x14ac:dyDescent="0.25">
      <c r="A69" s="25" t="s">
        <v>184</v>
      </c>
      <c r="C69" s="17" t="s">
        <v>185</v>
      </c>
    </row>
    <row r="70" spans="1:3" ht="75" x14ac:dyDescent="0.25">
      <c r="A70" s="25" t="s">
        <v>186</v>
      </c>
      <c r="B70" s="25" t="s">
        <v>187</v>
      </c>
      <c r="C70" s="27" t="s">
        <v>188</v>
      </c>
    </row>
    <row r="71" spans="1:3" ht="60" x14ac:dyDescent="0.25">
      <c r="A71" s="25" t="s">
        <v>189</v>
      </c>
      <c r="B71" s="25" t="s">
        <v>190</v>
      </c>
      <c r="C71" s="27" t="s">
        <v>191</v>
      </c>
    </row>
    <row r="72" spans="1:3" x14ac:dyDescent="0.25">
      <c r="C72" s="27"/>
    </row>
    <row r="73" spans="1:3" x14ac:dyDescent="0.25">
      <c r="A73" s="28" t="s">
        <v>192</v>
      </c>
      <c r="B73" s="28"/>
      <c r="C73" s="27"/>
    </row>
    <row r="74" spans="1:3" x14ac:dyDescent="0.25">
      <c r="C74" s="29" t="s">
        <v>95</v>
      </c>
    </row>
    <row r="75" spans="1:3" x14ac:dyDescent="0.25">
      <c r="C75" s="27"/>
    </row>
    <row r="76" spans="1:3" x14ac:dyDescent="0.25">
      <c r="A76" s="107" t="s">
        <v>193</v>
      </c>
      <c r="B76" s="107"/>
      <c r="C76" s="107"/>
    </row>
    <row r="78" spans="1:3" ht="75" x14ac:dyDescent="0.25">
      <c r="A78" s="25" t="s">
        <v>97</v>
      </c>
      <c r="B78" s="26" t="s">
        <v>98</v>
      </c>
      <c r="C78" s="17" t="s">
        <v>99</v>
      </c>
    </row>
    <row r="79" spans="1:3" ht="30" x14ac:dyDescent="0.25">
      <c r="A79" s="25" t="s">
        <v>194</v>
      </c>
      <c r="B79" s="26" t="s">
        <v>195</v>
      </c>
      <c r="C79" s="17" t="s">
        <v>196</v>
      </c>
    </row>
    <row r="80" spans="1:3" ht="30" x14ac:dyDescent="0.25">
      <c r="A80" s="25" t="s">
        <v>197</v>
      </c>
      <c r="B80" s="25" t="s">
        <v>198</v>
      </c>
      <c r="C80" s="17" t="s">
        <v>199</v>
      </c>
    </row>
    <row r="81" spans="1:3" ht="45" x14ac:dyDescent="0.25">
      <c r="A81" s="25" t="s">
        <v>200</v>
      </c>
      <c r="B81" s="26" t="s">
        <v>201</v>
      </c>
      <c r="C81" s="17" t="s">
        <v>202</v>
      </c>
    </row>
    <row r="82" spans="1:3" ht="90" x14ac:dyDescent="0.25">
      <c r="A82" s="25" t="s">
        <v>203</v>
      </c>
      <c r="B82" s="26" t="s">
        <v>107</v>
      </c>
      <c r="C82" s="17" t="s">
        <v>204</v>
      </c>
    </row>
    <row r="84" spans="1:3" x14ac:dyDescent="0.25">
      <c r="A84" s="28" t="s">
        <v>205</v>
      </c>
      <c r="B84" s="28"/>
      <c r="C84" s="27"/>
    </row>
    <row r="85" spans="1:3" x14ac:dyDescent="0.25">
      <c r="C85" s="29" t="s">
        <v>95</v>
      </c>
    </row>
    <row r="87" spans="1:3" x14ac:dyDescent="0.25">
      <c r="A87" s="107" t="s">
        <v>206</v>
      </c>
      <c r="B87" s="107"/>
      <c r="C87" s="107"/>
    </row>
    <row r="89" spans="1:3" ht="30" x14ac:dyDescent="0.25">
      <c r="A89" s="25" t="s">
        <v>207</v>
      </c>
      <c r="B89" s="35" t="s">
        <v>171</v>
      </c>
      <c r="C89" s="17" t="s">
        <v>208</v>
      </c>
    </row>
    <row r="90" spans="1:3" ht="90" x14ac:dyDescent="0.25">
      <c r="A90" s="25" t="s">
        <v>209</v>
      </c>
      <c r="B90" s="35" t="s">
        <v>171</v>
      </c>
      <c r="C90" s="17" t="s">
        <v>210</v>
      </c>
    </row>
    <row r="91" spans="1:3" ht="75" x14ac:dyDescent="0.25">
      <c r="A91" s="25" t="s">
        <v>211</v>
      </c>
      <c r="B91" s="26" t="s">
        <v>212</v>
      </c>
      <c r="C91" s="27" t="s">
        <v>213</v>
      </c>
    </row>
    <row r="92" spans="1:3" x14ac:dyDescent="0.25">
      <c r="C92" s="27"/>
    </row>
    <row r="93" spans="1:3" x14ac:dyDescent="0.25">
      <c r="A93" s="28" t="s">
        <v>214</v>
      </c>
      <c r="B93" s="28"/>
      <c r="C93" s="27"/>
    </row>
    <row r="94" spans="1:3" x14ac:dyDescent="0.25">
      <c r="C94" s="29" t="s">
        <v>215</v>
      </c>
    </row>
    <row r="96" spans="1:3" x14ac:dyDescent="0.25">
      <c r="A96" s="107" t="s">
        <v>216</v>
      </c>
      <c r="B96" s="107"/>
      <c r="C96" s="107"/>
    </row>
    <row r="98" spans="1:3" ht="90" x14ac:dyDescent="0.25">
      <c r="A98" s="25" t="s">
        <v>13</v>
      </c>
      <c r="B98" s="26" t="s">
        <v>72</v>
      </c>
      <c r="C98" s="17" t="s">
        <v>217</v>
      </c>
    </row>
    <row r="99" spans="1:3" ht="165" x14ac:dyDescent="0.25">
      <c r="A99" s="25" t="s">
        <v>12</v>
      </c>
      <c r="B99" s="26" t="s">
        <v>77</v>
      </c>
      <c r="C99" s="17" t="s">
        <v>218</v>
      </c>
    </row>
    <row r="100" spans="1:3" ht="90" x14ac:dyDescent="0.25">
      <c r="A100" s="25" t="s">
        <v>219</v>
      </c>
      <c r="B100" s="25" t="s">
        <v>89</v>
      </c>
      <c r="C100" s="17" t="s">
        <v>220</v>
      </c>
    </row>
    <row r="101" spans="1:3" ht="30" x14ac:dyDescent="0.25">
      <c r="A101" s="25" t="s">
        <v>221</v>
      </c>
      <c r="B101" s="25" t="s">
        <v>173</v>
      </c>
      <c r="C101" s="17" t="s">
        <v>222</v>
      </c>
    </row>
    <row r="102" spans="1:3" ht="75" x14ac:dyDescent="0.25">
      <c r="A102" s="25" t="s">
        <v>223</v>
      </c>
      <c r="B102" s="26" t="s">
        <v>224</v>
      </c>
      <c r="C102" s="17" t="s">
        <v>225</v>
      </c>
    </row>
    <row r="103" spans="1:3" ht="75" x14ac:dyDescent="0.25">
      <c r="A103" s="25" t="s">
        <v>226</v>
      </c>
      <c r="B103" s="26" t="s">
        <v>104</v>
      </c>
      <c r="C103" s="17" t="s">
        <v>227</v>
      </c>
    </row>
    <row r="104" spans="1:3" ht="30" x14ac:dyDescent="0.25">
      <c r="A104" s="25" t="s">
        <v>228</v>
      </c>
      <c r="B104" s="25" t="s">
        <v>229</v>
      </c>
      <c r="C104" s="17" t="s">
        <v>230</v>
      </c>
    </row>
    <row r="106" spans="1:3" x14ac:dyDescent="0.25">
      <c r="A106" s="107" t="s">
        <v>231</v>
      </c>
      <c r="B106" s="107"/>
      <c r="C106" s="107"/>
    </row>
    <row r="108" spans="1:3" ht="60" x14ac:dyDescent="0.25">
      <c r="A108" s="25" t="s">
        <v>232</v>
      </c>
      <c r="B108" s="26" t="s">
        <v>233</v>
      </c>
      <c r="C108" s="17" t="s">
        <v>234</v>
      </c>
    </row>
    <row r="109" spans="1:3" ht="105" x14ac:dyDescent="0.25">
      <c r="A109" s="25" t="s">
        <v>235</v>
      </c>
      <c r="B109" s="25" t="s">
        <v>173</v>
      </c>
      <c r="C109" s="17" t="s">
        <v>287</v>
      </c>
    </row>
    <row r="110" spans="1:3" ht="30" x14ac:dyDescent="0.25">
      <c r="A110" s="25" t="s">
        <v>236</v>
      </c>
      <c r="B110" s="25" t="s">
        <v>237</v>
      </c>
      <c r="C110" s="17" t="s">
        <v>238</v>
      </c>
    </row>
    <row r="111" spans="1:3" ht="75" x14ac:dyDescent="0.25">
      <c r="A111" s="25" t="s">
        <v>239</v>
      </c>
      <c r="B111" s="25" t="s">
        <v>240</v>
      </c>
      <c r="C111" s="27" t="s">
        <v>241</v>
      </c>
    </row>
    <row r="112" spans="1:3" ht="75" x14ac:dyDescent="0.25">
      <c r="A112" s="25" t="s">
        <v>242</v>
      </c>
      <c r="B112" s="26" t="s">
        <v>243</v>
      </c>
      <c r="C112" s="27" t="s">
        <v>244</v>
      </c>
    </row>
    <row r="113" spans="1:3" ht="60" x14ac:dyDescent="0.25">
      <c r="A113" s="25" t="s">
        <v>245</v>
      </c>
      <c r="B113" s="26" t="s">
        <v>246</v>
      </c>
      <c r="C113" s="17" t="s">
        <v>247</v>
      </c>
    </row>
    <row r="114" spans="1:3" ht="135" x14ac:dyDescent="0.25">
      <c r="A114" s="26" t="s">
        <v>248</v>
      </c>
      <c r="B114" s="26"/>
      <c r="C114" s="17" t="s">
        <v>249</v>
      </c>
    </row>
    <row r="116" spans="1:3" x14ac:dyDescent="0.25">
      <c r="A116" s="28" t="s">
        <v>288</v>
      </c>
    </row>
  </sheetData>
  <mergeCells count="11">
    <mergeCell ref="A45:C45"/>
    <mergeCell ref="A1:C1"/>
    <mergeCell ref="A2:C2"/>
    <mergeCell ref="A5:C5"/>
    <mergeCell ref="A19:C19"/>
    <mergeCell ref="A35:C35"/>
    <mergeCell ref="A54:C54"/>
    <mergeCell ref="A76:C76"/>
    <mergeCell ref="A87:C87"/>
    <mergeCell ref="A96:C96"/>
    <mergeCell ref="A106:C106"/>
  </mergeCells>
  <hyperlinks>
    <hyperlink ref="C17" r:id="rId1" xr:uid="{00000000-0004-0000-0100-000000000000}"/>
    <hyperlink ref="C33" r:id="rId2" xr:uid="{00000000-0004-0000-0100-000001000000}"/>
    <hyperlink ref="C52" r:id="rId3" xr:uid="{00000000-0004-0000-0100-000002000000}"/>
    <hyperlink ref="C74" r:id="rId4" xr:uid="{00000000-0004-0000-0100-000003000000}"/>
    <hyperlink ref="C85" r:id="rId5" xr:uid="{00000000-0004-0000-0100-000004000000}"/>
    <hyperlink ref="C94" r:id="rId6" xr:uid="{00000000-0004-0000-0100-000005000000}"/>
    <hyperlink ref="C38" r:id="rId7" xr:uid="{00000000-0004-0000-0100-000006000000}"/>
  </hyperlinks>
  <printOptions gridLines="1"/>
  <pageMargins left="0.7" right="0.7" top="0.75" bottom="0.75" header="0.3" footer="0.3"/>
  <pageSetup paperSize="9" orientation="landscape"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Y59"/>
  <sheetViews>
    <sheetView workbookViewId="0">
      <pane ySplit="2" topLeftCell="A19" activePane="bottomLeft" state="frozen"/>
      <selection activeCell="H103" sqref="H103"/>
      <selection pane="bottomLeft" activeCell="M17" sqref="M17"/>
    </sheetView>
  </sheetViews>
  <sheetFormatPr defaultRowHeight="15" x14ac:dyDescent="0.25"/>
  <cols>
    <col min="1" max="1" width="33.42578125" style="4" customWidth="1"/>
    <col min="2" max="2" width="7.7109375" style="4" bestFit="1" customWidth="1"/>
    <col min="3" max="8" width="7.42578125" style="4" bestFit="1" customWidth="1"/>
    <col min="9" max="11" width="9" style="4" bestFit="1" customWidth="1"/>
    <col min="12" max="12" width="18.28515625" style="4" customWidth="1"/>
    <col min="13" max="13" width="11" style="4" customWidth="1"/>
    <col min="14" max="14" width="12.5703125" style="4" bestFit="1" customWidth="1"/>
    <col min="15" max="15" width="8" style="4" customWidth="1"/>
    <col min="16" max="16" width="5.85546875" style="4" bestFit="1" customWidth="1"/>
    <col min="17" max="17" width="7" style="4" bestFit="1" customWidth="1"/>
    <col min="18" max="18" width="6" style="4" bestFit="1" customWidth="1"/>
    <col min="19" max="19" width="7.7109375" style="4" bestFit="1" customWidth="1"/>
    <col min="20" max="16384" width="9.140625" style="4"/>
  </cols>
  <sheetData>
    <row r="1" spans="1:25" x14ac:dyDescent="0.25">
      <c r="A1" s="5" t="s">
        <v>269</v>
      </c>
      <c r="D1" s="40" t="s">
        <v>36</v>
      </c>
      <c r="L1" s="41">
        <f>+'Data Sheet'!K41</f>
        <v>44742</v>
      </c>
      <c r="M1" s="4" t="s">
        <v>270</v>
      </c>
      <c r="Q1" s="42"/>
      <c r="R1" s="43"/>
    </row>
    <row r="2" spans="1:25" s="5" customFormat="1" ht="30" x14ac:dyDescent="0.25">
      <c r="A2" s="44" t="s">
        <v>1</v>
      </c>
      <c r="B2" s="45">
        <f>+'Data Sheet'!B16</f>
        <v>40999</v>
      </c>
      <c r="C2" s="45">
        <f>+'Data Sheet'!C16</f>
        <v>41364</v>
      </c>
      <c r="D2" s="45">
        <f>+'Data Sheet'!D16</f>
        <v>42094</v>
      </c>
      <c r="E2" s="45">
        <f>+'Data Sheet'!E16</f>
        <v>42460</v>
      </c>
      <c r="F2" s="45">
        <f>+'Data Sheet'!F16</f>
        <v>42825</v>
      </c>
      <c r="G2" s="45">
        <f>+'Data Sheet'!G16</f>
        <v>43190</v>
      </c>
      <c r="H2" s="45">
        <f>+'Data Sheet'!H16</f>
        <v>43555</v>
      </c>
      <c r="I2" s="45">
        <f>+'Data Sheet'!I16</f>
        <v>43921</v>
      </c>
      <c r="J2" s="45">
        <f>+'Data Sheet'!J16</f>
        <v>44286</v>
      </c>
      <c r="K2" s="45">
        <f>+'Data Sheet'!K16</f>
        <v>44651</v>
      </c>
      <c r="L2" s="46" t="s">
        <v>271</v>
      </c>
      <c r="M2" s="46" t="s">
        <v>285</v>
      </c>
      <c r="N2" s="47" t="s">
        <v>272</v>
      </c>
      <c r="O2" s="48" t="s">
        <v>273</v>
      </c>
      <c r="P2" s="48" t="s">
        <v>274</v>
      </c>
      <c r="Q2" s="48" t="s">
        <v>275</v>
      </c>
      <c r="R2" s="48" t="s">
        <v>276</v>
      </c>
      <c r="S2" s="48" t="s">
        <v>277</v>
      </c>
    </row>
    <row r="3" spans="1:25" s="5" customFormat="1" x14ac:dyDescent="0.25">
      <c r="A3" s="4" t="s">
        <v>2</v>
      </c>
      <c r="B3" s="49">
        <f>+'Data Sheet'!B17</f>
        <v>955.7</v>
      </c>
      <c r="C3" s="49">
        <f>+'Data Sheet'!C17</f>
        <v>1076.3599999999999</v>
      </c>
      <c r="D3" s="49">
        <f>+'Data Sheet'!D17</f>
        <v>2840.82</v>
      </c>
      <c r="E3" s="49">
        <f>+'Data Sheet'!E17</f>
        <v>4078.76</v>
      </c>
      <c r="F3" s="49">
        <f>+'Data Sheet'!F17</f>
        <v>4886.62</v>
      </c>
      <c r="G3" s="49">
        <f>+'Data Sheet'!G17</f>
        <v>4587.6000000000004</v>
      </c>
      <c r="H3" s="49">
        <f>+'Data Sheet'!H17</f>
        <v>3069.35</v>
      </c>
      <c r="I3" s="49">
        <f>+'Data Sheet'!I17</f>
        <v>3104.87</v>
      </c>
      <c r="J3" s="49">
        <f>+'Data Sheet'!J17</f>
        <v>1913.76</v>
      </c>
      <c r="K3" s="49">
        <f>+'Data Sheet'!K17</f>
        <v>2817.4</v>
      </c>
      <c r="L3" s="49">
        <f>IF(N59=TRUE,"",SUM('Data Sheet'!H42:K42))</f>
        <v>3383.6000000000004</v>
      </c>
      <c r="M3" s="50"/>
      <c r="N3" s="51" t="s">
        <v>13</v>
      </c>
      <c r="O3" s="52">
        <f>($K3/B3)^(1/9)-1</f>
        <v>0.12763788476817384</v>
      </c>
      <c r="P3" s="52">
        <f>($K3/D3)^(1/7)-1</f>
        <v>-1.1819108565666037E-3</v>
      </c>
      <c r="Q3" s="52">
        <f>($K3/F3)^(1/5)-1</f>
        <v>-0.10428883352519636</v>
      </c>
      <c r="R3" s="52">
        <f>($K3/H3)^(1/3)-1</f>
        <v>-2.8146733509246458E-2</v>
      </c>
      <c r="S3" s="52">
        <f>IF(N59=TRUE,"",L3/K3-1)</f>
        <v>0.20096542911904591</v>
      </c>
      <c r="T3" s="51"/>
      <c r="U3" s="51"/>
      <c r="V3" s="51"/>
      <c r="W3" s="51"/>
      <c r="X3" s="51"/>
      <c r="Y3" s="51"/>
    </row>
    <row r="4" spans="1:25" x14ac:dyDescent="0.25">
      <c r="A4" s="4" t="s">
        <v>4</v>
      </c>
      <c r="B4" s="53">
        <f>+'Data Sheet'!B17-'Data Sheet'!B18+'Data Sheet'!B19-SUM('Data Sheet'!B20:B24)</f>
        <v>-63.559999999999945</v>
      </c>
      <c r="C4" s="53">
        <f>+'Data Sheet'!C17-'Data Sheet'!C18+'Data Sheet'!C19-SUM('Data Sheet'!C20:C24)</f>
        <v>-11.630000000000166</v>
      </c>
      <c r="D4" s="53">
        <f>+'Data Sheet'!D17-'Data Sheet'!D18+'Data Sheet'!D19-SUM('Data Sheet'!D20:D24)</f>
        <v>276.81000000000017</v>
      </c>
      <c r="E4" s="53">
        <f>+'Data Sheet'!E17-'Data Sheet'!E18+'Data Sheet'!E19-SUM('Data Sheet'!E20:E24)</f>
        <v>515.12000000000035</v>
      </c>
      <c r="F4" s="53">
        <f>+'Data Sheet'!F17-'Data Sheet'!F18+'Data Sheet'!F19-SUM('Data Sheet'!F20:F24)</f>
        <v>569.38000000000011</v>
      </c>
      <c r="G4" s="53">
        <f>+'Data Sheet'!G17-'Data Sheet'!G18+'Data Sheet'!G19-SUM('Data Sheet'!G20:G24)</f>
        <v>668.94000000000028</v>
      </c>
      <c r="H4" s="53">
        <f>+'Data Sheet'!H17-'Data Sheet'!H18+'Data Sheet'!H19-SUM('Data Sheet'!H20:H24)</f>
        <v>623.03</v>
      </c>
      <c r="I4" s="53">
        <f>+'Data Sheet'!I17-'Data Sheet'!I18+'Data Sheet'!I19-SUM('Data Sheet'!I20:I24)</f>
        <v>756.29999999999961</v>
      </c>
      <c r="J4" s="53">
        <f>+'Data Sheet'!J17-'Data Sheet'!J18+'Data Sheet'!J19-SUM('Data Sheet'!J20:J24)</f>
        <v>345.52</v>
      </c>
      <c r="K4" s="53">
        <f>+'Data Sheet'!K17-'Data Sheet'!K18+'Data Sheet'!K19-SUM('Data Sheet'!K20:K24)</f>
        <v>727.3900000000001</v>
      </c>
      <c r="L4" s="53">
        <f>+IF(N59=TRUE,"",SUM('Data Sheet'!H50:K50))</f>
        <v>801.78</v>
      </c>
      <c r="M4" s="50"/>
      <c r="N4" s="51" t="s">
        <v>12</v>
      </c>
      <c r="O4" s="52">
        <f>SUM(B4:$K$4)/SUM(B3:$K$3)</f>
        <v>0.15025958670686959</v>
      </c>
      <c r="P4" s="52">
        <f>SUM(D4:$K$4)/SUM(D3:$K$3)</f>
        <v>0.16419870486952357</v>
      </c>
      <c r="Q4" s="52">
        <f>SUM(F4:$K$4)/SUM(F3:$K$3)</f>
        <v>0.18109089481638502</v>
      </c>
      <c r="R4" s="52">
        <f>SUM(H4:$K$4)/SUM(H3:$K$3)</f>
        <v>0.22486515829801437</v>
      </c>
      <c r="S4" s="54">
        <f>IF(N59=TRUE,"",L5)</f>
        <v>0.23696063364463882</v>
      </c>
      <c r="T4" s="55"/>
      <c r="U4" s="55"/>
      <c r="V4" s="55"/>
      <c r="W4" s="55"/>
      <c r="X4" s="55"/>
      <c r="Y4" s="55"/>
    </row>
    <row r="5" spans="1:25" s="5" customFormat="1" x14ac:dyDescent="0.25">
      <c r="A5" s="5" t="s">
        <v>278</v>
      </c>
      <c r="B5" s="56">
        <f t="shared" ref="B5:K5" si="0">IF(B4&gt;0,B4/B3,0)</f>
        <v>0</v>
      </c>
      <c r="C5" s="56">
        <f t="shared" si="0"/>
        <v>0</v>
      </c>
      <c r="D5" s="56">
        <f t="shared" si="0"/>
        <v>9.7440175723910755E-2</v>
      </c>
      <c r="E5" s="56">
        <f t="shared" si="0"/>
        <v>0.1262932852141338</v>
      </c>
      <c r="F5" s="56">
        <f t="shared" si="0"/>
        <v>0.11651816593064329</v>
      </c>
      <c r="G5" s="56">
        <f t="shared" si="0"/>
        <v>0.14581480512686376</v>
      </c>
      <c r="H5" s="56">
        <f t="shared" si="0"/>
        <v>0.2029843452196719</v>
      </c>
      <c r="I5" s="56">
        <f t="shared" si="0"/>
        <v>0.2435850776361006</v>
      </c>
      <c r="J5" s="56">
        <f t="shared" si="0"/>
        <v>0.18054510492433742</v>
      </c>
      <c r="K5" s="56">
        <f t="shared" si="0"/>
        <v>0.25817775253780084</v>
      </c>
      <c r="L5" s="56">
        <f>+IF(N59=TRUE,"",IF(L4&gt;0,L4/L3,0))</f>
        <v>0.23696063364463882</v>
      </c>
      <c r="M5" s="50"/>
      <c r="N5" s="51" t="s">
        <v>219</v>
      </c>
      <c r="O5" s="52">
        <f>($K13/B13)^(1/9)-1</f>
        <v>8.7512016083967969E-2</v>
      </c>
      <c r="P5" s="52">
        <f>($K13/D13)^(1/7)-1</f>
        <v>1.7237966782099878E-2</v>
      </c>
      <c r="Q5" s="52">
        <f>($K13/F13)^(1/5)-1</f>
        <v>-9.387280975310941E-3</v>
      </c>
      <c r="R5" s="52">
        <f>($K13/H13)^(1/3)-1</f>
        <v>5.7613774769643022E-2</v>
      </c>
      <c r="S5" s="52">
        <f>+IF(N59=TRUE,"",L13/K13-1)</f>
        <v>0.12163946231397027</v>
      </c>
      <c r="T5" s="51"/>
      <c r="U5" s="51"/>
      <c r="V5" s="51"/>
      <c r="W5" s="51"/>
      <c r="X5" s="51"/>
      <c r="Y5" s="51"/>
    </row>
    <row r="6" spans="1:25" s="5" customFormat="1" x14ac:dyDescent="0.25">
      <c r="A6" s="4" t="s">
        <v>5</v>
      </c>
      <c r="B6" s="53">
        <f>+'Data Sheet'!B25</f>
        <v>463.19</v>
      </c>
      <c r="C6" s="53">
        <f>+'Data Sheet'!C25</f>
        <v>463.78</v>
      </c>
      <c r="D6" s="53">
        <f>+'Data Sheet'!D25</f>
        <v>439.03</v>
      </c>
      <c r="E6" s="53">
        <f>+'Data Sheet'!E25</f>
        <v>384.76</v>
      </c>
      <c r="F6" s="53">
        <f>+'Data Sheet'!F25</f>
        <v>299.94</v>
      </c>
      <c r="G6" s="53">
        <f>+'Data Sheet'!G25</f>
        <v>172.56</v>
      </c>
      <c r="H6" s="53">
        <f>+'Data Sheet'!H25</f>
        <v>135.99</v>
      </c>
      <c r="I6" s="53">
        <f>+'Data Sheet'!I25</f>
        <v>88.05</v>
      </c>
      <c r="J6" s="53">
        <f>+'Data Sheet'!J25</f>
        <v>94.61</v>
      </c>
      <c r="K6" s="53">
        <f>+'Data Sheet'!K25</f>
        <v>77.63</v>
      </c>
      <c r="L6" s="53">
        <f>IF(N59=TRUE,"",+SUM('Data Sheet'!H44:K44))</f>
        <v>86.78</v>
      </c>
      <c r="M6" s="49"/>
      <c r="N6" s="51" t="s">
        <v>221</v>
      </c>
      <c r="O6" s="57">
        <f>AVERAGE(B35:$L35)</f>
        <v>7.6187293949380077</v>
      </c>
      <c r="P6" s="57">
        <f>AVERAGE(D35:$L35)</f>
        <v>9.5234117436725096</v>
      </c>
      <c r="Q6" s="57">
        <f>AVERAGE(F35:$L35)</f>
        <v>12.69788232489668</v>
      </c>
      <c r="R6" s="57">
        <f>AVERAGE(H35:$L35)</f>
        <v>15.605284861954503</v>
      </c>
      <c r="S6" s="57">
        <f>IF(N59=TRUE,"",O14)</f>
        <v>30.105523157312788</v>
      </c>
      <c r="T6" s="51"/>
      <c r="U6" s="51"/>
      <c r="V6" s="51"/>
      <c r="W6" s="51"/>
      <c r="X6" s="51"/>
      <c r="Y6" s="51"/>
    </row>
    <row r="7" spans="1:25" ht="15" hidden="1" customHeight="1" x14ac:dyDescent="0.25">
      <c r="A7" s="4" t="s">
        <v>279</v>
      </c>
      <c r="B7" s="53">
        <f t="shared" ref="B7:K7" si="1">+SUM(B4+B6)</f>
        <v>399.63000000000005</v>
      </c>
      <c r="C7" s="53">
        <f t="shared" si="1"/>
        <v>452.14999999999981</v>
      </c>
      <c r="D7" s="53">
        <f t="shared" si="1"/>
        <v>715.84000000000015</v>
      </c>
      <c r="E7" s="53">
        <f t="shared" si="1"/>
        <v>899.88000000000034</v>
      </c>
      <c r="F7" s="53">
        <f t="shared" si="1"/>
        <v>869.32000000000016</v>
      </c>
      <c r="G7" s="53">
        <f t="shared" si="1"/>
        <v>841.50000000000023</v>
      </c>
      <c r="H7" s="53">
        <f t="shared" si="1"/>
        <v>759.02</v>
      </c>
      <c r="I7" s="53">
        <f t="shared" si="1"/>
        <v>844.34999999999957</v>
      </c>
      <c r="J7" s="53">
        <f t="shared" si="1"/>
        <v>440.13</v>
      </c>
      <c r="K7" s="53">
        <f t="shared" si="1"/>
        <v>805.0200000000001</v>
      </c>
      <c r="L7" s="53">
        <f>++IF(N59=TRUE,"",SUM(L4+L6))</f>
        <v>888.56</v>
      </c>
      <c r="M7" s="49"/>
      <c r="T7" s="55"/>
      <c r="U7" s="55"/>
      <c r="V7" s="55"/>
      <c r="W7" s="55"/>
      <c r="X7" s="55"/>
      <c r="Y7" s="55"/>
    </row>
    <row r="8" spans="1:25" x14ac:dyDescent="0.25">
      <c r="A8" s="4" t="s">
        <v>7</v>
      </c>
      <c r="B8" s="53">
        <f>+'Data Sheet'!B27</f>
        <v>1.19</v>
      </c>
      <c r="C8" s="53">
        <f>+'Data Sheet'!C27</f>
        <v>1.3</v>
      </c>
      <c r="D8" s="53">
        <f>+'Data Sheet'!D27</f>
        <v>5.23</v>
      </c>
      <c r="E8" s="53">
        <f>+'Data Sheet'!E27</f>
        <v>5.39</v>
      </c>
      <c r="F8" s="53">
        <f>+'Data Sheet'!F27</f>
        <v>4.49</v>
      </c>
      <c r="G8" s="53">
        <f>+'Data Sheet'!G27</f>
        <v>4.2</v>
      </c>
      <c r="H8" s="53">
        <f>+'Data Sheet'!H27</f>
        <v>5.15</v>
      </c>
      <c r="I8" s="53">
        <f>+'Data Sheet'!I27</f>
        <v>5.46</v>
      </c>
      <c r="J8" s="53">
        <f>+'Data Sheet'!J27</f>
        <v>4.71</v>
      </c>
      <c r="K8" s="53">
        <f>+'Data Sheet'!K27</f>
        <v>4.75</v>
      </c>
      <c r="L8" s="53">
        <f>+IF(N59=TRUE,"",SUM('Data Sheet'!H46:K46))</f>
        <v>4.6199999999999992</v>
      </c>
      <c r="M8" s="49"/>
      <c r="N8" s="7"/>
      <c r="O8" s="58"/>
      <c r="P8" s="58"/>
      <c r="Q8" s="58"/>
      <c r="R8" s="58"/>
      <c r="S8" s="58"/>
      <c r="T8" s="55"/>
      <c r="U8" s="55"/>
      <c r="V8" s="55"/>
      <c r="W8" s="55"/>
      <c r="X8" s="55"/>
      <c r="Y8" s="55"/>
    </row>
    <row r="9" spans="1:25" ht="15" hidden="1" customHeight="1" x14ac:dyDescent="0.25">
      <c r="A9" s="11" t="s">
        <v>6</v>
      </c>
      <c r="B9" s="53">
        <f>+'Data Sheet'!B26</f>
        <v>50.25</v>
      </c>
      <c r="C9" s="53">
        <f>+'Data Sheet'!C26</f>
        <v>41.69</v>
      </c>
      <c r="D9" s="53">
        <f>+'Data Sheet'!D26</f>
        <v>66.680000000000007</v>
      </c>
      <c r="E9" s="53">
        <f>+'Data Sheet'!E26</f>
        <v>53.22</v>
      </c>
      <c r="F9" s="53">
        <f>+'Data Sheet'!F26</f>
        <v>62.02</v>
      </c>
      <c r="G9" s="53">
        <f>+'Data Sheet'!G26</f>
        <v>63.48</v>
      </c>
      <c r="H9" s="53">
        <f>+'Data Sheet'!H26</f>
        <v>82.5</v>
      </c>
      <c r="I9" s="53">
        <f>+'Data Sheet'!I26</f>
        <v>96.44</v>
      </c>
      <c r="J9" s="53">
        <f>+'Data Sheet'!J26</f>
        <v>94.54</v>
      </c>
      <c r="K9" s="53">
        <f>+'Data Sheet'!K26</f>
        <v>90.35</v>
      </c>
      <c r="L9" s="53">
        <f>IF(N59=TRUE,"",+SUM('Data Sheet'!H45:K45))</f>
        <v>92.51</v>
      </c>
      <c r="M9" s="49"/>
      <c r="N9" s="55"/>
      <c r="O9" s="55"/>
      <c r="P9" s="55"/>
      <c r="Q9" s="55"/>
      <c r="R9" s="55"/>
      <c r="S9" s="55"/>
      <c r="T9" s="55"/>
      <c r="U9" s="55"/>
      <c r="V9" s="55"/>
      <c r="W9" s="55"/>
      <c r="X9" s="55"/>
      <c r="Y9" s="55"/>
    </row>
    <row r="10" spans="1:25" x14ac:dyDescent="0.25">
      <c r="A10" s="4" t="s">
        <v>83</v>
      </c>
      <c r="B10" s="53">
        <f>+'Data Sheet'!B28</f>
        <v>348.19</v>
      </c>
      <c r="C10" s="53">
        <f>+'Data Sheet'!C28</f>
        <v>409.16</v>
      </c>
      <c r="D10" s="53">
        <f>+'Data Sheet'!D28</f>
        <v>643.92999999999995</v>
      </c>
      <c r="E10" s="53">
        <f>+'Data Sheet'!E28</f>
        <v>841.27</v>
      </c>
      <c r="F10" s="53">
        <f>+'Data Sheet'!F28</f>
        <v>802.81</v>
      </c>
      <c r="G10" s="53">
        <f>+'Data Sheet'!G28</f>
        <v>773.82</v>
      </c>
      <c r="H10" s="53">
        <f>+'Data Sheet'!H28</f>
        <v>671.37</v>
      </c>
      <c r="I10" s="53">
        <f>+'Data Sheet'!I28</f>
        <v>742.45</v>
      </c>
      <c r="J10" s="53">
        <f>+'Data Sheet'!J28</f>
        <v>340.88</v>
      </c>
      <c r="K10" s="53">
        <f>+'Data Sheet'!K28</f>
        <v>709.92</v>
      </c>
      <c r="L10" s="59">
        <f>IF(N59=TRUE,"",+SUM('Data Sheet'!H47:K47))</f>
        <v>791.43</v>
      </c>
      <c r="M10" s="49"/>
      <c r="T10" s="55"/>
      <c r="U10" s="55"/>
      <c r="V10" s="55"/>
      <c r="W10" s="55"/>
      <c r="X10" s="55"/>
      <c r="Y10" s="55"/>
    </row>
    <row r="11" spans="1:25" hidden="1" x14ac:dyDescent="0.25">
      <c r="A11" s="4" t="s">
        <v>9</v>
      </c>
      <c r="B11" s="53">
        <f>+'Data Sheet'!B29</f>
        <v>113.23</v>
      </c>
      <c r="C11" s="53">
        <f>+'Data Sheet'!C29</f>
        <v>130.36000000000001</v>
      </c>
      <c r="D11" s="53">
        <f>+'Data Sheet'!D29</f>
        <v>200.38</v>
      </c>
      <c r="E11" s="53">
        <f>+'Data Sheet'!E29</f>
        <v>279.2</v>
      </c>
      <c r="F11" s="53">
        <f>+'Data Sheet'!F29</f>
        <v>278.75</v>
      </c>
      <c r="G11" s="53">
        <f>+'Data Sheet'!G29</f>
        <v>245.68</v>
      </c>
      <c r="H11" s="53">
        <f>+'Data Sheet'!H29</f>
        <v>248.78</v>
      </c>
      <c r="I11" s="53">
        <f>+'Data Sheet'!I29</f>
        <v>207.55</v>
      </c>
      <c r="J11" s="53">
        <f>+'Data Sheet'!J29</f>
        <v>83.11</v>
      </c>
      <c r="K11" s="53">
        <f>+'Data Sheet'!K29</f>
        <v>209.99</v>
      </c>
      <c r="L11" s="53">
        <f>IF(N59=TRUE,"",+SUM('Data Sheet'!H48:K48))</f>
        <v>230.7</v>
      </c>
      <c r="M11" s="49"/>
      <c r="T11" s="55"/>
      <c r="U11" s="55"/>
      <c r="V11" s="55"/>
      <c r="W11" s="55"/>
      <c r="X11" s="55"/>
      <c r="Y11" s="55"/>
    </row>
    <row r="12" spans="1:25" x14ac:dyDescent="0.25">
      <c r="A12" s="4" t="s">
        <v>85</v>
      </c>
      <c r="B12" s="52">
        <f t="shared" ref="B12:K12" si="2">B11/B10</f>
        <v>0.32519601367069706</v>
      </c>
      <c r="C12" s="52">
        <f t="shared" si="2"/>
        <v>0.31860396910743966</v>
      </c>
      <c r="D12" s="52">
        <f t="shared" si="2"/>
        <v>0.31118289255043252</v>
      </c>
      <c r="E12" s="52">
        <f t="shared" si="2"/>
        <v>0.33187918266430516</v>
      </c>
      <c r="F12" s="52">
        <f t="shared" si="2"/>
        <v>0.34721789713630874</v>
      </c>
      <c r="G12" s="52">
        <f t="shared" si="2"/>
        <v>0.31748985552195602</v>
      </c>
      <c r="H12" s="52">
        <f t="shared" si="2"/>
        <v>0.37055572932957981</v>
      </c>
      <c r="I12" s="52">
        <f t="shared" si="2"/>
        <v>0.27954744427234157</v>
      </c>
      <c r="J12" s="52">
        <f t="shared" si="2"/>
        <v>0.24381013846514904</v>
      </c>
      <c r="K12" s="52">
        <f t="shared" si="2"/>
        <v>0.29579389226955155</v>
      </c>
      <c r="L12" s="52">
        <f>+IF(N59=TRUE,"",L11/L10)</f>
        <v>0.29149766877677119</v>
      </c>
      <c r="M12" s="49"/>
      <c r="T12" s="55"/>
      <c r="U12" s="55"/>
      <c r="V12" s="55"/>
      <c r="W12" s="55"/>
      <c r="X12" s="55"/>
      <c r="Y12" s="55"/>
    </row>
    <row r="13" spans="1:25" x14ac:dyDescent="0.25">
      <c r="A13" s="4" t="s">
        <v>88</v>
      </c>
      <c r="B13" s="49">
        <f>+'Data Sheet'!B30</f>
        <v>234.96</v>
      </c>
      <c r="C13" s="49">
        <f>+'Data Sheet'!C30</f>
        <v>278.79000000000002</v>
      </c>
      <c r="D13" s="49">
        <f>+'Data Sheet'!D30</f>
        <v>443.55</v>
      </c>
      <c r="E13" s="49">
        <f>+'Data Sheet'!E30</f>
        <v>562.07000000000005</v>
      </c>
      <c r="F13" s="49">
        <f>+'Data Sheet'!F30</f>
        <v>524.05999999999995</v>
      </c>
      <c r="G13" s="49">
        <f>+'Data Sheet'!G30</f>
        <v>528.15</v>
      </c>
      <c r="H13" s="49">
        <f>+'Data Sheet'!H30</f>
        <v>422.59</v>
      </c>
      <c r="I13" s="49">
        <f>+'Data Sheet'!I30</f>
        <v>534.9</v>
      </c>
      <c r="J13" s="49">
        <f>+'Data Sheet'!J30</f>
        <v>257.77</v>
      </c>
      <c r="K13" s="49">
        <f>+'Data Sheet'!K30</f>
        <v>499.92</v>
      </c>
      <c r="L13" s="49">
        <f>IF(N59=TRUE,"",+SUM('Data Sheet'!H49:K49))</f>
        <v>560.73</v>
      </c>
      <c r="M13" s="50">
        <f>SUM(B13:K13)</f>
        <v>4286.76</v>
      </c>
      <c r="N13" s="53" t="s">
        <v>232</v>
      </c>
      <c r="O13" s="49">
        <f>+'Data Sheet'!B8</f>
        <v>921.6</v>
      </c>
      <c r="S13" s="5"/>
      <c r="T13" s="55"/>
      <c r="U13" s="55"/>
      <c r="V13" s="55"/>
      <c r="W13" s="55"/>
      <c r="X13" s="55"/>
      <c r="Y13" s="55"/>
    </row>
    <row r="14" spans="1:25" x14ac:dyDescent="0.25">
      <c r="A14" s="5" t="s">
        <v>91</v>
      </c>
      <c r="B14" s="7">
        <f t="shared" ref="B14:K14" si="3">B13/B3</f>
        <v>0.24585120853824421</v>
      </c>
      <c r="C14" s="56">
        <f t="shared" si="3"/>
        <v>0.25901185476977967</v>
      </c>
      <c r="D14" s="56">
        <f t="shared" si="3"/>
        <v>0.15613449637780641</v>
      </c>
      <c r="E14" s="56">
        <f t="shared" si="3"/>
        <v>0.1378041365513048</v>
      </c>
      <c r="F14" s="56">
        <f t="shared" si="3"/>
        <v>0.10724386181041291</v>
      </c>
      <c r="G14" s="56">
        <f t="shared" si="3"/>
        <v>0.11512555584619408</v>
      </c>
      <c r="H14" s="56">
        <f t="shared" si="3"/>
        <v>0.13768061641715673</v>
      </c>
      <c r="I14" s="56">
        <f t="shared" si="3"/>
        <v>0.17227774431779752</v>
      </c>
      <c r="J14" s="56">
        <f t="shared" si="3"/>
        <v>0.13469296045481147</v>
      </c>
      <c r="K14" s="56">
        <f t="shared" si="3"/>
        <v>0.17744019308582382</v>
      </c>
      <c r="L14" s="56">
        <f>+IF(N59=TRUE,"",L13/L3)</f>
        <v>0.16571994325570397</v>
      </c>
      <c r="M14" s="60"/>
      <c r="N14" s="5" t="s">
        <v>235</v>
      </c>
      <c r="O14" s="61">
        <f>IF(N59=TRUE,L36/K13,L36/L13)</f>
        <v>30.105523157312788</v>
      </c>
      <c r="S14" s="5"/>
      <c r="T14" s="55"/>
      <c r="U14" s="55"/>
      <c r="V14" s="55"/>
      <c r="W14" s="55"/>
      <c r="X14" s="55"/>
      <c r="Y14" s="55"/>
    </row>
    <row r="15" spans="1:25" x14ac:dyDescent="0.25">
      <c r="A15" s="4" t="str">
        <f t="shared" ref="A15:K15" si="4">+A47</f>
        <v>Cash from Operating Activity (CFO)</v>
      </c>
      <c r="B15" s="49">
        <f t="shared" si="4"/>
        <v>0</v>
      </c>
      <c r="C15" s="49">
        <f t="shared" si="4"/>
        <v>0</v>
      </c>
      <c r="D15" s="49">
        <f t="shared" si="4"/>
        <v>-764.7</v>
      </c>
      <c r="E15" s="49">
        <f t="shared" si="4"/>
        <v>284.27999999999997</v>
      </c>
      <c r="F15" s="49">
        <f t="shared" si="4"/>
        <v>-419.89</v>
      </c>
      <c r="G15" s="49">
        <f t="shared" si="4"/>
        <v>-341.5</v>
      </c>
      <c r="H15" s="49">
        <f t="shared" si="4"/>
        <v>83.52</v>
      </c>
      <c r="I15" s="49">
        <f t="shared" si="4"/>
        <v>504.22</v>
      </c>
      <c r="J15" s="49">
        <f t="shared" si="4"/>
        <v>1068.01</v>
      </c>
      <c r="K15" s="49">
        <f t="shared" si="4"/>
        <v>529.66</v>
      </c>
      <c r="L15" s="5"/>
      <c r="M15" s="50">
        <f>SUM(B15:K15)</f>
        <v>943.6</v>
      </c>
      <c r="N15" s="62" t="s">
        <v>236</v>
      </c>
      <c r="O15" s="63">
        <f>+'Data Sheet'!B9/SUM('Data Sheet'!K57:K58)</f>
        <v>5.5702807401932306</v>
      </c>
      <c r="S15" s="5"/>
      <c r="T15" s="55"/>
      <c r="U15" s="55"/>
      <c r="V15" s="55"/>
      <c r="W15" s="55"/>
      <c r="X15" s="55"/>
      <c r="Y15" s="55"/>
    </row>
    <row r="16" spans="1:25" x14ac:dyDescent="0.25">
      <c r="A16" s="4" t="s">
        <v>100</v>
      </c>
      <c r="B16" s="49"/>
      <c r="C16" s="49">
        <f>+'Data Sheet'!C62+'Data Sheet'!C63-'Data Sheet'!B62-'Data Sheet'!B63+'Data Sheet'!C26</f>
        <v>130.64000000000004</v>
      </c>
      <c r="D16" s="49">
        <f>+'Data Sheet'!D62+'Data Sheet'!D63-'Data Sheet'!C62-'Data Sheet'!C63+'Data Sheet'!D26</f>
        <v>380.56</v>
      </c>
      <c r="E16" s="49">
        <f>+'Data Sheet'!E62+'Data Sheet'!E63-'Data Sheet'!D62-'Data Sheet'!D63+'Data Sheet'!E26</f>
        <v>216.22999999999996</v>
      </c>
      <c r="F16" s="49">
        <f>+'Data Sheet'!F62+'Data Sheet'!F63-'Data Sheet'!E62-'Data Sheet'!E63+'Data Sheet'!F26</f>
        <v>132.05000000000001</v>
      </c>
      <c r="G16" s="49">
        <f>+'Data Sheet'!G62+'Data Sheet'!G63-'Data Sheet'!F62-'Data Sheet'!F63+'Data Sheet'!G26</f>
        <v>168.69000000000003</v>
      </c>
      <c r="H16" s="49">
        <f>+'Data Sheet'!H62+'Data Sheet'!H63-'Data Sheet'!G62-'Data Sheet'!G63+'Data Sheet'!H26</f>
        <v>88.28</v>
      </c>
      <c r="I16" s="49">
        <f>+'Data Sheet'!I62+'Data Sheet'!I63-'Data Sheet'!H62-'Data Sheet'!H63+'Data Sheet'!I26</f>
        <v>66.870000000000033</v>
      </c>
      <c r="J16" s="49">
        <f>+'Data Sheet'!J62+'Data Sheet'!J63-'Data Sheet'!I62-'Data Sheet'!I63+'Data Sheet'!J26</f>
        <v>56.600000000000009</v>
      </c>
      <c r="K16" s="49">
        <f>+'Data Sheet'!K62+'Data Sheet'!K63-'Data Sheet'!J62-'Data Sheet'!J63+'Data Sheet'!K26</f>
        <v>68.440000000000026</v>
      </c>
      <c r="L16" s="5"/>
      <c r="M16" s="50">
        <f>SUM(B16:K16)</f>
        <v>1308.3600000000001</v>
      </c>
      <c r="N16" s="53" t="s">
        <v>239</v>
      </c>
      <c r="O16" s="63">
        <f>O14*O15</f>
        <v>167.69621581662074</v>
      </c>
      <c r="S16" s="52"/>
      <c r="T16" s="55"/>
      <c r="U16" s="55"/>
      <c r="V16" s="55"/>
      <c r="W16" s="55"/>
      <c r="X16" s="55"/>
      <c r="Y16" s="55"/>
    </row>
    <row r="17" spans="1:25" s="56" customFormat="1" x14ac:dyDescent="0.25">
      <c r="A17" s="5" t="str">
        <f t="shared" ref="A17:K17" si="5">A39</f>
        <v>Total Debt (D)</v>
      </c>
      <c r="B17" s="64">
        <f t="shared" si="5"/>
        <v>0</v>
      </c>
      <c r="C17" s="60">
        <f t="shared" si="5"/>
        <v>0</v>
      </c>
      <c r="D17" s="60">
        <f t="shared" si="5"/>
        <v>0</v>
      </c>
      <c r="E17" s="60">
        <f t="shared" si="5"/>
        <v>3.71</v>
      </c>
      <c r="F17" s="60">
        <f t="shared" si="5"/>
        <v>3.58</v>
      </c>
      <c r="G17" s="60">
        <f t="shared" si="5"/>
        <v>3.69</v>
      </c>
      <c r="H17" s="60">
        <f t="shared" si="5"/>
        <v>5.39</v>
      </c>
      <c r="I17" s="60">
        <f t="shared" si="5"/>
        <v>14.51</v>
      </c>
      <c r="J17" s="60">
        <f t="shared" si="5"/>
        <v>11.29</v>
      </c>
      <c r="K17" s="60">
        <f t="shared" si="5"/>
        <v>10.11</v>
      </c>
      <c r="L17" s="65" t="s">
        <v>280</v>
      </c>
      <c r="M17" s="66">
        <f>+M15-M16</f>
        <v>-364.7600000000001</v>
      </c>
      <c r="N17" s="4" t="s">
        <v>242</v>
      </c>
      <c r="O17" s="67">
        <f>K32/L36</f>
        <v>9.0112771287602037E-3</v>
      </c>
    </row>
    <row r="18" spans="1:25" x14ac:dyDescent="0.25">
      <c r="A18" s="4" t="str">
        <f t="shared" ref="A18:K18" si="6">+A37</f>
        <v>Cash + Investments (CI +NCI)</v>
      </c>
      <c r="B18" s="53">
        <f t="shared" si="6"/>
        <v>4295.62</v>
      </c>
      <c r="C18" s="53">
        <f t="shared" si="6"/>
        <v>3962.8</v>
      </c>
      <c r="D18" s="53">
        <f t="shared" si="6"/>
        <v>3671.85</v>
      </c>
      <c r="E18" s="53">
        <f t="shared" si="6"/>
        <v>3245.4399999999996</v>
      </c>
      <c r="F18" s="53">
        <f t="shared" si="6"/>
        <v>1740.96</v>
      </c>
      <c r="G18" s="53">
        <f t="shared" si="6"/>
        <v>595.78</v>
      </c>
      <c r="H18" s="53">
        <f t="shared" si="6"/>
        <v>375.04</v>
      </c>
      <c r="I18" s="53">
        <f t="shared" si="6"/>
        <v>667.39</v>
      </c>
      <c r="J18" s="53">
        <f t="shared" si="6"/>
        <v>1565.47</v>
      </c>
      <c r="K18" s="53">
        <f t="shared" si="6"/>
        <v>1899.53</v>
      </c>
      <c r="L18" s="65" t="s">
        <v>112</v>
      </c>
      <c r="M18" s="68">
        <f>+SUM(B32:K32)</f>
        <v>1223.06</v>
      </c>
      <c r="N18" s="4" t="s">
        <v>245</v>
      </c>
      <c r="O18" s="55">
        <f>+'Data Sheet'!B9</f>
        <v>16881.07</v>
      </c>
      <c r="S18" s="55"/>
      <c r="T18" s="55"/>
      <c r="U18" s="55"/>
      <c r="V18" s="55"/>
      <c r="W18" s="55"/>
      <c r="X18" s="55"/>
      <c r="Y18" s="55"/>
    </row>
    <row r="19" spans="1:25" x14ac:dyDescent="0.25">
      <c r="L19" s="7" t="s">
        <v>114</v>
      </c>
      <c r="M19" s="66">
        <f>+K37</f>
        <v>1899.53</v>
      </c>
      <c r="T19" s="51"/>
      <c r="U19" s="51"/>
      <c r="V19" s="55"/>
      <c r="W19" s="55"/>
      <c r="X19" s="55"/>
      <c r="Y19" s="55"/>
    </row>
    <row r="20" spans="1:25" s="5" customFormat="1" x14ac:dyDescent="0.25">
      <c r="A20" s="5" t="s">
        <v>126</v>
      </c>
      <c r="D20" s="7"/>
      <c r="E20" s="7">
        <f t="shared" ref="E20:K20" si="7">((1-AVERAGE(C59:E59))+AVERAGE(C26:E26)*AVERAGE(C14:E14)*(1-AVERAGE(C33:E33)))-1</f>
        <v>0.74378958217966984</v>
      </c>
      <c r="F20" s="7">
        <f t="shared" si="7"/>
        <v>0.58074979958186779</v>
      </c>
      <c r="G20" s="7">
        <f t="shared" si="7"/>
        <v>0.4693143589345814</v>
      </c>
      <c r="H20" s="7">
        <f t="shared" si="7"/>
        <v>0.36995013523323861</v>
      </c>
      <c r="I20" s="7">
        <f t="shared" si="7"/>
        <v>0.32767216800263066</v>
      </c>
      <c r="J20" s="7">
        <f t="shared" si="7"/>
        <v>0.17176232604468966</v>
      </c>
      <c r="K20" s="7">
        <f t="shared" si="7"/>
        <v>0.18231984707443516</v>
      </c>
      <c r="L20" s="55"/>
      <c r="M20" s="55"/>
      <c r="N20" s="53">
        <f>SUM(B34:K34)</f>
        <v>3063.7000000000007</v>
      </c>
      <c r="O20" s="4" t="s">
        <v>207</v>
      </c>
      <c r="P20" s="55"/>
      <c r="T20" s="51"/>
      <c r="U20" s="51"/>
      <c r="V20" s="51"/>
      <c r="W20" s="51"/>
      <c r="X20" s="51"/>
      <c r="Y20" s="51"/>
    </row>
    <row r="21" spans="1:25" s="5" customFormat="1" x14ac:dyDescent="0.25">
      <c r="A21" s="11" t="s">
        <v>130</v>
      </c>
      <c r="B21" s="52"/>
      <c r="C21" s="52">
        <f t="shared" ref="C21:K21" si="8">C10/(AVERAGE(B29:C29))</f>
        <v>1.6760952829608997</v>
      </c>
      <c r="D21" s="52">
        <f t="shared" si="8"/>
        <v>1.6214589680960894</v>
      </c>
      <c r="E21" s="52">
        <f t="shared" si="8"/>
        <v>1.3854109199897897</v>
      </c>
      <c r="F21" s="52">
        <f t="shared" si="8"/>
        <v>1.104353807001857</v>
      </c>
      <c r="G21" s="52">
        <f t="shared" si="8"/>
        <v>0.95209503478908164</v>
      </c>
      <c r="H21" s="52">
        <f t="shared" si="8"/>
        <v>0.73560686991535873</v>
      </c>
      <c r="I21" s="52">
        <f t="shared" si="8"/>
        <v>0.78593582944308593</v>
      </c>
      <c r="J21" s="52">
        <f t="shared" si="8"/>
        <v>0.36904555690282348</v>
      </c>
      <c r="K21" s="52">
        <f t="shared" si="8"/>
        <v>0.79372107063795516</v>
      </c>
      <c r="L21" s="5" t="s">
        <v>117</v>
      </c>
      <c r="M21" s="7">
        <f>+M17/M15</f>
        <v>-0.38656210258584156</v>
      </c>
      <c r="N21" s="53">
        <f>L36-IF(N25&gt;0,N25*'Data Sheet'!B6,B36)</f>
        <v>16881.07</v>
      </c>
      <c r="O21" s="4" t="s">
        <v>209</v>
      </c>
      <c r="P21" s="51"/>
      <c r="T21" s="51"/>
      <c r="U21" s="51"/>
      <c r="V21" s="51"/>
      <c r="W21" s="51"/>
      <c r="X21" s="51"/>
      <c r="Y21" s="51"/>
    </row>
    <row r="22" spans="1:25" s="5" customFormat="1" x14ac:dyDescent="0.25">
      <c r="A22" s="4" t="s">
        <v>133</v>
      </c>
      <c r="B22" s="52"/>
      <c r="C22" s="52">
        <f t="shared" ref="C22:K22" si="9">C13/AVERAGE(B40:C40)</f>
        <v>0.31262194711700197</v>
      </c>
      <c r="D22" s="52">
        <f t="shared" si="9"/>
        <v>0.32808772675999043</v>
      </c>
      <c r="E22" s="52">
        <f t="shared" si="9"/>
        <v>0.32082445039969637</v>
      </c>
      <c r="F22" s="52">
        <f t="shared" si="9"/>
        <v>0.25903682943586848</v>
      </c>
      <c r="G22" s="52">
        <f t="shared" si="9"/>
        <v>0.2544467355276343</v>
      </c>
      <c r="H22" s="52">
        <f t="shared" si="9"/>
        <v>0.20004639141096162</v>
      </c>
      <c r="I22" s="52">
        <f t="shared" si="9"/>
        <v>0.21942949970976558</v>
      </c>
      <c r="J22" s="52">
        <f t="shared" si="9"/>
        <v>9.7426477536010039E-2</v>
      </c>
      <c r="K22" s="52">
        <f t="shared" si="9"/>
        <v>0.17494064188994121</v>
      </c>
      <c r="L22" s="5" t="s">
        <v>120</v>
      </c>
      <c r="M22" s="69">
        <f>+O3/(1-M21)</f>
        <v>9.2053492973836568E-2</v>
      </c>
      <c r="N22" s="70">
        <f>N21/N20</f>
        <v>5.5100270914253988</v>
      </c>
      <c r="O22" s="5" t="s">
        <v>211</v>
      </c>
      <c r="P22" s="51"/>
      <c r="Q22" s="55"/>
      <c r="R22" s="52"/>
      <c r="S22" s="52"/>
      <c r="T22" s="51"/>
      <c r="U22" s="51"/>
      <c r="V22" s="51"/>
      <c r="W22" s="51"/>
      <c r="X22" s="51"/>
      <c r="Y22" s="51"/>
    </row>
    <row r="23" spans="1:25" s="5" customFormat="1" x14ac:dyDescent="0.25">
      <c r="A23" s="11" t="s">
        <v>136</v>
      </c>
      <c r="B23" s="52"/>
      <c r="C23" s="52">
        <f>(C10+C8)/AVERAGE('Data Sheet'!B61:C61)</f>
        <v>6.0020179273838604E-2</v>
      </c>
      <c r="D23" s="52">
        <f>(D10+D8)/AVERAGE('Data Sheet'!C61:D61)</f>
        <v>8.289311211818233E-2</v>
      </c>
      <c r="E23" s="52">
        <f>(E10+E8)/AVERAGE('Data Sheet'!D61:E61)</f>
        <v>9.3799231135681296E-2</v>
      </c>
      <c r="F23" s="52">
        <f>(F10+F8)/AVERAGE('Data Sheet'!E61:F61)</f>
        <v>8.9463369387968811E-2</v>
      </c>
      <c r="G23" s="52">
        <f>(G10+G8)/AVERAGE('Data Sheet'!F61:G61)</f>
        <v>0.1032949992166776</v>
      </c>
      <c r="H23" s="52">
        <f>(H10+H8)/AVERAGE('Data Sheet'!G61:H61)</f>
        <v>0.1110824678789869</v>
      </c>
      <c r="I23" s="52">
        <f>(I10+I8)/AVERAGE('Data Sheet'!H61:I61)</f>
        <v>0.13268767452835212</v>
      </c>
      <c r="J23" s="52">
        <f>(J10+J8)/AVERAGE('Data Sheet'!I61:J61)</f>
        <v>5.8676414658661809E-2</v>
      </c>
      <c r="K23" s="52">
        <f>(K10+K8)/AVERAGE('Data Sheet'!J61:K61)</f>
        <v>0.11285480801875993</v>
      </c>
      <c r="M23" s="69"/>
      <c r="N23" s="51"/>
      <c r="P23" s="51"/>
      <c r="Q23" s="55"/>
      <c r="R23" s="52"/>
      <c r="S23" s="52"/>
      <c r="T23" s="51"/>
      <c r="U23" s="51"/>
      <c r="V23" s="51"/>
      <c r="W23" s="51"/>
      <c r="X23" s="51"/>
      <c r="Y23" s="51"/>
    </row>
    <row r="24" spans="1:25" s="5" customFormat="1" ht="15.75" thickBot="1" x14ac:dyDescent="0.3">
      <c r="A24" s="2" t="s">
        <v>139</v>
      </c>
      <c r="E24" s="7">
        <f t="shared" ref="E24:K24" si="10">+(E13-B13)/SUM(B34:D34)</f>
        <v>0.42542040030692796</v>
      </c>
      <c r="F24" s="7">
        <f t="shared" si="10"/>
        <v>0.25180432216005327</v>
      </c>
      <c r="G24" s="7">
        <f t="shared" si="10"/>
        <v>7.5545157430393042E-2</v>
      </c>
      <c r="H24" s="7">
        <f t="shared" si="10"/>
        <v>-0.12080792682926836</v>
      </c>
      <c r="I24" s="7">
        <f t="shared" si="10"/>
        <v>1.0253305839844152E-2</v>
      </c>
      <c r="J24" s="7">
        <f t="shared" si="10"/>
        <v>-0.25413803799193546</v>
      </c>
      <c r="K24" s="7">
        <f t="shared" si="10"/>
        <v>9.7585906641596165E-2</v>
      </c>
      <c r="Q24" s="51"/>
      <c r="R24" s="55"/>
      <c r="S24" s="55"/>
      <c r="T24" s="55"/>
      <c r="U24" s="55"/>
      <c r="V24" s="51"/>
      <c r="W24" s="51"/>
      <c r="X24" s="51"/>
      <c r="Y24" s="51"/>
    </row>
    <row r="25" spans="1:25" ht="15.75" thickBot="1" x14ac:dyDescent="0.3">
      <c r="A25" s="5"/>
      <c r="B25" s="5"/>
      <c r="C25" s="5"/>
      <c r="D25" s="5"/>
      <c r="E25" s="5"/>
      <c r="F25" s="5"/>
      <c r="G25" s="5"/>
      <c r="H25" s="5"/>
      <c r="I25" s="5"/>
      <c r="J25" s="5"/>
      <c r="K25" s="5"/>
      <c r="N25" s="71">
        <v>0</v>
      </c>
      <c r="O25" s="5" t="s">
        <v>248</v>
      </c>
      <c r="Q25" s="51"/>
      <c r="R25" s="51"/>
      <c r="S25" s="51"/>
      <c r="T25" s="51"/>
      <c r="U25" s="51"/>
      <c r="V25" s="55"/>
      <c r="W25" s="55"/>
      <c r="X25" s="55"/>
      <c r="Y25" s="55"/>
    </row>
    <row r="26" spans="1:25" s="5" customFormat="1" x14ac:dyDescent="0.25">
      <c r="A26" s="4" t="s">
        <v>143</v>
      </c>
      <c r="B26" s="49"/>
      <c r="C26" s="72">
        <f>+'Data Sheet'!C17/(('Data Sheet'!B62+'Data Sheet'!C62)/2)</f>
        <v>4.4092333531327439</v>
      </c>
      <c r="D26" s="72">
        <f>+'Data Sheet'!D17/(('Data Sheet'!C62+'Data Sheet'!D62)/2)</f>
        <v>7.1533754689900038</v>
      </c>
      <c r="E26" s="72">
        <f>+'Data Sheet'!E17/(('Data Sheet'!D62+'Data Sheet'!E62)/2)</f>
        <v>6.7169382529004427</v>
      </c>
      <c r="F26" s="72">
        <f>+'Data Sheet'!F17/(('Data Sheet'!E62+'Data Sheet'!F62)/2)</f>
        <v>6.7220854254075242</v>
      </c>
      <c r="G26" s="72">
        <f>+'Data Sheet'!G17/(('Data Sheet'!F62+'Data Sheet'!G62)/2)</f>
        <v>5.6445054167615094</v>
      </c>
      <c r="H26" s="72">
        <f>+'Data Sheet'!H17/(('Data Sheet'!G62+'Data Sheet'!H62)/2)</f>
        <v>3.3630262689347248</v>
      </c>
      <c r="I26" s="72">
        <f>+'Data Sheet'!I17/(('Data Sheet'!H62+'Data Sheet'!I62)/2)</f>
        <v>3.2867244646278593</v>
      </c>
      <c r="J26" s="72">
        <f>+'Data Sheet'!J17/(('Data Sheet'!I62+'Data Sheet'!J62)/2)</f>
        <v>2.0718863675731853</v>
      </c>
      <c r="K26" s="72">
        <f>+'Data Sheet'!K17/(('Data Sheet'!J62+'Data Sheet'!K62)/2)</f>
        <v>3.1499742850115156</v>
      </c>
      <c r="R26" s="51"/>
      <c r="S26" s="51"/>
      <c r="T26" s="51"/>
      <c r="U26" s="51"/>
      <c r="V26" s="51"/>
      <c r="W26" s="51"/>
      <c r="X26" s="51"/>
      <c r="Y26" s="51"/>
    </row>
    <row r="27" spans="1:25" s="5" customFormat="1" x14ac:dyDescent="0.25">
      <c r="A27" s="11" t="s">
        <v>146</v>
      </c>
      <c r="B27" s="49"/>
      <c r="C27" s="49">
        <f>365/('Data Sheet'!C17/AVERAGE('Data Sheet'!B67:C67))</f>
        <v>61.690140845070417</v>
      </c>
      <c r="D27" s="49">
        <f>365/('Data Sheet'!D17/AVERAGE('Data Sheet'!C67:D67))</f>
        <v>39.203047007554154</v>
      </c>
      <c r="E27" s="49">
        <f>365/('Data Sheet'!E17/AVERAGE('Data Sheet'!D67:E67))</f>
        <v>21.461455197167766</v>
      </c>
      <c r="F27" s="49">
        <f>365/('Data Sheet'!F17/AVERAGE('Data Sheet'!E67:F67))</f>
        <v>11.182028682402152</v>
      </c>
      <c r="G27" s="49">
        <f>365/('Data Sheet'!G17/AVERAGE('Data Sheet'!F67:G67))</f>
        <v>36.795971749934608</v>
      </c>
      <c r="H27" s="49">
        <f>365/('Data Sheet'!H17/AVERAGE('Data Sheet'!G67:H67))</f>
        <v>77.078876635118192</v>
      </c>
      <c r="I27" s="49">
        <f>365/('Data Sheet'!I17/AVERAGE('Data Sheet'!H67:I67))</f>
        <v>50.802368537169031</v>
      </c>
      <c r="J27" s="49">
        <f>365/('Data Sheet'!J17/AVERAGE('Data Sheet'!I67:J67))</f>
        <v>63.040010241618589</v>
      </c>
      <c r="K27" s="49">
        <f>365/('Data Sheet'!K17/AVERAGE('Data Sheet'!J67:K67))</f>
        <v>40.604857315255202</v>
      </c>
      <c r="Q27" s="51"/>
      <c r="R27" s="51"/>
      <c r="S27" s="51"/>
      <c r="T27" s="51"/>
      <c r="U27" s="51"/>
      <c r="V27" s="51"/>
      <c r="W27" s="51"/>
      <c r="X27" s="51"/>
      <c r="Y27" s="51"/>
    </row>
    <row r="28" spans="1:25" s="5" customFormat="1" x14ac:dyDescent="0.25">
      <c r="A28" s="11" t="s">
        <v>149</v>
      </c>
      <c r="B28" s="49"/>
      <c r="C28" s="49">
        <f>'Data Sheet'!C17/(AVERAGE('Data Sheet'!B68:C68))</f>
        <v>1.3341762110169071</v>
      </c>
      <c r="D28" s="49">
        <f>'Data Sheet'!D17/(AVERAGE('Data Sheet'!C68:D68))</f>
        <v>2.2937585789261203</v>
      </c>
      <c r="E28" s="49">
        <f>'Data Sheet'!E17/(AVERAGE('Data Sheet'!D68:E68))</f>
        <v>2.3087342535228808</v>
      </c>
      <c r="F28" s="49">
        <f>'Data Sheet'!F17/(AVERAGE('Data Sheet'!E68:F68))</f>
        <v>2.259729569753246</v>
      </c>
      <c r="G28" s="49">
        <f>'Data Sheet'!G17/(AVERAGE('Data Sheet'!F68:G68))</f>
        <v>2.1579261781902508</v>
      </c>
      <c r="H28" s="49">
        <f>'Data Sheet'!H17/(AVERAGE('Data Sheet'!G68:H68))</f>
        <v>1.6572671977884028</v>
      </c>
      <c r="I28" s="49">
        <f>'Data Sheet'!I17/(AVERAGE('Data Sheet'!H68:I68))</f>
        <v>2.3516397788381429</v>
      </c>
      <c r="J28" s="49">
        <f>'Data Sheet'!J17/(AVERAGE('Data Sheet'!I68:J68))</f>
        <v>1.6041441396132472</v>
      </c>
      <c r="K28" s="49">
        <f>'Data Sheet'!K17/(AVERAGE('Data Sheet'!J68:K68))</f>
        <v>1.7657750256963074</v>
      </c>
      <c r="Q28" s="51"/>
      <c r="R28" s="51"/>
      <c r="S28" s="51"/>
      <c r="T28" s="51"/>
      <c r="U28" s="51"/>
      <c r="V28" s="51"/>
      <c r="W28" s="51"/>
      <c r="X28" s="51"/>
      <c r="Y28" s="51"/>
    </row>
    <row r="29" spans="1:25" s="5" customFormat="1" x14ac:dyDescent="0.25">
      <c r="A29" s="11" t="s">
        <v>155</v>
      </c>
      <c r="B29" s="53">
        <f>+'Data Sheet'!B62</f>
        <v>211.67</v>
      </c>
      <c r="C29" s="53">
        <f>+'Data Sheet'!C62</f>
        <v>276.56</v>
      </c>
      <c r="D29" s="53">
        <f>+'Data Sheet'!D62</f>
        <v>517.70000000000005</v>
      </c>
      <c r="E29" s="53">
        <f>+'Data Sheet'!E62</f>
        <v>696.77</v>
      </c>
      <c r="F29" s="53">
        <f>+'Data Sheet'!F62</f>
        <v>757.13</v>
      </c>
      <c r="G29" s="53">
        <f>+'Data Sheet'!G62</f>
        <v>868.38</v>
      </c>
      <c r="H29" s="53">
        <f>+'Data Sheet'!H62</f>
        <v>956.97</v>
      </c>
      <c r="I29" s="53">
        <f>+'Data Sheet'!I62</f>
        <v>932.37</v>
      </c>
      <c r="J29" s="53">
        <f>+'Data Sheet'!J62</f>
        <v>914.99</v>
      </c>
      <c r="K29" s="53">
        <f>+'Data Sheet'!K62</f>
        <v>873.85</v>
      </c>
      <c r="T29" s="51"/>
      <c r="U29" s="51"/>
      <c r="V29" s="51"/>
      <c r="W29" s="51"/>
      <c r="X29" s="51"/>
      <c r="Y29" s="51"/>
    </row>
    <row r="30" spans="1:25" s="5" customFormat="1" x14ac:dyDescent="0.25">
      <c r="A30" s="11" t="s">
        <v>158</v>
      </c>
      <c r="B30" s="53">
        <f>+'Data Sheet'!B63</f>
        <v>45.47</v>
      </c>
      <c r="C30" s="53">
        <f>+'Data Sheet'!C63</f>
        <v>69.53</v>
      </c>
      <c r="D30" s="53">
        <f>+'Data Sheet'!D63</f>
        <v>142.27000000000001</v>
      </c>
      <c r="E30" s="53">
        <f>+'Data Sheet'!E63</f>
        <v>126.21</v>
      </c>
      <c r="F30" s="53">
        <f>+'Data Sheet'!F63</f>
        <v>135.88</v>
      </c>
      <c r="G30" s="53">
        <f>+'Data Sheet'!G63</f>
        <v>129.84</v>
      </c>
      <c r="H30" s="53">
        <f>+'Data Sheet'!H63</f>
        <v>47.03</v>
      </c>
      <c r="I30" s="53">
        <f>+'Data Sheet'!I63</f>
        <v>42.06</v>
      </c>
      <c r="J30" s="53">
        <f>+'Data Sheet'!J63</f>
        <v>21.5</v>
      </c>
      <c r="K30" s="53">
        <f>+'Data Sheet'!K63</f>
        <v>40.729999999999997</v>
      </c>
      <c r="L30" s="55"/>
      <c r="T30" s="55"/>
      <c r="U30" s="55"/>
      <c r="V30" s="51"/>
      <c r="W30" s="51"/>
      <c r="X30" s="51"/>
      <c r="Y30" s="51"/>
    </row>
    <row r="31" spans="1:25" x14ac:dyDescent="0.25">
      <c r="A31" s="11" t="s">
        <v>161</v>
      </c>
      <c r="B31" s="60">
        <f>+'Data Sheet'!B57</f>
        <v>115</v>
      </c>
      <c r="C31" s="60">
        <f>+'Data Sheet'!C57</f>
        <v>115</v>
      </c>
      <c r="D31" s="60">
        <f>+'Data Sheet'!D57</f>
        <v>115</v>
      </c>
      <c r="E31" s="60">
        <f>+'Data Sheet'!E57</f>
        <v>97.75</v>
      </c>
      <c r="F31" s="60">
        <f>+'Data Sheet'!F57</f>
        <v>122.19</v>
      </c>
      <c r="G31" s="60">
        <f>+'Data Sheet'!G57</f>
        <v>183.28</v>
      </c>
      <c r="H31" s="60">
        <f>+'Data Sheet'!H57</f>
        <v>183.28</v>
      </c>
      <c r="I31" s="60">
        <f>+'Data Sheet'!I57</f>
        <v>183.28</v>
      </c>
      <c r="J31" s="60">
        <f>+'Data Sheet'!J57</f>
        <v>183.28</v>
      </c>
      <c r="K31" s="60">
        <f>+'Data Sheet'!K57</f>
        <v>183.28</v>
      </c>
      <c r="L31" s="53"/>
      <c r="P31" s="55"/>
      <c r="Q31" s="55"/>
      <c r="R31" s="55"/>
      <c r="S31" s="55"/>
      <c r="T31" s="55"/>
      <c r="U31" s="55"/>
      <c r="V31" s="55"/>
      <c r="W31" s="55"/>
      <c r="X31" s="55"/>
      <c r="Y31" s="55"/>
    </row>
    <row r="32" spans="1:25" x14ac:dyDescent="0.25">
      <c r="A32" s="4" t="s">
        <v>164</v>
      </c>
      <c r="B32" s="49">
        <f>+'Data Sheet'!B31</f>
        <v>47</v>
      </c>
      <c r="C32" s="49">
        <f>+'Data Sheet'!C31</f>
        <v>57.68</v>
      </c>
      <c r="D32" s="49">
        <f>+'Data Sheet'!D31</f>
        <v>83.71</v>
      </c>
      <c r="E32" s="49">
        <f>+'Data Sheet'!E31</f>
        <v>168.97</v>
      </c>
      <c r="F32" s="49">
        <f>+'Data Sheet'!F31</f>
        <v>157.13999999999999</v>
      </c>
      <c r="G32" s="49">
        <f>+'Data Sheet'!G31</f>
        <v>133.61000000000001</v>
      </c>
      <c r="H32" s="49">
        <f>+'Data Sheet'!H31</f>
        <v>126.83</v>
      </c>
      <c r="I32" s="49">
        <f>+'Data Sheet'!I31</f>
        <v>161.29</v>
      </c>
      <c r="J32" s="49">
        <f>+'Data Sheet'!J31</f>
        <v>134.71</v>
      </c>
      <c r="K32" s="49">
        <f>+'Data Sheet'!K31</f>
        <v>152.12</v>
      </c>
      <c r="L32" s="52"/>
      <c r="M32" s="55"/>
      <c r="N32" s="51" t="s">
        <v>223</v>
      </c>
      <c r="O32" s="52">
        <f>($K32/B32)^(1/9)-1</f>
        <v>0.13940073539084552</v>
      </c>
      <c r="P32" s="52">
        <f>($K32/D32)^(1/7)-1</f>
        <v>8.9076595288913429E-2</v>
      </c>
      <c r="Q32" s="52">
        <f>($K32/F32)^(1/5)-1</f>
        <v>-6.4724517976734175E-3</v>
      </c>
      <c r="R32" s="52">
        <f>($K32/H32)^(1/3)-1</f>
        <v>6.248165805486372E-2</v>
      </c>
      <c r="S32" s="52"/>
      <c r="T32" s="55"/>
      <c r="U32" s="55"/>
      <c r="V32" s="55"/>
      <c r="W32" s="55"/>
      <c r="X32" s="55"/>
      <c r="Y32" s="55"/>
    </row>
    <row r="33" spans="1:25" x14ac:dyDescent="0.25">
      <c r="A33" s="4" t="s">
        <v>167</v>
      </c>
      <c r="B33" s="52">
        <f>+'Data Sheet'!B31/'Data Sheet'!B30</f>
        <v>0.2000340483486551</v>
      </c>
      <c r="C33" s="52">
        <f>+'Data Sheet'!C31/'Data Sheet'!C30</f>
        <v>0.20689407797984144</v>
      </c>
      <c r="D33" s="52">
        <f>+'Data Sheet'!D31/'Data Sheet'!D30</f>
        <v>0.18872731371885917</v>
      </c>
      <c r="E33" s="52">
        <f>+'Data Sheet'!E31/'Data Sheet'!E30</f>
        <v>0.30062091910260286</v>
      </c>
      <c r="F33" s="52">
        <f>+'Data Sheet'!F31/'Data Sheet'!F30</f>
        <v>0.2998511620806778</v>
      </c>
      <c r="G33" s="52">
        <f>+'Data Sheet'!G31/'Data Sheet'!G30</f>
        <v>0.25297737385212538</v>
      </c>
      <c r="H33" s="52">
        <f>+'Data Sheet'!H31/'Data Sheet'!H30</f>
        <v>0.30012541707091983</v>
      </c>
      <c r="I33" s="52">
        <f>+'Data Sheet'!I31/'Data Sheet'!I30</f>
        <v>0.30153299682183587</v>
      </c>
      <c r="J33" s="52">
        <f>+'Data Sheet'!J31/'Data Sheet'!J30</f>
        <v>0.52259766458470736</v>
      </c>
      <c r="K33" s="52">
        <f>+'Data Sheet'!K31/'Data Sheet'!K30</f>
        <v>0.30428868618979038</v>
      </c>
      <c r="P33" s="51"/>
      <c r="Q33" s="51"/>
      <c r="R33" s="51"/>
      <c r="S33" s="5"/>
      <c r="T33" s="51"/>
      <c r="U33" s="51"/>
      <c r="V33" s="55"/>
      <c r="W33" s="55"/>
      <c r="X33" s="55"/>
      <c r="Y33" s="55"/>
    </row>
    <row r="34" spans="1:25" s="5" customFormat="1" x14ac:dyDescent="0.25">
      <c r="A34" s="4" t="s">
        <v>170</v>
      </c>
      <c r="B34" s="53">
        <f>+'Data Sheet'!B30-'Data Sheet'!B31</f>
        <v>187.96</v>
      </c>
      <c r="C34" s="53">
        <f>+'Data Sheet'!C30-'Data Sheet'!C31</f>
        <v>221.11</v>
      </c>
      <c r="D34" s="53">
        <f>+'Data Sheet'!D30-'Data Sheet'!D31</f>
        <v>359.84000000000003</v>
      </c>
      <c r="E34" s="53">
        <f>+'Data Sheet'!E30-'Data Sheet'!E31</f>
        <v>393.1</v>
      </c>
      <c r="F34" s="53">
        <f>+'Data Sheet'!F30-'Data Sheet'!F31</f>
        <v>366.91999999999996</v>
      </c>
      <c r="G34" s="53">
        <f>+'Data Sheet'!G30-'Data Sheet'!G31</f>
        <v>394.53999999999996</v>
      </c>
      <c r="H34" s="53">
        <f>+'Data Sheet'!H30-'Data Sheet'!H31</f>
        <v>295.76</v>
      </c>
      <c r="I34" s="53">
        <f>+'Data Sheet'!I30-'Data Sheet'!I31</f>
        <v>373.61</v>
      </c>
      <c r="J34" s="53">
        <f>+'Data Sheet'!J30-'Data Sheet'!J31</f>
        <v>123.05999999999997</v>
      </c>
      <c r="K34" s="53">
        <f>+'Data Sheet'!K30-'Data Sheet'!K31</f>
        <v>347.8</v>
      </c>
      <c r="P34" s="51"/>
      <c r="Q34" s="51"/>
      <c r="R34" s="51"/>
      <c r="T34" s="51"/>
      <c r="U34" s="51"/>
      <c r="V34" s="51"/>
      <c r="W34" s="51"/>
      <c r="X34" s="51"/>
      <c r="Y34" s="51"/>
    </row>
    <row r="35" spans="1:25" s="5" customFormat="1" x14ac:dyDescent="0.25">
      <c r="A35" s="4" t="s">
        <v>11</v>
      </c>
      <c r="B35" s="73">
        <f t="shared" ref="B35:K35" si="11">IF(+B36/B13&lt;=0,0,B36/B13)</f>
        <v>0</v>
      </c>
      <c r="C35" s="73">
        <f t="shared" si="11"/>
        <v>0</v>
      </c>
      <c r="D35" s="73">
        <f t="shared" si="11"/>
        <v>0</v>
      </c>
      <c r="E35" s="73">
        <f t="shared" si="11"/>
        <v>0</v>
      </c>
      <c r="F35" s="73">
        <f t="shared" si="11"/>
        <v>0</v>
      </c>
      <c r="G35" s="73">
        <f t="shared" si="11"/>
        <v>13.766154501562056</v>
      </c>
      <c r="H35" s="73">
        <f t="shared" si="11"/>
        <v>12.288243924371141</v>
      </c>
      <c r="I35" s="73">
        <f t="shared" si="11"/>
        <v>6.344736399326977</v>
      </c>
      <c r="J35" s="73">
        <f t="shared" si="11"/>
        <v>23.647598634441557</v>
      </c>
      <c r="K35" s="73">
        <f t="shared" si="11"/>
        <v>20.140560489678343</v>
      </c>
      <c r="P35" s="51"/>
      <c r="Q35" s="51"/>
      <c r="R35" s="51"/>
      <c r="T35" s="51"/>
      <c r="U35" s="51"/>
      <c r="V35" s="51"/>
      <c r="W35" s="51"/>
      <c r="X35" s="51"/>
      <c r="Y35" s="51"/>
    </row>
    <row r="36" spans="1:25" s="5" customFormat="1" x14ac:dyDescent="0.25">
      <c r="A36" s="4" t="s">
        <v>175</v>
      </c>
      <c r="B36" s="49">
        <f>+'Data Sheet'!B90*'Data Sheet'!B93</f>
        <v>0</v>
      </c>
      <c r="C36" s="49">
        <f>+'Data Sheet'!C90*'Data Sheet'!C93</f>
        <v>0</v>
      </c>
      <c r="D36" s="49">
        <f>+'Data Sheet'!D90*'Data Sheet'!D93</f>
        <v>0</v>
      </c>
      <c r="E36" s="49">
        <f>+'Data Sheet'!E90*'Data Sheet'!E93</f>
        <v>0</v>
      </c>
      <c r="F36" s="49">
        <f>+'Data Sheet'!F90*'Data Sheet'!F93</f>
        <v>0</v>
      </c>
      <c r="G36" s="49">
        <f>+'Data Sheet'!G90*'Data Sheet'!G93</f>
        <v>7270.5944999999992</v>
      </c>
      <c r="H36" s="49">
        <f>+'Data Sheet'!H90*'Data Sheet'!H93</f>
        <v>5192.8890000000001</v>
      </c>
      <c r="I36" s="49">
        <f>+'Data Sheet'!I90*'Data Sheet'!I93</f>
        <v>3393.7994999999996</v>
      </c>
      <c r="J36" s="49">
        <f>+'Data Sheet'!J90*'Data Sheet'!J93</f>
        <v>6095.6414999999997</v>
      </c>
      <c r="K36" s="49">
        <f>+'Data Sheet'!K90*'Data Sheet'!K93</f>
        <v>10068.668999999998</v>
      </c>
      <c r="L36" s="66">
        <f>+'Data Sheet'!B9</f>
        <v>16881.07</v>
      </c>
      <c r="M36" s="66"/>
      <c r="Q36" s="51"/>
      <c r="R36" s="51"/>
      <c r="S36" s="51"/>
      <c r="T36" s="51"/>
      <c r="U36" s="51"/>
      <c r="V36" s="51"/>
      <c r="W36" s="51"/>
      <c r="X36" s="51"/>
      <c r="Y36" s="51"/>
    </row>
    <row r="37" spans="1:25" s="5" customFormat="1" x14ac:dyDescent="0.25">
      <c r="A37" s="4" t="s">
        <v>106</v>
      </c>
      <c r="B37" s="53">
        <f>+'Data Sheet'!B69+'Data Sheet'!B64</f>
        <v>4295.62</v>
      </c>
      <c r="C37" s="53">
        <f>+'Data Sheet'!C69+'Data Sheet'!C64</f>
        <v>3962.8</v>
      </c>
      <c r="D37" s="53">
        <f>+'Data Sheet'!D69+'Data Sheet'!D64</f>
        <v>3671.85</v>
      </c>
      <c r="E37" s="53">
        <f>+'Data Sheet'!E69+'Data Sheet'!E64</f>
        <v>3245.4399999999996</v>
      </c>
      <c r="F37" s="53">
        <f>+'Data Sheet'!F69+'Data Sheet'!F64</f>
        <v>1740.96</v>
      </c>
      <c r="G37" s="53">
        <f>+'Data Sheet'!G69+'Data Sheet'!G64</f>
        <v>595.78</v>
      </c>
      <c r="H37" s="53">
        <f>+'Data Sheet'!H69+'Data Sheet'!H64</f>
        <v>375.04</v>
      </c>
      <c r="I37" s="53">
        <f>+'Data Sheet'!I69+'Data Sheet'!I64</f>
        <v>667.39</v>
      </c>
      <c r="J37" s="53">
        <f>+'Data Sheet'!J69+'Data Sheet'!J64</f>
        <v>1565.47</v>
      </c>
      <c r="K37" s="53">
        <f>+'Data Sheet'!K69+'Data Sheet'!K64</f>
        <v>1899.53</v>
      </c>
      <c r="L37" s="66">
        <f>+K37</f>
        <v>1899.53</v>
      </c>
      <c r="T37" s="51"/>
      <c r="U37" s="51"/>
      <c r="V37" s="51"/>
      <c r="W37" s="51"/>
      <c r="X37" s="51"/>
      <c r="Y37" s="51"/>
    </row>
    <row r="38" spans="1:25" s="5" customFormat="1" x14ac:dyDescent="0.25">
      <c r="T38" s="55"/>
      <c r="U38" s="55"/>
      <c r="V38" s="51"/>
      <c r="W38" s="51"/>
      <c r="X38" s="51"/>
      <c r="Y38" s="51"/>
    </row>
    <row r="39" spans="1:25" x14ac:dyDescent="0.25">
      <c r="A39" s="5" t="s">
        <v>103</v>
      </c>
      <c r="B39" s="74">
        <f>+'Data Sheet'!B59</f>
        <v>0</v>
      </c>
      <c r="C39" s="50">
        <f>+'Data Sheet'!C59</f>
        <v>0</v>
      </c>
      <c r="D39" s="50">
        <f>+'Data Sheet'!D59</f>
        <v>0</v>
      </c>
      <c r="E39" s="50">
        <f>+'Data Sheet'!E59</f>
        <v>3.71</v>
      </c>
      <c r="F39" s="50">
        <f>+'Data Sheet'!F59</f>
        <v>3.58</v>
      </c>
      <c r="G39" s="50">
        <f>+'Data Sheet'!G59</f>
        <v>3.69</v>
      </c>
      <c r="H39" s="50">
        <f>+'Data Sheet'!H59</f>
        <v>5.39</v>
      </c>
      <c r="I39" s="50">
        <f>+'Data Sheet'!I59</f>
        <v>14.51</v>
      </c>
      <c r="J39" s="50">
        <f>+'Data Sheet'!J59</f>
        <v>11.29</v>
      </c>
      <c r="K39" s="50">
        <f>+'Data Sheet'!K59</f>
        <v>10.11</v>
      </c>
      <c r="L39" s="5"/>
      <c r="M39" s="5"/>
      <c r="N39" s="51" t="s">
        <v>226</v>
      </c>
      <c r="O39" s="52" t="e">
        <f>($K39/B39)^(1/9)-1</f>
        <v>#DIV/0!</v>
      </c>
      <c r="P39" s="52" t="e">
        <f>($K39/D39)^(1/7)-1</f>
        <v>#DIV/0!</v>
      </c>
      <c r="Q39" s="52">
        <f>($K39/F39)^(1/5)-1</f>
        <v>0.23076071602417336</v>
      </c>
      <c r="R39" s="52">
        <f>($K39/H39)^(1/3)-1</f>
        <v>0.23325853605835123</v>
      </c>
      <c r="S39" s="52"/>
      <c r="T39" s="51"/>
      <c r="U39" s="51"/>
      <c r="V39" s="55"/>
      <c r="W39" s="55"/>
      <c r="X39" s="55"/>
      <c r="Y39" s="55"/>
    </row>
    <row r="40" spans="1:25" s="5" customFormat="1" x14ac:dyDescent="0.25">
      <c r="A40" s="5" t="s">
        <v>178</v>
      </c>
      <c r="B40" s="53">
        <f>+'Data Sheet'!B57+'Data Sheet'!B58</f>
        <v>732.38</v>
      </c>
      <c r="C40" s="53">
        <f>+'Data Sheet'!C57+'Data Sheet'!C58</f>
        <v>1051.1799999999998</v>
      </c>
      <c r="D40" s="53">
        <f>+'Data Sheet'!D57+'Data Sheet'!D58</f>
        <v>1652.67</v>
      </c>
      <c r="E40" s="53">
        <f>+'Data Sheet'!E57+'Data Sheet'!E58</f>
        <v>1851.24</v>
      </c>
      <c r="F40" s="53">
        <f>+'Data Sheet'!F57+'Data Sheet'!F58</f>
        <v>2194.98</v>
      </c>
      <c r="G40" s="53">
        <f>+'Data Sheet'!G57+'Data Sheet'!G58</f>
        <v>1956.3799999999999</v>
      </c>
      <c r="H40" s="53">
        <f>+'Data Sheet'!H57+'Data Sheet'!H58</f>
        <v>2268.5400000000004</v>
      </c>
      <c r="I40" s="53">
        <f>+'Data Sheet'!I57+'Data Sheet'!I58</f>
        <v>2606.8300000000004</v>
      </c>
      <c r="J40" s="53">
        <f>+'Data Sheet'!J57+'Data Sheet'!J58</f>
        <v>2684.75</v>
      </c>
      <c r="K40" s="53">
        <f>+'Data Sheet'!K57+'Data Sheet'!K58</f>
        <v>3030.5600000000004</v>
      </c>
      <c r="L40" s="66"/>
      <c r="M40" s="66"/>
      <c r="N40" s="51" t="s">
        <v>228</v>
      </c>
      <c r="O40" s="52">
        <f>($K40/B40)^(1/9)-1</f>
        <v>0.17093240056662862</v>
      </c>
      <c r="P40" s="52">
        <f>($K40/D40)^(1/7)-1</f>
        <v>9.0484594837198173E-2</v>
      </c>
      <c r="Q40" s="52">
        <f>($K40/F40)^(1/5)-1</f>
        <v>6.6641468109939428E-2</v>
      </c>
      <c r="R40" s="52">
        <f>($K40/H40)^(1/3)-1</f>
        <v>0.10135031866420641</v>
      </c>
      <c r="S40" s="52"/>
      <c r="T40" s="51"/>
      <c r="U40" s="51"/>
      <c r="V40" s="51"/>
      <c r="W40" s="51"/>
      <c r="X40" s="51"/>
      <c r="Y40" s="51"/>
    </row>
    <row r="41" spans="1:25" s="5" customFormat="1" x14ac:dyDescent="0.25">
      <c r="A41" s="5" t="s">
        <v>181</v>
      </c>
      <c r="B41" s="75">
        <f t="shared" ref="B41:K41" si="12">B39/B40</f>
        <v>0</v>
      </c>
      <c r="C41" s="75">
        <f t="shared" si="12"/>
        <v>0</v>
      </c>
      <c r="D41" s="75">
        <f t="shared" si="12"/>
        <v>0</v>
      </c>
      <c r="E41" s="75">
        <f t="shared" si="12"/>
        <v>2.0040621421317604E-3</v>
      </c>
      <c r="F41" s="75">
        <f t="shared" si="12"/>
        <v>1.630994359857493E-3</v>
      </c>
      <c r="G41" s="75">
        <f t="shared" si="12"/>
        <v>1.88613664012104E-3</v>
      </c>
      <c r="H41" s="75">
        <f t="shared" si="12"/>
        <v>2.3759775009477456E-3</v>
      </c>
      <c r="I41" s="75">
        <f t="shared" si="12"/>
        <v>5.5661473897415624E-3</v>
      </c>
      <c r="J41" s="75">
        <f t="shared" si="12"/>
        <v>4.2052332619424522E-3</v>
      </c>
      <c r="K41" s="75">
        <f t="shared" si="12"/>
        <v>3.3360171057494319E-3</v>
      </c>
      <c r="L41" s="4"/>
      <c r="M41" s="4"/>
      <c r="P41" s="4"/>
      <c r="T41" s="51"/>
      <c r="U41" s="51"/>
      <c r="V41" s="51"/>
      <c r="W41" s="51"/>
      <c r="X41" s="51"/>
      <c r="Y41" s="51"/>
    </row>
    <row r="42" spans="1:25" s="5" customFormat="1" x14ac:dyDescent="0.25">
      <c r="A42" s="11" t="s">
        <v>184</v>
      </c>
      <c r="B42" s="76">
        <v>0.12</v>
      </c>
      <c r="C42" s="4"/>
      <c r="D42" s="4"/>
      <c r="E42" s="4"/>
      <c r="F42" s="4"/>
      <c r="G42" s="4"/>
      <c r="H42" s="4"/>
      <c r="I42" s="4"/>
      <c r="J42" s="4"/>
      <c r="K42" s="4"/>
      <c r="L42" s="4"/>
      <c r="M42" s="4"/>
      <c r="R42" s="51"/>
      <c r="S42" s="51"/>
      <c r="T42" s="51"/>
      <c r="U42" s="51"/>
      <c r="V42" s="51"/>
      <c r="W42" s="51"/>
      <c r="X42" s="51"/>
      <c r="Y42" s="51"/>
    </row>
    <row r="43" spans="1:25" s="5" customFormat="1" x14ac:dyDescent="0.25">
      <c r="A43" s="11" t="s">
        <v>186</v>
      </c>
      <c r="B43" s="4"/>
      <c r="C43" s="77">
        <f t="shared" ref="C43:K43" si="13">AVERAGE(B39:C39)*$B$42</f>
        <v>0</v>
      </c>
      <c r="D43" s="77">
        <f t="shared" si="13"/>
        <v>0</v>
      </c>
      <c r="E43" s="77">
        <f t="shared" si="13"/>
        <v>0.22259999999999999</v>
      </c>
      <c r="F43" s="77">
        <f t="shared" si="13"/>
        <v>0.43740000000000001</v>
      </c>
      <c r="G43" s="77">
        <f t="shared" si="13"/>
        <v>0.43619999999999998</v>
      </c>
      <c r="H43" s="77">
        <f t="shared" si="13"/>
        <v>0.54479999999999995</v>
      </c>
      <c r="I43" s="77">
        <f t="shared" si="13"/>
        <v>1.194</v>
      </c>
      <c r="J43" s="77">
        <f t="shared" si="13"/>
        <v>1.5479999999999998</v>
      </c>
      <c r="K43" s="77">
        <f t="shared" si="13"/>
        <v>1.2839999999999998</v>
      </c>
      <c r="L43" s="4"/>
      <c r="M43" s="4"/>
      <c r="P43" s="4"/>
      <c r="R43" s="51"/>
      <c r="S43" s="51"/>
      <c r="T43" s="51"/>
      <c r="U43" s="51"/>
      <c r="V43" s="51"/>
      <c r="W43" s="51"/>
      <c r="X43" s="51"/>
      <c r="Y43" s="51"/>
    </row>
    <row r="44" spans="1:25" s="5" customFormat="1" x14ac:dyDescent="0.25">
      <c r="A44" s="11" t="s">
        <v>189</v>
      </c>
      <c r="B44" s="4"/>
      <c r="C44" s="78" t="e">
        <f t="shared" ref="C44:K44" si="14">C4/C43</f>
        <v>#DIV/0!</v>
      </c>
      <c r="D44" s="78" t="e">
        <f t="shared" si="14"/>
        <v>#DIV/0!</v>
      </c>
      <c r="E44" s="78">
        <f t="shared" si="14"/>
        <v>2314.1060197663987</v>
      </c>
      <c r="F44" s="78">
        <f t="shared" si="14"/>
        <v>1301.7375400091453</v>
      </c>
      <c r="G44" s="78">
        <f t="shared" si="14"/>
        <v>1533.5625859697393</v>
      </c>
      <c r="H44" s="78">
        <f t="shared" si="14"/>
        <v>1143.5939794419971</v>
      </c>
      <c r="I44" s="78">
        <f t="shared" si="14"/>
        <v>633.41708542713536</v>
      </c>
      <c r="J44" s="78">
        <f t="shared" si="14"/>
        <v>223.20413436692508</v>
      </c>
      <c r="K44" s="78">
        <f t="shared" si="14"/>
        <v>566.50311526479766</v>
      </c>
      <c r="L44" s="4"/>
      <c r="M44" s="4"/>
      <c r="O44" s="4"/>
      <c r="Q44" s="79"/>
      <c r="R44" s="4"/>
      <c r="S44" s="4"/>
      <c r="T44" s="4"/>
      <c r="U44" s="4"/>
      <c r="V44" s="51"/>
      <c r="W44" s="51"/>
      <c r="X44" s="51"/>
      <c r="Y44" s="51"/>
    </row>
    <row r="45" spans="1:25" x14ac:dyDescent="0.25">
      <c r="N45" s="53"/>
      <c r="P45" s="52"/>
      <c r="Q45" s="58"/>
    </row>
    <row r="46" spans="1:25" ht="30" x14ac:dyDescent="0.25">
      <c r="B46" s="45">
        <f t="shared" ref="B46:K46" si="15">+B2</f>
        <v>40999</v>
      </c>
      <c r="C46" s="45">
        <f t="shared" si="15"/>
        <v>41364</v>
      </c>
      <c r="D46" s="45">
        <f t="shared" si="15"/>
        <v>42094</v>
      </c>
      <c r="E46" s="45">
        <f t="shared" si="15"/>
        <v>42460</v>
      </c>
      <c r="F46" s="45">
        <f t="shared" si="15"/>
        <v>42825</v>
      </c>
      <c r="G46" s="45">
        <f t="shared" si="15"/>
        <v>43190</v>
      </c>
      <c r="H46" s="45">
        <f t="shared" si="15"/>
        <v>43555</v>
      </c>
      <c r="I46" s="45">
        <f t="shared" si="15"/>
        <v>43921</v>
      </c>
      <c r="J46" s="45">
        <f t="shared" si="15"/>
        <v>44286</v>
      </c>
      <c r="K46" s="45">
        <f t="shared" si="15"/>
        <v>44651</v>
      </c>
      <c r="L46" s="45"/>
      <c r="M46" s="80" t="str">
        <f>+M2</f>
        <v>Total 10 Yrs (2007-16)</v>
      </c>
      <c r="N46" s="51"/>
      <c r="O46" s="56"/>
      <c r="P46" s="56"/>
      <c r="Q46" s="79"/>
    </row>
    <row r="47" spans="1:25" x14ac:dyDescent="0.25">
      <c r="A47" s="5" t="s">
        <v>97</v>
      </c>
      <c r="B47" s="50">
        <f>+'Data Sheet'!B82</f>
        <v>0</v>
      </c>
      <c r="C47" s="50">
        <f>+'Data Sheet'!C82</f>
        <v>0</v>
      </c>
      <c r="D47" s="50">
        <f>+'Data Sheet'!D82</f>
        <v>-764.7</v>
      </c>
      <c r="E47" s="50">
        <f>+'Data Sheet'!E82</f>
        <v>284.27999999999997</v>
      </c>
      <c r="F47" s="50">
        <f>+'Data Sheet'!F82</f>
        <v>-419.89</v>
      </c>
      <c r="G47" s="50">
        <f>+'Data Sheet'!G82</f>
        <v>-341.5</v>
      </c>
      <c r="H47" s="50">
        <f>+'Data Sheet'!H82</f>
        <v>83.52</v>
      </c>
      <c r="I47" s="50">
        <f>+'Data Sheet'!I82</f>
        <v>504.22</v>
      </c>
      <c r="J47" s="50">
        <f>+'Data Sheet'!J82</f>
        <v>1068.01</v>
      </c>
      <c r="K47" s="50">
        <f>+'Data Sheet'!K82</f>
        <v>529.66</v>
      </c>
      <c r="L47" s="60"/>
      <c r="M47" s="50">
        <f>SUM(B47:K47)</f>
        <v>943.6</v>
      </c>
      <c r="N47" s="51"/>
      <c r="O47" s="5"/>
      <c r="Q47" s="81"/>
    </row>
    <row r="48" spans="1:25" x14ac:dyDescent="0.25">
      <c r="A48" s="4" t="s">
        <v>194</v>
      </c>
      <c r="B48" s="53">
        <f>+'Data Sheet'!B83</f>
        <v>0</v>
      </c>
      <c r="C48" s="53">
        <f>+'Data Sheet'!C83</f>
        <v>0</v>
      </c>
      <c r="D48" s="53">
        <f>+'Data Sheet'!D83</f>
        <v>239.29</v>
      </c>
      <c r="E48" s="53">
        <f>+'Data Sheet'!E83</f>
        <v>148.59</v>
      </c>
      <c r="F48" s="53">
        <f>+'Data Sheet'!F83</f>
        <v>2.68</v>
      </c>
      <c r="G48" s="53">
        <f>+'Data Sheet'!G83</f>
        <v>1047.02</v>
      </c>
      <c r="H48" s="53">
        <f>+'Data Sheet'!H83</f>
        <v>169.78</v>
      </c>
      <c r="I48" s="53">
        <f>+'Data Sheet'!I83</f>
        <v>-33.18</v>
      </c>
      <c r="J48" s="53">
        <f>+'Data Sheet'!J83</f>
        <v>-733.78</v>
      </c>
      <c r="K48" s="53">
        <f>+'Data Sheet'!K83</f>
        <v>-573.01</v>
      </c>
      <c r="L48" s="59"/>
      <c r="M48" s="66">
        <f>SUM(B48:K48)</f>
        <v>267.38999999999987</v>
      </c>
    </row>
    <row r="49" spans="1:14" x14ac:dyDescent="0.25">
      <c r="A49" s="4" t="s">
        <v>197</v>
      </c>
      <c r="B49" s="53">
        <f>+'Data Sheet'!B84</f>
        <v>0</v>
      </c>
      <c r="C49" s="53">
        <f>+'Data Sheet'!C84</f>
        <v>0</v>
      </c>
      <c r="D49" s="53">
        <f>+'Data Sheet'!D84</f>
        <v>-72.209999999999994</v>
      </c>
      <c r="E49" s="53">
        <f>+'Data Sheet'!E84</f>
        <v>-324.27</v>
      </c>
      <c r="F49" s="53">
        <f>+'Data Sheet'!F84</f>
        <v>-166.17</v>
      </c>
      <c r="G49" s="53">
        <f>+'Data Sheet'!G84</f>
        <v>-768.64</v>
      </c>
      <c r="H49" s="53">
        <f>+'Data Sheet'!H84</f>
        <v>-268.13</v>
      </c>
      <c r="I49" s="53">
        <f>+'Data Sheet'!I84</f>
        <v>-190.87</v>
      </c>
      <c r="J49" s="53">
        <f>+'Data Sheet'!J84</f>
        <v>-172.64</v>
      </c>
      <c r="K49" s="53">
        <f>+'Data Sheet'!K84</f>
        <v>-148.52000000000001</v>
      </c>
      <c r="L49" s="59"/>
      <c r="M49" s="66">
        <f>SUM(B49:K49)</f>
        <v>-2111.4499999999998</v>
      </c>
    </row>
    <row r="50" spans="1:14" x14ac:dyDescent="0.25">
      <c r="A50" s="5" t="s">
        <v>200</v>
      </c>
      <c r="B50" s="53">
        <f>+'Data Sheet'!B85</f>
        <v>0</v>
      </c>
      <c r="C50" s="53">
        <f>+'Data Sheet'!C85</f>
        <v>0</v>
      </c>
      <c r="D50" s="53">
        <f>+'Data Sheet'!D85</f>
        <v>-597.62</v>
      </c>
      <c r="E50" s="53">
        <f>+'Data Sheet'!E85</f>
        <v>108.6</v>
      </c>
      <c r="F50" s="53">
        <f>+'Data Sheet'!F85</f>
        <v>-583.38</v>
      </c>
      <c r="G50" s="53">
        <f>+'Data Sheet'!G85</f>
        <v>-63.12</v>
      </c>
      <c r="H50" s="53">
        <f>+'Data Sheet'!H85</f>
        <v>-14.83</v>
      </c>
      <c r="I50" s="53">
        <f>+'Data Sheet'!I85</f>
        <v>280.17</v>
      </c>
      <c r="J50" s="53">
        <f>+'Data Sheet'!J85</f>
        <v>161.59</v>
      </c>
      <c r="K50" s="53">
        <f>+'Data Sheet'!K85</f>
        <v>-191.87</v>
      </c>
      <c r="L50" s="59"/>
      <c r="M50" s="66">
        <f>SUM(B50:K50)</f>
        <v>-900.45999999999981</v>
      </c>
    </row>
    <row r="51" spans="1:14" x14ac:dyDescent="0.25">
      <c r="A51" s="11" t="s">
        <v>203</v>
      </c>
      <c r="B51" s="53">
        <f>+'Data Sheet'!B69</f>
        <v>4295.08</v>
      </c>
      <c r="C51" s="53">
        <f>+'Data Sheet'!C69</f>
        <v>3962.26</v>
      </c>
      <c r="D51" s="53">
        <f>+'Data Sheet'!D69</f>
        <v>3668.92</v>
      </c>
      <c r="E51" s="53">
        <f>+'Data Sheet'!E69</f>
        <v>3242.49</v>
      </c>
      <c r="F51" s="53">
        <f>+'Data Sheet'!F69</f>
        <v>1738.01</v>
      </c>
      <c r="G51" s="53">
        <f>+'Data Sheet'!G69</f>
        <v>356.79</v>
      </c>
      <c r="H51" s="53">
        <f>+'Data Sheet'!H69</f>
        <v>371.32</v>
      </c>
      <c r="I51" s="53">
        <f>+'Data Sheet'!I69</f>
        <v>663.49</v>
      </c>
      <c r="J51" s="53">
        <f>+'Data Sheet'!J69</f>
        <v>1560.95</v>
      </c>
      <c r="K51" s="53">
        <f>+'Data Sheet'!K69</f>
        <v>1899.53</v>
      </c>
      <c r="L51" s="59"/>
      <c r="M51" s="59"/>
    </row>
    <row r="53" spans="1:14" x14ac:dyDescent="0.25">
      <c r="A53" s="4" t="s">
        <v>207</v>
      </c>
      <c r="B53" s="53">
        <f>N20</f>
        <v>3063.7000000000007</v>
      </c>
    </row>
    <row r="54" spans="1:14" x14ac:dyDescent="0.25">
      <c r="A54" s="4" t="s">
        <v>209</v>
      </c>
      <c r="B54" s="53">
        <f>N21</f>
        <v>16881.07</v>
      </c>
    </row>
    <row r="55" spans="1:14" x14ac:dyDescent="0.25">
      <c r="A55" s="5" t="s">
        <v>211</v>
      </c>
      <c r="B55" s="70">
        <f>N22</f>
        <v>5.5100270914253988</v>
      </c>
      <c r="K55" s="4" t="s">
        <v>281</v>
      </c>
    </row>
    <row r="59" spans="1:14" hidden="1" x14ac:dyDescent="0.25">
      <c r="A59" s="4" t="s">
        <v>282</v>
      </c>
      <c r="B59" s="52">
        <f t="shared" ref="B59:K59" si="16">B9/B29</f>
        <v>0.23739783625454719</v>
      </c>
      <c r="C59" s="52">
        <f t="shared" si="16"/>
        <v>0.15074486549030952</v>
      </c>
      <c r="D59" s="52">
        <f t="shared" si="16"/>
        <v>0.12880046358895114</v>
      </c>
      <c r="E59" s="52">
        <f t="shared" si="16"/>
        <v>7.6381015256110338E-2</v>
      </c>
      <c r="F59" s="52">
        <f t="shared" si="16"/>
        <v>8.1914598549786694E-2</v>
      </c>
      <c r="G59" s="52">
        <f t="shared" si="16"/>
        <v>7.310163753195606E-2</v>
      </c>
      <c r="H59" s="52">
        <f t="shared" si="16"/>
        <v>8.6209599046992061E-2</v>
      </c>
      <c r="I59" s="52">
        <f t="shared" si="16"/>
        <v>0.10343533146712142</v>
      </c>
      <c r="J59" s="52">
        <f t="shared" si="16"/>
        <v>0.10332353359053105</v>
      </c>
      <c r="K59" s="52">
        <f t="shared" si="16"/>
        <v>0.10339303084053326</v>
      </c>
      <c r="N59" s="4" t="b">
        <f>+OR('Data Sheet'!H49="",'Data Sheet'!I49="",'Data Sheet'!J49="",'Data Sheet'!K49="")</f>
        <v>0</v>
      </c>
    </row>
  </sheetData>
  <conditionalFormatting sqref="C44:K44">
    <cfRule type="cellIs" dxfId="58" priority="55" operator="lessThan">
      <formula>1</formula>
    </cfRule>
  </conditionalFormatting>
  <conditionalFormatting sqref="B47:K47">
    <cfRule type="cellIs" dxfId="57" priority="53" operator="lessThan">
      <formula>B13</formula>
    </cfRule>
    <cfRule type="cellIs" dxfId="56" priority="54" operator="greaterThan">
      <formula>B13</formula>
    </cfRule>
  </conditionalFormatting>
  <conditionalFormatting sqref="T17:XFD17">
    <cfRule type="cellIs" dxfId="55" priority="56" operator="lessThan">
      <formula>#REF!</formula>
    </cfRule>
    <cfRule type="cellIs" dxfId="54" priority="57" operator="greaterThan">
      <formula>#REF!</formula>
    </cfRule>
  </conditionalFormatting>
  <conditionalFormatting sqref="C39 E39:K39">
    <cfRule type="cellIs" dxfId="53" priority="51" operator="greaterThan">
      <formula>B39</formula>
    </cfRule>
    <cfRule type="cellIs" dxfId="52" priority="52" operator="lessThan">
      <formula>B39</formula>
    </cfRule>
  </conditionalFormatting>
  <conditionalFormatting sqref="C39:K39">
    <cfRule type="cellIs" dxfId="51" priority="49" operator="greaterThan">
      <formula>B39</formula>
    </cfRule>
    <cfRule type="cellIs" dxfId="50" priority="50" operator="lessThan">
      <formula>B39</formula>
    </cfRule>
  </conditionalFormatting>
  <conditionalFormatting sqref="L37 M19">
    <cfRule type="cellIs" dxfId="49" priority="46" operator="greaterThan">
      <formula>$L$36</formula>
    </cfRule>
  </conditionalFormatting>
  <conditionalFormatting sqref="N22">
    <cfRule type="cellIs" dxfId="48" priority="45" operator="lessThan">
      <formula>1</formula>
    </cfRule>
  </conditionalFormatting>
  <conditionalFormatting sqref="C21:K21">
    <cfRule type="cellIs" dxfId="47" priority="44" operator="lessThan">
      <formula>0.1</formula>
    </cfRule>
  </conditionalFormatting>
  <conditionalFormatting sqref="C22:K22">
    <cfRule type="cellIs" dxfId="46" priority="41" operator="greaterThan">
      <formula>0.25</formula>
    </cfRule>
    <cfRule type="cellIs" dxfId="45" priority="43" operator="lessThan">
      <formula>0.07</formula>
    </cfRule>
  </conditionalFormatting>
  <conditionalFormatting sqref="C21:K21">
    <cfRule type="cellIs" dxfId="44" priority="42" operator="greaterThan">
      <formula>0.25</formula>
    </cfRule>
  </conditionalFormatting>
  <conditionalFormatting sqref="C23:K23">
    <cfRule type="cellIs" dxfId="43" priority="39" operator="greaterThan">
      <formula>0.35</formula>
    </cfRule>
    <cfRule type="cellIs" dxfId="42" priority="40" operator="lessThan">
      <formula>0.1</formula>
    </cfRule>
  </conditionalFormatting>
  <conditionalFormatting sqref="O14">
    <cfRule type="cellIs" dxfId="41" priority="38" operator="lessThan">
      <formula>10</formula>
    </cfRule>
  </conditionalFormatting>
  <conditionalFormatting sqref="O16">
    <cfRule type="cellIs" dxfId="40" priority="37" operator="greaterThan">
      <formula>22.5</formula>
    </cfRule>
  </conditionalFormatting>
  <conditionalFormatting sqref="O17">
    <cfRule type="cellIs" dxfId="39" priority="36" operator="greaterThanOrEqual">
      <formula>0.04</formula>
    </cfRule>
  </conditionalFormatting>
  <conditionalFormatting sqref="N21">
    <cfRule type="cellIs" dxfId="38" priority="34" operator="greaterThan">
      <formula>$N$20</formula>
    </cfRule>
    <cfRule type="cellIs" dxfId="37" priority="35" operator="lessThan">
      <formula>$N$20</formula>
    </cfRule>
  </conditionalFormatting>
  <conditionalFormatting sqref="L3">
    <cfRule type="cellIs" dxfId="36" priority="32" operator="lessThan">
      <formula>K3</formula>
    </cfRule>
    <cfRule type="cellIs" dxfId="35" priority="33" operator="greaterThan">
      <formula>K3</formula>
    </cfRule>
  </conditionalFormatting>
  <conditionalFormatting sqref="C5:L5">
    <cfRule type="cellIs" dxfId="34" priority="30" operator="lessThan">
      <formula>B5</formula>
    </cfRule>
    <cfRule type="cellIs" dxfId="33" priority="31" operator="greaterThan">
      <formula>B5</formula>
    </cfRule>
  </conditionalFormatting>
  <conditionalFormatting sqref="C14:L14">
    <cfRule type="cellIs" dxfId="32" priority="28" operator="lessThan">
      <formula>B14</formula>
    </cfRule>
    <cfRule type="cellIs" dxfId="31" priority="29" operator="greaterThan">
      <formula>B14</formula>
    </cfRule>
  </conditionalFormatting>
  <conditionalFormatting sqref="D27:K27">
    <cfRule type="cellIs" dxfId="30" priority="26" operator="greaterThan">
      <formula>C27</formula>
    </cfRule>
    <cfRule type="cellIs" dxfId="29" priority="27" operator="lessThan">
      <formula>C27</formula>
    </cfRule>
  </conditionalFormatting>
  <conditionalFormatting sqref="D28:K28">
    <cfRule type="cellIs" dxfId="28" priority="24" operator="lessThan">
      <formula>C28</formula>
    </cfRule>
    <cfRule type="cellIs" dxfId="27" priority="25" operator="greaterThan">
      <formula>C28</formula>
    </cfRule>
  </conditionalFormatting>
  <conditionalFormatting sqref="C32:K32">
    <cfRule type="cellIs" dxfId="26" priority="22" operator="lessThan">
      <formula>B32</formula>
    </cfRule>
    <cfRule type="cellIs" dxfId="25" priority="23" operator="greaterThan">
      <formula>B32</formula>
    </cfRule>
  </conditionalFormatting>
  <conditionalFormatting sqref="B12:L12">
    <cfRule type="cellIs" dxfId="24" priority="21" operator="lessThan">
      <formula>0.295</formula>
    </cfRule>
  </conditionalFormatting>
  <conditionalFormatting sqref="B12:L12">
    <cfRule type="cellIs" dxfId="23" priority="20" operator="greaterThanOrEqual">
      <formula>0.295</formula>
    </cfRule>
  </conditionalFormatting>
  <conditionalFormatting sqref="B15:K15">
    <cfRule type="cellIs" dxfId="22" priority="18" operator="lessThan">
      <formula>B13</formula>
    </cfRule>
    <cfRule type="cellIs" dxfId="21" priority="19" operator="greaterThan">
      <formula>B13</formula>
    </cfRule>
  </conditionalFormatting>
  <conditionalFormatting sqref="C16:K16">
    <cfRule type="cellIs" dxfId="20" priority="16" operator="greaterThanOrEqual">
      <formula>C15</formula>
    </cfRule>
    <cfRule type="cellIs" dxfId="19" priority="17" operator="lessThan">
      <formula>C15</formula>
    </cfRule>
  </conditionalFormatting>
  <conditionalFormatting sqref="C17:K17">
    <cfRule type="cellIs" dxfId="18" priority="14" operator="greaterThan">
      <formula>B17</formula>
    </cfRule>
    <cfRule type="cellIs" dxfId="17" priority="15" operator="lessThan">
      <formula>B17</formula>
    </cfRule>
  </conditionalFormatting>
  <conditionalFormatting sqref="P46 S17">
    <cfRule type="cellIs" dxfId="16" priority="47" operator="lessThan">
      <formula>#REF!</formula>
    </cfRule>
    <cfRule type="cellIs" dxfId="15" priority="48" operator="greaterThan">
      <formula>#REF!</formula>
    </cfRule>
  </conditionalFormatting>
  <conditionalFormatting sqref="C3:K3">
    <cfRule type="cellIs" dxfId="14" priority="12" operator="lessThan">
      <formula>B3</formula>
    </cfRule>
    <cfRule type="cellIs" dxfId="13" priority="13" operator="greaterThan">
      <formula>B3</formula>
    </cfRule>
  </conditionalFormatting>
  <conditionalFormatting sqref="D26:K26">
    <cfRule type="cellIs" dxfId="12" priority="10" operator="lessThan">
      <formula>C26</formula>
    </cfRule>
    <cfRule type="cellIs" dxfId="11" priority="11" operator="greaterThan">
      <formula>C26</formula>
    </cfRule>
  </conditionalFormatting>
  <conditionalFormatting sqref="C31:K31">
    <cfRule type="cellIs" dxfId="10" priority="8" operator="greaterThan">
      <formula>B31</formula>
    </cfRule>
    <cfRule type="cellIs" dxfId="9" priority="9" operator="lessThan">
      <formula>B31</formula>
    </cfRule>
  </conditionalFormatting>
  <conditionalFormatting sqref="M15">
    <cfRule type="cellIs" dxfId="8" priority="6" operator="lessThan">
      <formula>M13</formula>
    </cfRule>
    <cfRule type="cellIs" dxfId="7" priority="7" operator="greaterThan">
      <formula>M13</formula>
    </cfRule>
  </conditionalFormatting>
  <conditionalFormatting sqref="M16">
    <cfRule type="cellIs" dxfId="6" priority="4" operator="greaterThanOrEqual">
      <formula>M15</formula>
    </cfRule>
    <cfRule type="cellIs" dxfId="5" priority="5" operator="lessThan">
      <formula>M15</formula>
    </cfRule>
  </conditionalFormatting>
  <conditionalFormatting sqref="M22:M23">
    <cfRule type="cellIs" dxfId="4" priority="3" operator="greaterThan">
      <formula>1</formula>
    </cfRule>
  </conditionalFormatting>
  <conditionalFormatting sqref="F24:K24">
    <cfRule type="cellIs" dxfId="3" priority="1" operator="lessThan">
      <formula>E24</formula>
    </cfRule>
    <cfRule type="cellIs" dxfId="2" priority="2" operator="greaterThan">
      <formula>E24</formula>
    </cfRule>
  </conditionalFormatting>
  <printOptions gridLines="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B7"/>
  <sheetViews>
    <sheetView workbookViewId="0">
      <pane ySplit="1" topLeftCell="A2" activePane="bottomLeft" state="frozen"/>
      <selection activeCell="H103" sqref="H103"/>
      <selection pane="bottomLeft" activeCell="H103" sqref="H103"/>
    </sheetView>
  </sheetViews>
  <sheetFormatPr defaultRowHeight="15" x14ac:dyDescent="0.25"/>
  <cols>
    <col min="1" max="1" width="15.7109375" bestFit="1" customWidth="1"/>
    <col min="2" max="2" width="135" style="17" customWidth="1"/>
  </cols>
  <sheetData>
    <row r="1" spans="1:2" s="15" customFormat="1" x14ac:dyDescent="0.25">
      <c r="A1" s="13" t="s">
        <v>59</v>
      </c>
      <c r="B1" s="14" t="s">
        <v>60</v>
      </c>
    </row>
    <row r="2" spans="1:2" ht="30" x14ac:dyDescent="0.25">
      <c r="A2" s="16">
        <v>1.6</v>
      </c>
      <c r="B2" s="17" t="s">
        <v>289</v>
      </c>
    </row>
    <row r="3" spans="1:2" ht="120" x14ac:dyDescent="0.25">
      <c r="A3" s="16">
        <v>1.5</v>
      </c>
      <c r="B3" s="17" t="s">
        <v>286</v>
      </c>
    </row>
    <row r="4" spans="1:2" x14ac:dyDescent="0.25">
      <c r="A4" s="16">
        <v>1.4</v>
      </c>
      <c r="B4" s="17" t="s">
        <v>65</v>
      </c>
    </row>
    <row r="5" spans="1:2" ht="75" x14ac:dyDescent="0.25">
      <c r="A5" s="16">
        <v>1.3</v>
      </c>
      <c r="B5" s="17" t="s">
        <v>61</v>
      </c>
    </row>
    <row r="6" spans="1:2" ht="45" x14ac:dyDescent="0.25">
      <c r="A6" s="16">
        <v>1.2</v>
      </c>
      <c r="B6" s="17" t="s">
        <v>62</v>
      </c>
    </row>
    <row r="7" spans="1:2" ht="120" x14ac:dyDescent="0.25">
      <c r="A7" s="18" t="s">
        <v>63</v>
      </c>
      <c r="B7" s="17" t="s">
        <v>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K93"/>
  <sheetViews>
    <sheetView workbookViewId="0">
      <pane xSplit="1" ySplit="1" topLeftCell="B2"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27.7109375" style="3" bestFit="1" customWidth="1"/>
    <col min="2" max="11" width="13.5703125" style="3" bestFit="1" customWidth="1"/>
    <col min="12" max="16384" width="9.140625" style="3"/>
  </cols>
  <sheetData>
    <row r="1" spans="1:11" s="1" customFormat="1" x14ac:dyDescent="0.25">
      <c r="A1" s="1" t="s">
        <v>0</v>
      </c>
      <c r="B1" s="1" t="s">
        <v>36</v>
      </c>
      <c r="E1" s="109" t="str">
        <f>IF(B2&lt;&gt;B3, "A NEW VERSION OF THE WORKSHEET IS AVAILABLE", "")</f>
        <v/>
      </c>
      <c r="F1" s="109"/>
      <c r="G1" s="109"/>
      <c r="H1" s="109"/>
      <c r="I1" s="109"/>
      <c r="J1" s="109"/>
      <c r="K1" s="109"/>
    </row>
    <row r="2" spans="1:11" x14ac:dyDescent="0.25">
      <c r="A2" s="1" t="s">
        <v>34</v>
      </c>
      <c r="B2" s="3">
        <v>2.1</v>
      </c>
      <c r="E2" s="110" t="s">
        <v>25</v>
      </c>
      <c r="F2" s="110"/>
      <c r="G2" s="110"/>
      <c r="H2" s="110"/>
      <c r="I2" s="110"/>
      <c r="J2" s="110"/>
      <c r="K2" s="110"/>
    </row>
    <row r="3" spans="1:11" x14ac:dyDescent="0.25">
      <c r="A3" s="1" t="s">
        <v>35</v>
      </c>
      <c r="B3" s="3">
        <v>2.1</v>
      </c>
    </row>
    <row r="4" spans="1:11" x14ac:dyDescent="0.25">
      <c r="A4" s="1"/>
    </row>
    <row r="5" spans="1:11" x14ac:dyDescent="0.25">
      <c r="A5" s="1" t="s">
        <v>37</v>
      </c>
    </row>
    <row r="6" spans="1:11" x14ac:dyDescent="0.25">
      <c r="A6" s="3" t="s">
        <v>31</v>
      </c>
      <c r="B6" s="3">
        <f>IF(B9&gt;0, B9/B8, 0)</f>
        <v>18.317133246527778</v>
      </c>
    </row>
    <row r="7" spans="1:11" x14ac:dyDescent="0.25">
      <c r="A7" s="3" t="s">
        <v>20</v>
      </c>
      <c r="B7">
        <v>10</v>
      </c>
    </row>
    <row r="8" spans="1:11" x14ac:dyDescent="0.25">
      <c r="A8" s="3" t="s">
        <v>32</v>
      </c>
      <c r="B8">
        <v>921.6</v>
      </c>
    </row>
    <row r="9" spans="1:11" x14ac:dyDescent="0.25">
      <c r="A9" s="3" t="s">
        <v>47</v>
      </c>
      <c r="B9">
        <v>16881.07</v>
      </c>
    </row>
    <row r="15" spans="1:11" x14ac:dyDescent="0.25">
      <c r="A15" s="1" t="s">
        <v>26</v>
      </c>
    </row>
    <row r="16" spans="1:11" s="10" customFormat="1" x14ac:dyDescent="0.25">
      <c r="A16" s="9" t="s">
        <v>27</v>
      </c>
      <c r="B16" s="8">
        <v>40999</v>
      </c>
      <c r="C16" s="8">
        <v>41364</v>
      </c>
      <c r="D16" s="8">
        <v>42094</v>
      </c>
      <c r="E16" s="8">
        <v>42460</v>
      </c>
      <c r="F16" s="8">
        <v>42825</v>
      </c>
      <c r="G16" s="8">
        <v>43190</v>
      </c>
      <c r="H16" s="8">
        <v>43555</v>
      </c>
      <c r="I16" s="8">
        <v>43921</v>
      </c>
      <c r="J16" s="8">
        <v>44286</v>
      </c>
      <c r="K16" s="8">
        <v>44651</v>
      </c>
    </row>
    <row r="17" spans="1:11" s="6" customFormat="1" x14ac:dyDescent="0.25">
      <c r="A17" s="6" t="s">
        <v>2</v>
      </c>
      <c r="B17">
        <v>955.7</v>
      </c>
      <c r="C17">
        <v>1076.3599999999999</v>
      </c>
      <c r="D17">
        <v>2840.82</v>
      </c>
      <c r="E17">
        <v>4078.76</v>
      </c>
      <c r="F17">
        <v>4886.62</v>
      </c>
      <c r="G17">
        <v>4587.6000000000004</v>
      </c>
      <c r="H17">
        <v>3069.35</v>
      </c>
      <c r="I17">
        <v>3104.87</v>
      </c>
      <c r="J17">
        <v>1913.76</v>
      </c>
      <c r="K17">
        <v>2817.4</v>
      </c>
    </row>
    <row r="18" spans="1:11" s="6" customFormat="1" x14ac:dyDescent="0.25">
      <c r="A18" s="3" t="s">
        <v>48</v>
      </c>
      <c r="B18">
        <v>633.53</v>
      </c>
      <c r="C18">
        <v>779.57</v>
      </c>
      <c r="D18">
        <v>1853.89</v>
      </c>
      <c r="E18">
        <v>2623.15</v>
      </c>
      <c r="F18">
        <v>3125.23</v>
      </c>
      <c r="G18">
        <v>2907.59</v>
      </c>
      <c r="H18">
        <v>1818.97</v>
      </c>
      <c r="I18">
        <v>1014.09</v>
      </c>
      <c r="J18">
        <v>970.08</v>
      </c>
      <c r="K18">
        <v>1263.3699999999999</v>
      </c>
    </row>
    <row r="19" spans="1:11" s="6" customFormat="1" x14ac:dyDescent="0.25">
      <c r="A19" s="3" t="s">
        <v>49</v>
      </c>
      <c r="B19">
        <v>33.82</v>
      </c>
      <c r="C19">
        <v>95.61</v>
      </c>
      <c r="D19">
        <v>-26.63</v>
      </c>
      <c r="E19">
        <v>137.86000000000001</v>
      </c>
      <c r="F19">
        <v>124.38</v>
      </c>
      <c r="G19">
        <v>53.7</v>
      </c>
      <c r="H19">
        <v>165.87</v>
      </c>
      <c r="I19">
        <v>-503.66</v>
      </c>
      <c r="J19">
        <v>128.91</v>
      </c>
      <c r="K19">
        <v>84.36</v>
      </c>
    </row>
    <row r="20" spans="1:11" s="6" customFormat="1" x14ac:dyDescent="0.25">
      <c r="A20" s="3" t="s">
        <v>50</v>
      </c>
      <c r="B20">
        <v>11.29</v>
      </c>
      <c r="C20">
        <v>16.93</v>
      </c>
      <c r="D20">
        <v>26.91</v>
      </c>
      <c r="E20">
        <v>30.18</v>
      </c>
      <c r="F20">
        <v>24.34</v>
      </c>
      <c r="G20">
        <v>27.33</v>
      </c>
      <c r="H20">
        <v>26.04</v>
      </c>
      <c r="I20">
        <v>27.21</v>
      </c>
      <c r="J20">
        <v>23.28</v>
      </c>
      <c r="K20">
        <v>25.36</v>
      </c>
    </row>
    <row r="21" spans="1:11" s="6" customFormat="1" x14ac:dyDescent="0.25">
      <c r="A21" s="3" t="s">
        <v>51</v>
      </c>
      <c r="B21">
        <v>42.08</v>
      </c>
      <c r="C21">
        <v>25.18</v>
      </c>
      <c r="D21">
        <v>125.25</v>
      </c>
      <c r="E21">
        <v>331.6</v>
      </c>
      <c r="F21">
        <v>378.51</v>
      </c>
      <c r="G21">
        <v>39.47</v>
      </c>
      <c r="H21">
        <v>51.27</v>
      </c>
      <c r="I21">
        <v>59.38</v>
      </c>
      <c r="J21">
        <v>49.57</v>
      </c>
      <c r="K21">
        <v>54.84</v>
      </c>
    </row>
    <row r="22" spans="1:11" s="6" customFormat="1" x14ac:dyDescent="0.25">
      <c r="A22" s="3" t="s">
        <v>52</v>
      </c>
      <c r="B22">
        <v>240.37</v>
      </c>
      <c r="C22">
        <v>259.04000000000002</v>
      </c>
      <c r="D22">
        <v>312.52</v>
      </c>
      <c r="E22">
        <v>326.25</v>
      </c>
      <c r="F22">
        <v>448.45</v>
      </c>
      <c r="G22">
        <v>529.46</v>
      </c>
      <c r="H22">
        <v>534.33000000000004</v>
      </c>
      <c r="I22">
        <v>534.13</v>
      </c>
      <c r="J22">
        <v>501.12</v>
      </c>
      <c r="K22">
        <v>570.72</v>
      </c>
    </row>
    <row r="23" spans="1:11" s="6" customFormat="1" x14ac:dyDescent="0.25">
      <c r="A23" s="3" t="s">
        <v>53</v>
      </c>
      <c r="B23">
        <v>53.02</v>
      </c>
      <c r="C23">
        <v>67.459999999999994</v>
      </c>
      <c r="D23">
        <v>167.13</v>
      </c>
      <c r="E23">
        <v>53.04</v>
      </c>
      <c r="F23">
        <v>81.489999999999995</v>
      </c>
      <c r="G23">
        <v>254.64</v>
      </c>
      <c r="H23">
        <v>122.77</v>
      </c>
      <c r="I23">
        <v>132.18</v>
      </c>
      <c r="J23">
        <v>104.31</v>
      </c>
      <c r="K23">
        <v>115.13</v>
      </c>
    </row>
    <row r="24" spans="1:11" s="6" customFormat="1" x14ac:dyDescent="0.25">
      <c r="A24" s="3" t="s">
        <v>54</v>
      </c>
      <c r="B24">
        <v>72.790000000000006</v>
      </c>
      <c r="C24">
        <v>35.42</v>
      </c>
      <c r="D24">
        <v>51.68</v>
      </c>
      <c r="E24">
        <v>337.28</v>
      </c>
      <c r="F24">
        <v>383.6</v>
      </c>
      <c r="G24">
        <v>213.87</v>
      </c>
      <c r="H24">
        <v>58.81</v>
      </c>
      <c r="I24">
        <v>77.92</v>
      </c>
      <c r="J24">
        <v>48.79</v>
      </c>
      <c r="K24">
        <v>144.94999999999999</v>
      </c>
    </row>
    <row r="25" spans="1:11" s="6" customFormat="1" x14ac:dyDescent="0.25">
      <c r="A25" s="6" t="s">
        <v>5</v>
      </c>
      <c r="B25">
        <v>463.19</v>
      </c>
      <c r="C25">
        <v>463.78</v>
      </c>
      <c r="D25">
        <v>439.03</v>
      </c>
      <c r="E25">
        <v>384.76</v>
      </c>
      <c r="F25">
        <v>299.94</v>
      </c>
      <c r="G25">
        <v>172.56</v>
      </c>
      <c r="H25">
        <v>135.99</v>
      </c>
      <c r="I25">
        <v>88.05</v>
      </c>
      <c r="J25">
        <v>94.61</v>
      </c>
      <c r="K25">
        <v>77.63</v>
      </c>
    </row>
    <row r="26" spans="1:11" s="6" customFormat="1" x14ac:dyDescent="0.25">
      <c r="A26" s="6" t="s">
        <v>6</v>
      </c>
      <c r="B26">
        <v>50.25</v>
      </c>
      <c r="C26">
        <v>41.69</v>
      </c>
      <c r="D26">
        <v>66.680000000000007</v>
      </c>
      <c r="E26">
        <v>53.22</v>
      </c>
      <c r="F26">
        <v>62.02</v>
      </c>
      <c r="G26">
        <v>63.48</v>
      </c>
      <c r="H26">
        <v>82.5</v>
      </c>
      <c r="I26">
        <v>96.44</v>
      </c>
      <c r="J26">
        <v>94.54</v>
      </c>
      <c r="K26">
        <v>90.35</v>
      </c>
    </row>
    <row r="27" spans="1:11" s="6" customFormat="1" x14ac:dyDescent="0.25">
      <c r="A27" s="6" t="s">
        <v>7</v>
      </c>
      <c r="B27">
        <v>1.19</v>
      </c>
      <c r="C27">
        <v>1.3</v>
      </c>
      <c r="D27">
        <v>5.23</v>
      </c>
      <c r="E27">
        <v>5.39</v>
      </c>
      <c r="F27">
        <v>4.49</v>
      </c>
      <c r="G27">
        <v>4.2</v>
      </c>
      <c r="H27">
        <v>5.15</v>
      </c>
      <c r="I27">
        <v>5.46</v>
      </c>
      <c r="J27">
        <v>4.71</v>
      </c>
      <c r="K27">
        <v>4.75</v>
      </c>
    </row>
    <row r="28" spans="1:11" s="6" customFormat="1" x14ac:dyDescent="0.25">
      <c r="A28" s="6" t="s">
        <v>8</v>
      </c>
      <c r="B28">
        <v>348.19</v>
      </c>
      <c r="C28">
        <v>409.16</v>
      </c>
      <c r="D28">
        <v>643.92999999999995</v>
      </c>
      <c r="E28">
        <v>841.27</v>
      </c>
      <c r="F28">
        <v>802.81</v>
      </c>
      <c r="G28">
        <v>773.82</v>
      </c>
      <c r="H28">
        <v>671.37</v>
      </c>
      <c r="I28">
        <v>742.45</v>
      </c>
      <c r="J28">
        <v>340.88</v>
      </c>
      <c r="K28">
        <v>709.92</v>
      </c>
    </row>
    <row r="29" spans="1:11" s="6" customFormat="1" x14ac:dyDescent="0.25">
      <c r="A29" s="6" t="s">
        <v>9</v>
      </c>
      <c r="B29">
        <v>113.23</v>
      </c>
      <c r="C29">
        <v>130.36000000000001</v>
      </c>
      <c r="D29">
        <v>200.38</v>
      </c>
      <c r="E29">
        <v>279.2</v>
      </c>
      <c r="F29">
        <v>278.75</v>
      </c>
      <c r="G29">
        <v>245.68</v>
      </c>
      <c r="H29">
        <v>248.78</v>
      </c>
      <c r="I29">
        <v>207.55</v>
      </c>
      <c r="J29">
        <v>83.11</v>
      </c>
      <c r="K29">
        <v>209.99</v>
      </c>
    </row>
    <row r="30" spans="1:11" s="6" customFormat="1" x14ac:dyDescent="0.25">
      <c r="A30" s="6" t="s">
        <v>10</v>
      </c>
      <c r="B30">
        <v>234.96</v>
      </c>
      <c r="C30">
        <v>278.79000000000002</v>
      </c>
      <c r="D30">
        <v>443.55</v>
      </c>
      <c r="E30">
        <v>562.07000000000005</v>
      </c>
      <c r="F30">
        <v>524.05999999999995</v>
      </c>
      <c r="G30">
        <v>528.15</v>
      </c>
      <c r="H30">
        <v>422.59</v>
      </c>
      <c r="I30">
        <v>534.9</v>
      </c>
      <c r="J30">
        <v>257.77</v>
      </c>
      <c r="K30">
        <v>499.92</v>
      </c>
    </row>
    <row r="31" spans="1:11" s="6" customFormat="1" x14ac:dyDescent="0.25">
      <c r="A31" s="6" t="s">
        <v>38</v>
      </c>
      <c r="B31">
        <v>47</v>
      </c>
      <c r="C31">
        <v>57.68</v>
      </c>
      <c r="D31">
        <v>83.71</v>
      </c>
      <c r="E31">
        <v>168.97</v>
      </c>
      <c r="F31">
        <v>157.13999999999999</v>
      </c>
      <c r="G31">
        <v>133.61000000000001</v>
      </c>
      <c r="H31">
        <v>126.83</v>
      </c>
      <c r="I31">
        <v>161.29</v>
      </c>
      <c r="J31">
        <v>134.71</v>
      </c>
      <c r="K31">
        <v>152.12</v>
      </c>
    </row>
    <row r="32" spans="1:11" s="6" customFormat="1" x14ac:dyDescent="0.25"/>
    <row r="33" spans="1:11" x14ac:dyDescent="0.25">
      <c r="A33" s="6"/>
    </row>
    <row r="34" spans="1:11" x14ac:dyDescent="0.25">
      <c r="A34" s="6"/>
    </row>
    <row r="35" spans="1:11" x14ac:dyDescent="0.25">
      <c r="A35" s="6"/>
    </row>
    <row r="36" spans="1:11" x14ac:dyDescent="0.25">
      <c r="A36" s="6"/>
    </row>
    <row r="37" spans="1:11" x14ac:dyDescent="0.25">
      <c r="A37" s="6"/>
    </row>
    <row r="38" spans="1:11" x14ac:dyDescent="0.25">
      <c r="A38" s="6"/>
    </row>
    <row r="39" spans="1:11" x14ac:dyDescent="0.25">
      <c r="A39" s="6"/>
    </row>
    <row r="40" spans="1:11" x14ac:dyDescent="0.25">
      <c r="A40" s="1" t="s">
        <v>28</v>
      </c>
    </row>
    <row r="41" spans="1:11" s="10" customFormat="1" x14ac:dyDescent="0.25">
      <c r="A41" s="9" t="s">
        <v>27</v>
      </c>
      <c r="B41" s="8">
        <v>43921</v>
      </c>
      <c r="C41" s="8">
        <v>44012</v>
      </c>
      <c r="D41" s="8">
        <v>44104</v>
      </c>
      <c r="E41" s="8">
        <v>44196</v>
      </c>
      <c r="F41" s="8">
        <v>44286</v>
      </c>
      <c r="G41" s="8">
        <v>44377</v>
      </c>
      <c r="H41" s="8">
        <v>44469</v>
      </c>
      <c r="I41" s="8">
        <v>44561</v>
      </c>
      <c r="J41" s="8">
        <v>44651</v>
      </c>
      <c r="K41" s="8">
        <v>44742</v>
      </c>
    </row>
    <row r="42" spans="1:11" s="6" customFormat="1" x14ac:dyDescent="0.25">
      <c r="A42" s="6" t="s">
        <v>2</v>
      </c>
      <c r="B42">
        <v>1439.39</v>
      </c>
      <c r="C42">
        <v>31.45</v>
      </c>
      <c r="D42">
        <v>280.83999999999997</v>
      </c>
      <c r="E42">
        <v>459.02</v>
      </c>
      <c r="F42">
        <v>1136.8599999999999</v>
      </c>
      <c r="G42">
        <v>128.59</v>
      </c>
      <c r="H42">
        <v>503.83</v>
      </c>
      <c r="I42">
        <v>803.9</v>
      </c>
      <c r="J42">
        <v>1381.07</v>
      </c>
      <c r="K42">
        <v>694.8</v>
      </c>
    </row>
    <row r="43" spans="1:11" s="6" customFormat="1" x14ac:dyDescent="0.25">
      <c r="A43" s="6" t="s">
        <v>3</v>
      </c>
      <c r="B43">
        <v>1025.33</v>
      </c>
      <c r="C43">
        <v>143.11000000000001</v>
      </c>
      <c r="D43">
        <v>228.16</v>
      </c>
      <c r="E43">
        <v>399.62</v>
      </c>
      <c r="F43">
        <v>792.55</v>
      </c>
      <c r="G43">
        <v>162.27000000000001</v>
      </c>
      <c r="H43">
        <v>437.69</v>
      </c>
      <c r="I43">
        <v>514.38</v>
      </c>
      <c r="J43">
        <v>976.97</v>
      </c>
      <c r="K43">
        <v>652.78</v>
      </c>
    </row>
    <row r="44" spans="1:11" s="6" customFormat="1" x14ac:dyDescent="0.25">
      <c r="A44" s="6" t="s">
        <v>5</v>
      </c>
      <c r="B44">
        <v>23.05</v>
      </c>
      <c r="C44">
        <v>24.27</v>
      </c>
      <c r="D44">
        <v>10.26</v>
      </c>
      <c r="E44">
        <v>34.86</v>
      </c>
      <c r="F44">
        <v>25.22</v>
      </c>
      <c r="G44">
        <v>27.6</v>
      </c>
      <c r="H44">
        <v>20.25</v>
      </c>
      <c r="I44">
        <v>34.659999999999997</v>
      </c>
      <c r="J44">
        <v>-4.8899999999999997</v>
      </c>
      <c r="K44">
        <v>36.76</v>
      </c>
    </row>
    <row r="45" spans="1:11" s="6" customFormat="1" x14ac:dyDescent="0.25">
      <c r="A45" s="6" t="s">
        <v>6</v>
      </c>
      <c r="B45">
        <v>35.51</v>
      </c>
      <c r="C45">
        <v>17.46</v>
      </c>
      <c r="D45">
        <v>21.43</v>
      </c>
      <c r="E45">
        <v>24.83</v>
      </c>
      <c r="F45">
        <v>30.82</v>
      </c>
      <c r="G45">
        <v>21.24</v>
      </c>
      <c r="H45">
        <v>23.75</v>
      </c>
      <c r="I45">
        <v>24.79</v>
      </c>
      <c r="J45">
        <v>20.58</v>
      </c>
      <c r="K45">
        <v>23.39</v>
      </c>
    </row>
    <row r="46" spans="1:11" s="6" customFormat="1" x14ac:dyDescent="0.25">
      <c r="A46" s="6" t="s">
        <v>7</v>
      </c>
      <c r="B46">
        <v>1.17</v>
      </c>
      <c r="C46">
        <v>1.17</v>
      </c>
      <c r="D46">
        <v>0.91</v>
      </c>
      <c r="E46">
        <v>0.89</v>
      </c>
      <c r="F46">
        <v>0.95</v>
      </c>
      <c r="G46">
        <v>0.86</v>
      </c>
      <c r="H46">
        <v>0.87</v>
      </c>
      <c r="I46">
        <v>0.85</v>
      </c>
      <c r="J46">
        <v>0.85</v>
      </c>
      <c r="K46">
        <v>2.0499999999999998</v>
      </c>
    </row>
    <row r="47" spans="1:11" s="6" customFormat="1" x14ac:dyDescent="0.25">
      <c r="A47" s="6" t="s">
        <v>8</v>
      </c>
      <c r="B47">
        <v>400.43</v>
      </c>
      <c r="C47">
        <v>-106.02</v>
      </c>
      <c r="D47">
        <v>40.6</v>
      </c>
      <c r="E47">
        <v>68.540000000000006</v>
      </c>
      <c r="F47">
        <v>337.76</v>
      </c>
      <c r="G47">
        <v>-28.18</v>
      </c>
      <c r="H47">
        <v>61.77</v>
      </c>
      <c r="I47">
        <v>298.54000000000002</v>
      </c>
      <c r="J47">
        <v>377.78</v>
      </c>
      <c r="K47">
        <v>53.34</v>
      </c>
    </row>
    <row r="48" spans="1:11" s="6" customFormat="1" x14ac:dyDescent="0.25">
      <c r="A48" s="6" t="s">
        <v>9</v>
      </c>
      <c r="B48">
        <v>90.71</v>
      </c>
      <c r="C48">
        <v>-27.99</v>
      </c>
      <c r="D48">
        <v>14.35</v>
      </c>
      <c r="E48">
        <v>19.36</v>
      </c>
      <c r="F48">
        <v>77.39</v>
      </c>
      <c r="G48">
        <v>-7.24</v>
      </c>
      <c r="H48">
        <v>18.52</v>
      </c>
      <c r="I48">
        <v>85.28</v>
      </c>
      <c r="J48">
        <v>113.42</v>
      </c>
      <c r="K48">
        <v>13.48</v>
      </c>
    </row>
    <row r="49" spans="1:11" s="6" customFormat="1" x14ac:dyDescent="0.25">
      <c r="A49" s="6" t="s">
        <v>10</v>
      </c>
      <c r="B49">
        <v>309.72000000000003</v>
      </c>
      <c r="C49">
        <v>-78.040000000000006</v>
      </c>
      <c r="D49">
        <v>26.25</v>
      </c>
      <c r="E49">
        <v>49.19</v>
      </c>
      <c r="F49">
        <v>260.37</v>
      </c>
      <c r="G49">
        <v>-20.95</v>
      </c>
      <c r="H49">
        <v>43.25</v>
      </c>
      <c r="I49">
        <v>213.26</v>
      </c>
      <c r="J49">
        <v>264.36</v>
      </c>
      <c r="K49">
        <v>39.86</v>
      </c>
    </row>
    <row r="50" spans="1:11" x14ac:dyDescent="0.25">
      <c r="A50" s="6" t="s">
        <v>4</v>
      </c>
      <c r="B50">
        <v>414.06</v>
      </c>
      <c r="C50">
        <v>-111.66</v>
      </c>
      <c r="D50">
        <v>52.68</v>
      </c>
      <c r="E50">
        <v>59.4</v>
      </c>
      <c r="F50">
        <v>344.31</v>
      </c>
      <c r="G50">
        <v>-33.68</v>
      </c>
      <c r="H50">
        <v>66.14</v>
      </c>
      <c r="I50">
        <v>289.52</v>
      </c>
      <c r="J50">
        <v>404.1</v>
      </c>
      <c r="K50">
        <v>42.02</v>
      </c>
    </row>
    <row r="51" spans="1:11" x14ac:dyDescent="0.25">
      <c r="A51" s="6"/>
    </row>
    <row r="52" spans="1:11" x14ac:dyDescent="0.25">
      <c r="A52" s="6"/>
    </row>
    <row r="53" spans="1:11" x14ac:dyDescent="0.25">
      <c r="A53" s="6"/>
    </row>
    <row r="54" spans="1:11" x14ac:dyDescent="0.25">
      <c r="A54" s="6"/>
    </row>
    <row r="55" spans="1:11" x14ac:dyDescent="0.25">
      <c r="A55" s="1" t="s">
        <v>29</v>
      </c>
    </row>
    <row r="56" spans="1:11" s="10" customFormat="1" x14ac:dyDescent="0.25">
      <c r="A56" s="9" t="s">
        <v>27</v>
      </c>
      <c r="B56" s="8">
        <v>40999</v>
      </c>
      <c r="C56" s="8">
        <v>41364</v>
      </c>
      <c r="D56" s="8">
        <v>42094</v>
      </c>
      <c r="E56" s="8">
        <v>42460</v>
      </c>
      <c r="F56" s="8">
        <v>42825</v>
      </c>
      <c r="G56" s="8">
        <v>43190</v>
      </c>
      <c r="H56" s="8">
        <v>43555</v>
      </c>
      <c r="I56" s="8">
        <v>43921</v>
      </c>
      <c r="J56" s="8">
        <v>44286</v>
      </c>
      <c r="K56" s="8">
        <v>44651</v>
      </c>
    </row>
    <row r="57" spans="1:11" x14ac:dyDescent="0.25">
      <c r="A57" s="6" t="s">
        <v>14</v>
      </c>
      <c r="B57">
        <v>115</v>
      </c>
      <c r="C57">
        <v>115</v>
      </c>
      <c r="D57">
        <v>115</v>
      </c>
      <c r="E57">
        <v>97.75</v>
      </c>
      <c r="F57">
        <v>122.19</v>
      </c>
      <c r="G57">
        <v>183.28</v>
      </c>
      <c r="H57">
        <v>183.28</v>
      </c>
      <c r="I57">
        <v>183.28</v>
      </c>
      <c r="J57">
        <v>183.28</v>
      </c>
      <c r="K57">
        <v>183.28</v>
      </c>
    </row>
    <row r="58" spans="1:11" x14ac:dyDescent="0.25">
      <c r="A58" s="6" t="s">
        <v>15</v>
      </c>
      <c r="B58">
        <v>617.38</v>
      </c>
      <c r="C58">
        <v>936.18</v>
      </c>
      <c r="D58">
        <v>1537.67</v>
      </c>
      <c r="E58">
        <v>1753.49</v>
      </c>
      <c r="F58">
        <v>2072.79</v>
      </c>
      <c r="G58">
        <v>1773.1</v>
      </c>
      <c r="H58">
        <v>2085.2600000000002</v>
      </c>
      <c r="I58">
        <v>2423.5500000000002</v>
      </c>
      <c r="J58">
        <v>2501.4699999999998</v>
      </c>
      <c r="K58">
        <v>2847.28</v>
      </c>
    </row>
    <row r="59" spans="1:11" x14ac:dyDescent="0.25">
      <c r="A59" s="6" t="s">
        <v>39</v>
      </c>
      <c r="E59">
        <v>3.71</v>
      </c>
      <c r="F59">
        <v>3.58</v>
      </c>
      <c r="G59">
        <v>3.69</v>
      </c>
      <c r="H59">
        <v>5.39</v>
      </c>
      <c r="I59">
        <v>14.51</v>
      </c>
      <c r="J59">
        <v>11.29</v>
      </c>
      <c r="K59">
        <v>10.11</v>
      </c>
    </row>
    <row r="60" spans="1:11" x14ac:dyDescent="0.25">
      <c r="A60" s="6" t="s">
        <v>40</v>
      </c>
      <c r="B60">
        <v>5694.41</v>
      </c>
      <c r="C60">
        <v>6199.43</v>
      </c>
      <c r="D60">
        <v>6759.3</v>
      </c>
      <c r="E60">
        <v>7785.68</v>
      </c>
      <c r="F60">
        <v>6208.42</v>
      </c>
      <c r="G60">
        <v>4696.99</v>
      </c>
      <c r="H60">
        <v>3249.51</v>
      </c>
      <c r="I60">
        <v>3128.46</v>
      </c>
      <c r="J60">
        <v>3333.68</v>
      </c>
      <c r="K60">
        <v>3594.91</v>
      </c>
    </row>
    <row r="61" spans="1:11" s="1" customFormat="1" x14ac:dyDescent="0.25">
      <c r="A61" s="1" t="s">
        <v>16</v>
      </c>
      <c r="B61">
        <v>6426.79</v>
      </c>
      <c r="C61">
        <v>7250.61</v>
      </c>
      <c r="D61">
        <v>8411.9699999999993</v>
      </c>
      <c r="E61">
        <v>9640.6299999999992</v>
      </c>
      <c r="F61">
        <v>8406.98</v>
      </c>
      <c r="G61">
        <v>6657.06</v>
      </c>
      <c r="H61">
        <v>5523.44</v>
      </c>
      <c r="I61">
        <v>5749.8</v>
      </c>
      <c r="J61">
        <v>6029.72</v>
      </c>
      <c r="K61">
        <v>6635.58</v>
      </c>
    </row>
    <row r="62" spans="1:11" x14ac:dyDescent="0.25">
      <c r="A62" s="6" t="s">
        <v>17</v>
      </c>
      <c r="B62">
        <v>211.67</v>
      </c>
      <c r="C62">
        <v>276.56</v>
      </c>
      <c r="D62">
        <v>517.70000000000005</v>
      </c>
      <c r="E62">
        <v>696.77</v>
      </c>
      <c r="F62">
        <v>757.13</v>
      </c>
      <c r="G62">
        <v>868.38</v>
      </c>
      <c r="H62">
        <v>956.97</v>
      </c>
      <c r="I62">
        <v>932.37</v>
      </c>
      <c r="J62">
        <v>914.99</v>
      </c>
      <c r="K62">
        <v>873.85</v>
      </c>
    </row>
    <row r="63" spans="1:11" x14ac:dyDescent="0.25">
      <c r="A63" s="6" t="s">
        <v>18</v>
      </c>
      <c r="B63">
        <v>45.47</v>
      </c>
      <c r="C63">
        <v>69.53</v>
      </c>
      <c r="D63">
        <v>142.27000000000001</v>
      </c>
      <c r="E63">
        <v>126.21</v>
      </c>
      <c r="F63">
        <v>135.88</v>
      </c>
      <c r="G63">
        <v>129.84</v>
      </c>
      <c r="H63">
        <v>47.03</v>
      </c>
      <c r="I63">
        <v>42.06</v>
      </c>
      <c r="J63">
        <v>21.5</v>
      </c>
      <c r="K63">
        <v>40.729999999999997</v>
      </c>
    </row>
    <row r="64" spans="1:11" x14ac:dyDescent="0.25">
      <c r="A64" s="6" t="s">
        <v>19</v>
      </c>
      <c r="B64">
        <v>0.54</v>
      </c>
      <c r="C64">
        <v>0.54</v>
      </c>
      <c r="D64">
        <v>2.93</v>
      </c>
      <c r="E64">
        <v>2.95</v>
      </c>
      <c r="F64">
        <v>2.95</v>
      </c>
      <c r="G64">
        <v>238.99</v>
      </c>
      <c r="H64">
        <v>3.72</v>
      </c>
      <c r="I64">
        <v>3.9</v>
      </c>
      <c r="J64">
        <v>4.5199999999999996</v>
      </c>
      <c r="K64"/>
    </row>
    <row r="65" spans="1:11" x14ac:dyDescent="0.25">
      <c r="A65" s="6" t="s">
        <v>41</v>
      </c>
      <c r="B65">
        <v>6169.11</v>
      </c>
      <c r="C65">
        <v>6903.98</v>
      </c>
      <c r="D65">
        <v>7749.07</v>
      </c>
      <c r="E65">
        <v>8814.7000000000007</v>
      </c>
      <c r="F65">
        <v>7511.02</v>
      </c>
      <c r="G65">
        <v>5419.85</v>
      </c>
      <c r="H65">
        <v>4515.72</v>
      </c>
      <c r="I65">
        <v>4771.47</v>
      </c>
      <c r="J65">
        <v>5088.71</v>
      </c>
      <c r="K65">
        <v>5721</v>
      </c>
    </row>
    <row r="66" spans="1:11" s="1" customFormat="1" x14ac:dyDescent="0.25">
      <c r="A66" s="1" t="s">
        <v>16</v>
      </c>
      <c r="B66">
        <v>6426.79</v>
      </c>
      <c r="C66">
        <v>7250.61</v>
      </c>
      <c r="D66">
        <v>8411.9699999999993</v>
      </c>
      <c r="E66">
        <v>9640.6299999999992</v>
      </c>
      <c r="F66">
        <v>8406.98</v>
      </c>
      <c r="G66">
        <v>6657.06</v>
      </c>
      <c r="H66">
        <v>5523.44</v>
      </c>
      <c r="I66">
        <v>5749.8</v>
      </c>
      <c r="J66">
        <v>6029.72</v>
      </c>
      <c r="K66">
        <v>6635.58</v>
      </c>
    </row>
    <row r="67" spans="1:11" s="6" customFormat="1" x14ac:dyDescent="0.25">
      <c r="A67" s="6" t="s">
        <v>46</v>
      </c>
      <c r="B67">
        <v>88.39</v>
      </c>
      <c r="C67">
        <v>275.45</v>
      </c>
      <c r="D67">
        <v>334.79</v>
      </c>
      <c r="E67">
        <v>144.86000000000001</v>
      </c>
      <c r="F67">
        <v>154.55000000000001</v>
      </c>
      <c r="G67">
        <v>770.41</v>
      </c>
      <c r="H67">
        <v>525.92999999999995</v>
      </c>
      <c r="I67">
        <v>338.37</v>
      </c>
      <c r="J67">
        <v>322.69</v>
      </c>
      <c r="K67">
        <v>304.16000000000003</v>
      </c>
    </row>
    <row r="68" spans="1:11" x14ac:dyDescent="0.25">
      <c r="A68" s="6" t="s">
        <v>33</v>
      </c>
      <c r="B68">
        <v>612.19000000000005</v>
      </c>
      <c r="C68">
        <v>1001.33</v>
      </c>
      <c r="D68">
        <v>1475.67</v>
      </c>
      <c r="E68">
        <v>2057.66</v>
      </c>
      <c r="F68">
        <v>2267.3000000000002</v>
      </c>
      <c r="G68">
        <v>1984.56</v>
      </c>
      <c r="H68">
        <v>1719.55</v>
      </c>
      <c r="I68">
        <v>921.05</v>
      </c>
      <c r="J68">
        <v>1464.97</v>
      </c>
      <c r="K68">
        <v>1726.15</v>
      </c>
    </row>
    <row r="69" spans="1:11" x14ac:dyDescent="0.25">
      <c r="A69" s="3" t="s">
        <v>55</v>
      </c>
      <c r="B69">
        <v>4295.08</v>
      </c>
      <c r="C69">
        <v>3962.26</v>
      </c>
      <c r="D69">
        <v>3668.92</v>
      </c>
      <c r="E69">
        <v>3242.49</v>
      </c>
      <c r="F69">
        <v>1738.01</v>
      </c>
      <c r="G69">
        <v>356.79</v>
      </c>
      <c r="H69">
        <v>371.32</v>
      </c>
      <c r="I69">
        <v>663.49</v>
      </c>
      <c r="J69">
        <v>1560.95</v>
      </c>
      <c r="K69">
        <v>1899.53</v>
      </c>
    </row>
    <row r="70" spans="1:11" x14ac:dyDescent="0.25">
      <c r="A70" s="3" t="s">
        <v>42</v>
      </c>
      <c r="B70">
        <v>1150000</v>
      </c>
      <c r="C70">
        <v>1150000</v>
      </c>
      <c r="D70">
        <v>1150000</v>
      </c>
      <c r="E70">
        <v>977500</v>
      </c>
      <c r="F70">
        <v>1221875</v>
      </c>
      <c r="G70">
        <v>183281250</v>
      </c>
      <c r="H70">
        <v>183281250</v>
      </c>
      <c r="I70">
        <v>183281250</v>
      </c>
      <c r="J70">
        <v>183281250</v>
      </c>
      <c r="K70">
        <v>183281250</v>
      </c>
    </row>
    <row r="71" spans="1:11" x14ac:dyDescent="0.25">
      <c r="A71" s="3" t="s">
        <v>43</v>
      </c>
      <c r="H71"/>
    </row>
    <row r="72" spans="1:11" x14ac:dyDescent="0.25">
      <c r="A72" s="3" t="s">
        <v>56</v>
      </c>
      <c r="B72">
        <v>1000</v>
      </c>
      <c r="C72">
        <v>1000</v>
      </c>
      <c r="D72">
        <v>1000</v>
      </c>
      <c r="E72">
        <v>1000</v>
      </c>
      <c r="F72">
        <v>1000</v>
      </c>
      <c r="G72">
        <v>10</v>
      </c>
      <c r="H72">
        <v>10</v>
      </c>
      <c r="I72">
        <v>10</v>
      </c>
      <c r="J72">
        <v>10</v>
      </c>
      <c r="K72">
        <v>10</v>
      </c>
    </row>
    <row r="74" spans="1:11" x14ac:dyDescent="0.25">
      <c r="A74" s="6"/>
    </row>
    <row r="75" spans="1:11" x14ac:dyDescent="0.25">
      <c r="A75" s="6"/>
    </row>
    <row r="76" spans="1:11" x14ac:dyDescent="0.25">
      <c r="A76" s="6"/>
    </row>
    <row r="77" spans="1:11" x14ac:dyDescent="0.25">
      <c r="A77" s="6"/>
    </row>
    <row r="78" spans="1:11" x14ac:dyDescent="0.25">
      <c r="A78" s="6"/>
    </row>
    <row r="79" spans="1:11" x14ac:dyDescent="0.25">
      <c r="A79" s="6"/>
    </row>
    <row r="80" spans="1:11" x14ac:dyDescent="0.25">
      <c r="A80" s="1" t="s">
        <v>30</v>
      </c>
    </row>
    <row r="81" spans="1:11" s="10" customFormat="1" x14ac:dyDescent="0.25">
      <c r="A81" s="9" t="s">
        <v>27</v>
      </c>
      <c r="B81" s="8">
        <v>40999</v>
      </c>
      <c r="C81" s="8">
        <v>41364</v>
      </c>
      <c r="D81" s="8">
        <v>42094</v>
      </c>
      <c r="E81" s="8">
        <v>42460</v>
      </c>
      <c r="F81" s="8">
        <v>42825</v>
      </c>
      <c r="G81" s="8">
        <v>43190</v>
      </c>
      <c r="H81" s="8">
        <v>43555</v>
      </c>
      <c r="I81" s="8">
        <v>43921</v>
      </c>
      <c r="J81" s="8">
        <v>44286</v>
      </c>
      <c r="K81" s="8">
        <v>44651</v>
      </c>
    </row>
    <row r="82" spans="1:11" s="1" customFormat="1" x14ac:dyDescent="0.25">
      <c r="A82" s="6" t="s">
        <v>21</v>
      </c>
      <c r="B82"/>
      <c r="C82"/>
      <c r="D82">
        <v>-764.7</v>
      </c>
      <c r="E82">
        <v>284.27999999999997</v>
      </c>
      <c r="F82">
        <v>-419.89</v>
      </c>
      <c r="G82">
        <v>-341.5</v>
      </c>
      <c r="H82">
        <v>83.52</v>
      </c>
      <c r="I82">
        <v>504.22</v>
      </c>
      <c r="J82">
        <v>1068.01</v>
      </c>
      <c r="K82">
        <v>529.66</v>
      </c>
    </row>
    <row r="83" spans="1:11" s="6" customFormat="1" x14ac:dyDescent="0.25">
      <c r="A83" s="6" t="s">
        <v>22</v>
      </c>
      <c r="B83"/>
      <c r="C83"/>
      <c r="D83">
        <v>239.29</v>
      </c>
      <c r="E83">
        <v>148.59</v>
      </c>
      <c r="F83">
        <v>2.68</v>
      </c>
      <c r="G83">
        <v>1047.02</v>
      </c>
      <c r="H83">
        <v>169.78</v>
      </c>
      <c r="I83">
        <v>-33.18</v>
      </c>
      <c r="J83">
        <v>-733.78</v>
      </c>
      <c r="K83">
        <v>-573.01</v>
      </c>
    </row>
    <row r="84" spans="1:11" s="6" customFormat="1" x14ac:dyDescent="0.25">
      <c r="A84" s="6" t="s">
        <v>23</v>
      </c>
      <c r="B84"/>
      <c r="C84"/>
      <c r="D84">
        <v>-72.209999999999994</v>
      </c>
      <c r="E84">
        <v>-324.27</v>
      </c>
      <c r="F84">
        <v>-166.17</v>
      </c>
      <c r="G84">
        <v>-768.64</v>
      </c>
      <c r="H84">
        <v>-268.13</v>
      </c>
      <c r="I84">
        <v>-190.87</v>
      </c>
      <c r="J84">
        <v>-172.64</v>
      </c>
      <c r="K84">
        <v>-148.52000000000001</v>
      </c>
    </row>
    <row r="85" spans="1:11" s="1" customFormat="1" x14ac:dyDescent="0.25">
      <c r="A85" s="6" t="s">
        <v>24</v>
      </c>
      <c r="B85"/>
      <c r="C85"/>
      <c r="D85">
        <v>-597.62</v>
      </c>
      <c r="E85">
        <v>108.6</v>
      </c>
      <c r="F85">
        <v>-583.38</v>
      </c>
      <c r="G85">
        <v>-63.12</v>
      </c>
      <c r="H85">
        <v>-14.83</v>
      </c>
      <c r="I85">
        <v>280.17</v>
      </c>
      <c r="J85">
        <v>161.59</v>
      </c>
      <c r="K85">
        <v>-191.87</v>
      </c>
    </row>
    <row r="86" spans="1:11" x14ac:dyDescent="0.25">
      <c r="A86" s="6"/>
    </row>
    <row r="87" spans="1:11" x14ac:dyDescent="0.25">
      <c r="A87" s="6"/>
    </row>
    <row r="88" spans="1:11" x14ac:dyDescent="0.25">
      <c r="A88" s="6"/>
    </row>
    <row r="89" spans="1:11" x14ac:dyDescent="0.25">
      <c r="A89" s="6"/>
    </row>
    <row r="90" spans="1:11" s="1" customFormat="1" x14ac:dyDescent="0.25">
      <c r="A90" s="1" t="s">
        <v>45</v>
      </c>
      <c r="G90">
        <v>396.65</v>
      </c>
      <c r="H90">
        <v>283.3</v>
      </c>
      <c r="I90">
        <v>185.15</v>
      </c>
      <c r="J90">
        <v>332.55</v>
      </c>
      <c r="K90">
        <v>549.29999999999995</v>
      </c>
    </row>
    <row r="92" spans="1:11" s="1" customFormat="1" x14ac:dyDescent="0.25">
      <c r="A92" s="1" t="s">
        <v>44</v>
      </c>
    </row>
    <row r="93" spans="1:11" x14ac:dyDescent="0.25">
      <c r="A93" s="3" t="s">
        <v>57</v>
      </c>
      <c r="B93" s="12">
        <v>0.12</v>
      </c>
      <c r="C93" s="12">
        <v>0.12</v>
      </c>
      <c r="D93" s="12">
        <v>0.12</v>
      </c>
      <c r="E93" s="12">
        <v>0.1</v>
      </c>
      <c r="F93" s="12">
        <v>0.12</v>
      </c>
      <c r="G93" s="12">
        <v>18.329999999999998</v>
      </c>
      <c r="H93" s="12">
        <v>18.329999999999998</v>
      </c>
      <c r="I93" s="12">
        <v>18.329999999999998</v>
      </c>
      <c r="J93" s="12">
        <v>18.329999999999998</v>
      </c>
      <c r="K93" s="12">
        <v>18.329999999999998</v>
      </c>
    </row>
  </sheetData>
  <mergeCells count="2">
    <mergeCell ref="E1:K1"/>
    <mergeCell ref="E2:K2"/>
  </mergeCells>
  <conditionalFormatting sqref="E1:K1">
    <cfRule type="cellIs" dxfId="1" priority="1" operator="notEqual">
      <formula>""</formula>
    </cfRule>
  </conditionalFormatting>
  <hyperlinks>
    <hyperlink ref="E1:K1" r:id="rId1" display="https://www.screener.in/excel/" xr:uid="{00000000-0004-0000-04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09FF1-93F0-42D9-87EC-ABC109A4F744}">
  <sheetPr codeName="Sheet6"/>
  <dimension ref="A1:S116"/>
  <sheetViews>
    <sheetView topLeftCell="E56" workbookViewId="0">
      <selection activeCell="S76" sqref="S76"/>
    </sheetView>
  </sheetViews>
  <sheetFormatPr defaultRowHeight="15" x14ac:dyDescent="0.25"/>
  <cols>
    <col min="1" max="1" width="30.7109375" style="3" bestFit="1" customWidth="1"/>
    <col min="2" max="11" width="13.5703125" style="3" bestFit="1" customWidth="1"/>
    <col min="12" max="13" width="9.140625" style="3"/>
    <col min="14" max="14" width="12.5703125" style="3" bestFit="1" customWidth="1"/>
    <col min="15" max="17" width="9.140625" style="3"/>
    <col min="18" max="18" width="14.85546875" style="3" bestFit="1" customWidth="1"/>
    <col min="19" max="16384" width="9.140625" style="3"/>
  </cols>
  <sheetData>
    <row r="1" spans="1:12" s="1" customFormat="1" x14ac:dyDescent="0.25">
      <c r="A1" s="1" t="str">
        <f>+'Data Sheet'!A1</f>
        <v>COMPANY NAME</v>
      </c>
      <c r="B1" s="1" t="str">
        <f>+'Data Sheet'!B1</f>
        <v>BHARAT DYNAMICS LTD</v>
      </c>
      <c r="E1" s="109" t="str">
        <f>IF(B2&lt;&gt;B3, "A NEW VERSION OF THE WORKSHEET IS AVAILABLE", "")</f>
        <v/>
      </c>
      <c r="F1" s="109"/>
      <c r="G1" s="109"/>
      <c r="H1" s="109"/>
      <c r="I1" s="109"/>
      <c r="J1" s="109"/>
      <c r="K1" s="109"/>
    </row>
    <row r="2" spans="1:12" x14ac:dyDescent="0.25">
      <c r="A2" s="1" t="s">
        <v>34</v>
      </c>
      <c r="B2" s="3">
        <v>2.1</v>
      </c>
      <c r="E2" s="110" t="s">
        <v>25</v>
      </c>
      <c r="F2" s="110"/>
      <c r="G2" s="110"/>
      <c r="H2" s="110"/>
      <c r="I2" s="110"/>
      <c r="J2" s="110"/>
      <c r="K2" s="110"/>
    </row>
    <row r="3" spans="1:12" x14ac:dyDescent="0.25">
      <c r="A3" s="1" t="s">
        <v>35</v>
      </c>
      <c r="B3" s="3">
        <v>2.1</v>
      </c>
    </row>
    <row r="4" spans="1:12" x14ac:dyDescent="0.25">
      <c r="A4" s="1"/>
    </row>
    <row r="5" spans="1:12" x14ac:dyDescent="0.25">
      <c r="A5" s="1" t="s">
        <v>37</v>
      </c>
    </row>
    <row r="6" spans="1:12" x14ac:dyDescent="0.25">
      <c r="A6" s="3" t="s">
        <v>31</v>
      </c>
      <c r="B6" s="3">
        <f>IF(B9&gt;0, B9/B8, 0)</f>
        <v>10.449997462057764</v>
      </c>
    </row>
    <row r="7" spans="1:12" x14ac:dyDescent="0.25">
      <c r="A7" s="3" t="s">
        <v>20</v>
      </c>
      <c r="B7">
        <v>10</v>
      </c>
    </row>
    <row r="8" spans="1:12" x14ac:dyDescent="0.25">
      <c r="A8" s="3" t="s">
        <v>32</v>
      </c>
      <c r="B8">
        <v>985.05</v>
      </c>
    </row>
    <row r="9" spans="1:12" x14ac:dyDescent="0.25">
      <c r="A9" s="3" t="s">
        <v>47</v>
      </c>
      <c r="B9">
        <v>10293.77</v>
      </c>
    </row>
    <row r="10" spans="1:12" x14ac:dyDescent="0.25">
      <c r="A10" s="3" t="s">
        <v>302</v>
      </c>
      <c r="B10" s="83">
        <v>0.12</v>
      </c>
    </row>
    <row r="15" spans="1:12" x14ac:dyDescent="0.25">
      <c r="A15" s="1" t="s">
        <v>26</v>
      </c>
      <c r="B15" s="84">
        <v>1</v>
      </c>
      <c r="C15" s="84">
        <v>2</v>
      </c>
      <c r="D15" s="84">
        <v>3</v>
      </c>
      <c r="E15" s="84">
        <v>4</v>
      </c>
      <c r="F15" s="84">
        <v>5</v>
      </c>
      <c r="G15" s="84">
        <v>6</v>
      </c>
      <c r="H15" s="84">
        <v>7</v>
      </c>
      <c r="I15" s="84">
        <v>8</v>
      </c>
      <c r="J15" s="84">
        <v>9</v>
      </c>
      <c r="K15" s="84">
        <v>10</v>
      </c>
    </row>
    <row r="16" spans="1:12" s="10" customFormat="1" x14ac:dyDescent="0.25">
      <c r="A16" s="9" t="str">
        <f>+'Data Sheet'!A16</f>
        <v>Report Date</v>
      </c>
      <c r="B16" s="9">
        <f>+'Data Sheet'!B16</f>
        <v>40999</v>
      </c>
      <c r="C16" s="9">
        <f>+'Data Sheet'!C16</f>
        <v>41364</v>
      </c>
      <c r="D16" s="9">
        <f>+'Data Sheet'!D16</f>
        <v>42094</v>
      </c>
      <c r="E16" s="9">
        <f>+'Data Sheet'!E16</f>
        <v>42460</v>
      </c>
      <c r="F16" s="9">
        <f>+'Data Sheet'!F16</f>
        <v>42825</v>
      </c>
      <c r="G16" s="9">
        <f>+'Data Sheet'!G16</f>
        <v>43190</v>
      </c>
      <c r="H16" s="9">
        <f>+'Data Sheet'!H16</f>
        <v>43555</v>
      </c>
      <c r="I16" s="9">
        <f>+'Data Sheet'!I16</f>
        <v>43921</v>
      </c>
      <c r="J16" s="9">
        <f>+'Data Sheet'!J16</f>
        <v>44286</v>
      </c>
      <c r="K16" s="9">
        <f>+'Data Sheet'!K16</f>
        <v>44651</v>
      </c>
      <c r="L16" s="86" t="s">
        <v>295</v>
      </c>
    </row>
    <row r="17" spans="1:12" s="6" customFormat="1" x14ac:dyDescent="0.25">
      <c r="A17" s="6" t="str">
        <f>+'Data Sheet'!A17</f>
        <v>Sales</v>
      </c>
      <c r="B17">
        <f>+'Data Sheet'!B17</f>
        <v>955.7</v>
      </c>
      <c r="C17">
        <f>+'Data Sheet'!C17</f>
        <v>1076.3599999999999</v>
      </c>
      <c r="D17">
        <f>+'Data Sheet'!D17</f>
        <v>2840.82</v>
      </c>
      <c r="E17">
        <f>+'Data Sheet'!E17</f>
        <v>4078.76</v>
      </c>
      <c r="F17">
        <f>+'Data Sheet'!F17</f>
        <v>4886.62</v>
      </c>
      <c r="G17">
        <f>+'Data Sheet'!G17</f>
        <v>4587.6000000000004</v>
      </c>
      <c r="H17">
        <f>+'Data Sheet'!H17</f>
        <v>3069.35</v>
      </c>
      <c r="I17">
        <f>+'Data Sheet'!I17</f>
        <v>3104.87</v>
      </c>
      <c r="J17">
        <f>+'Data Sheet'!J17</f>
        <v>1913.76</v>
      </c>
      <c r="K17">
        <f>+'Data Sheet'!K17</f>
        <v>2817.4</v>
      </c>
      <c r="L17" s="83">
        <f>_xlfn.RRI($K$15,B17,K17)</f>
        <v>0.11417316041610381</v>
      </c>
    </row>
    <row r="18" spans="1:12" s="6" customFormat="1" x14ac:dyDescent="0.25">
      <c r="A18" s="3" t="str">
        <f>+'Data Sheet'!A18</f>
        <v>Raw Material Cost</v>
      </c>
      <c r="B18" s="6">
        <f>+'Data Sheet'!B18</f>
        <v>633.53</v>
      </c>
      <c r="C18" s="6">
        <f>+'Data Sheet'!C18</f>
        <v>779.57</v>
      </c>
      <c r="D18" s="6">
        <f>+'Data Sheet'!D18</f>
        <v>1853.89</v>
      </c>
      <c r="E18">
        <f>+'Data Sheet'!E18</f>
        <v>2623.15</v>
      </c>
      <c r="F18">
        <f>+'Data Sheet'!F18</f>
        <v>3125.23</v>
      </c>
      <c r="G18">
        <f>+'Data Sheet'!G18</f>
        <v>2907.59</v>
      </c>
      <c r="H18">
        <f>+'Data Sheet'!H18</f>
        <v>1818.97</v>
      </c>
      <c r="I18">
        <f>+'Data Sheet'!I18</f>
        <v>1014.09</v>
      </c>
      <c r="J18">
        <f>+'Data Sheet'!J18</f>
        <v>970.08</v>
      </c>
      <c r="K18">
        <f>+'Data Sheet'!K18</f>
        <v>1263.3699999999999</v>
      </c>
      <c r="L18" s="83"/>
    </row>
    <row r="19" spans="1:12" s="6" customFormat="1" x14ac:dyDescent="0.25">
      <c r="A19" s="3" t="str">
        <f>+'Data Sheet'!A19</f>
        <v>Change in Inventory</v>
      </c>
      <c r="B19" s="6">
        <f>+'Data Sheet'!B19</f>
        <v>33.82</v>
      </c>
      <c r="C19" s="6">
        <f>+'Data Sheet'!C19</f>
        <v>95.61</v>
      </c>
      <c r="D19" s="6">
        <f>+'Data Sheet'!D19</f>
        <v>-26.63</v>
      </c>
      <c r="E19">
        <f>+'Data Sheet'!E19</f>
        <v>137.86000000000001</v>
      </c>
      <c r="F19">
        <f>+'Data Sheet'!F19</f>
        <v>124.38</v>
      </c>
      <c r="G19">
        <f>+'Data Sheet'!G19</f>
        <v>53.7</v>
      </c>
      <c r="H19">
        <f>+'Data Sheet'!H19</f>
        <v>165.87</v>
      </c>
      <c r="I19">
        <f>+'Data Sheet'!I19</f>
        <v>-503.66</v>
      </c>
      <c r="J19">
        <f>+'Data Sheet'!J19</f>
        <v>128.91</v>
      </c>
      <c r="K19">
        <f>+'Data Sheet'!K19</f>
        <v>84.36</v>
      </c>
      <c r="L19" s="83"/>
    </row>
    <row r="20" spans="1:12" s="6" customFormat="1" x14ac:dyDescent="0.25">
      <c r="A20" s="3" t="str">
        <f>+'Data Sheet'!A20</f>
        <v>Power and Fuel</v>
      </c>
      <c r="B20">
        <f>+'Data Sheet'!B20</f>
        <v>11.29</v>
      </c>
      <c r="C20">
        <f>+'Data Sheet'!C20</f>
        <v>16.93</v>
      </c>
      <c r="D20">
        <f>+'Data Sheet'!D20</f>
        <v>26.91</v>
      </c>
      <c r="E20">
        <f>+'Data Sheet'!E20</f>
        <v>30.18</v>
      </c>
      <c r="F20">
        <f>+'Data Sheet'!F20</f>
        <v>24.34</v>
      </c>
      <c r="G20">
        <f>+'Data Sheet'!G20</f>
        <v>27.33</v>
      </c>
      <c r="H20">
        <f>+'Data Sheet'!H20</f>
        <v>26.04</v>
      </c>
      <c r="I20">
        <f>+'Data Sheet'!I20</f>
        <v>27.21</v>
      </c>
      <c r="J20">
        <f>+'Data Sheet'!J20</f>
        <v>23.28</v>
      </c>
      <c r="K20">
        <f>+'Data Sheet'!K20</f>
        <v>25.36</v>
      </c>
      <c r="L20" s="83"/>
    </row>
    <row r="21" spans="1:12" s="6" customFormat="1" x14ac:dyDescent="0.25">
      <c r="A21" s="3" t="str">
        <f>+'Data Sheet'!A21</f>
        <v>Other Mfr. Exp</v>
      </c>
      <c r="B21">
        <f>+'Data Sheet'!B21</f>
        <v>42.08</v>
      </c>
      <c r="C21">
        <f>+'Data Sheet'!C21</f>
        <v>25.18</v>
      </c>
      <c r="D21">
        <f>+'Data Sheet'!D21</f>
        <v>125.25</v>
      </c>
      <c r="E21">
        <f>+'Data Sheet'!E21</f>
        <v>331.6</v>
      </c>
      <c r="F21">
        <f>+'Data Sheet'!F21</f>
        <v>378.51</v>
      </c>
      <c r="G21">
        <f>+'Data Sheet'!G21</f>
        <v>39.47</v>
      </c>
      <c r="H21">
        <f>+'Data Sheet'!H21</f>
        <v>51.27</v>
      </c>
      <c r="I21">
        <f>+'Data Sheet'!I21</f>
        <v>59.38</v>
      </c>
      <c r="J21">
        <f>+'Data Sheet'!J21</f>
        <v>49.57</v>
      </c>
      <c r="K21">
        <f>+'Data Sheet'!K21</f>
        <v>54.84</v>
      </c>
      <c r="L21" s="83"/>
    </row>
    <row r="22" spans="1:12" s="6" customFormat="1" x14ac:dyDescent="0.25">
      <c r="A22" s="3" t="str">
        <f>+'Data Sheet'!A22</f>
        <v>Employee Cost</v>
      </c>
      <c r="B22">
        <f>+'Data Sheet'!B22</f>
        <v>240.37</v>
      </c>
      <c r="C22">
        <f>+'Data Sheet'!C22</f>
        <v>259.04000000000002</v>
      </c>
      <c r="D22">
        <f>+'Data Sheet'!D22</f>
        <v>312.52</v>
      </c>
      <c r="E22">
        <f>+'Data Sheet'!E22</f>
        <v>326.25</v>
      </c>
      <c r="F22">
        <f>+'Data Sheet'!F22</f>
        <v>448.45</v>
      </c>
      <c r="G22">
        <f>+'Data Sheet'!G22</f>
        <v>529.46</v>
      </c>
      <c r="H22">
        <f>+'Data Sheet'!H22</f>
        <v>534.33000000000004</v>
      </c>
      <c r="I22">
        <f>+'Data Sheet'!I22</f>
        <v>534.13</v>
      </c>
      <c r="J22">
        <f>+'Data Sheet'!J22</f>
        <v>501.12</v>
      </c>
      <c r="K22">
        <f>+'Data Sheet'!K22</f>
        <v>570.72</v>
      </c>
      <c r="L22" s="83">
        <f t="shared" ref="L22:L31" si="0">_xlfn.RRI($K$15,B22,K22)</f>
        <v>9.0320764028793743E-2</v>
      </c>
    </row>
    <row r="23" spans="1:12" s="6" customFormat="1" x14ac:dyDescent="0.25">
      <c r="A23" s="3" t="str">
        <f>+'Data Sheet'!A23</f>
        <v>Selling and admin</v>
      </c>
      <c r="B23">
        <f>+'Data Sheet'!B23</f>
        <v>53.02</v>
      </c>
      <c r="C23">
        <f>+'Data Sheet'!C23</f>
        <v>67.459999999999994</v>
      </c>
      <c r="D23">
        <f>+'Data Sheet'!D23</f>
        <v>167.13</v>
      </c>
      <c r="E23">
        <f>+'Data Sheet'!E23</f>
        <v>53.04</v>
      </c>
      <c r="F23">
        <f>+'Data Sheet'!F23</f>
        <v>81.489999999999995</v>
      </c>
      <c r="G23">
        <f>+'Data Sheet'!G23</f>
        <v>254.64</v>
      </c>
      <c r="H23">
        <f>+'Data Sheet'!H23</f>
        <v>122.77</v>
      </c>
      <c r="I23">
        <f>+'Data Sheet'!I23</f>
        <v>132.18</v>
      </c>
      <c r="J23">
        <f>+'Data Sheet'!J23</f>
        <v>104.31</v>
      </c>
      <c r="K23">
        <f>+'Data Sheet'!K23</f>
        <v>115.13</v>
      </c>
      <c r="L23" s="83"/>
    </row>
    <row r="24" spans="1:12" s="6" customFormat="1" x14ac:dyDescent="0.25">
      <c r="A24" s="3" t="str">
        <f>+'Data Sheet'!A24</f>
        <v>Other Expenses</v>
      </c>
      <c r="B24">
        <f>+'Data Sheet'!B24</f>
        <v>72.790000000000006</v>
      </c>
      <c r="C24">
        <f>+'Data Sheet'!C24</f>
        <v>35.42</v>
      </c>
      <c r="D24">
        <f>+'Data Sheet'!D24</f>
        <v>51.68</v>
      </c>
      <c r="E24">
        <f>+'Data Sheet'!E24</f>
        <v>337.28</v>
      </c>
      <c r="F24">
        <f>+'Data Sheet'!F24</f>
        <v>383.6</v>
      </c>
      <c r="G24">
        <f>+'Data Sheet'!G24</f>
        <v>213.87</v>
      </c>
      <c r="H24">
        <f>+'Data Sheet'!H24</f>
        <v>58.81</v>
      </c>
      <c r="I24">
        <f>+'Data Sheet'!I24</f>
        <v>77.92</v>
      </c>
      <c r="J24">
        <f>+'Data Sheet'!J24</f>
        <v>48.79</v>
      </c>
      <c r="K24">
        <f>+'Data Sheet'!K24</f>
        <v>144.94999999999999</v>
      </c>
      <c r="L24" s="83">
        <f t="shared" si="0"/>
        <v>7.1308744990501438E-2</v>
      </c>
    </row>
    <row r="25" spans="1:12" s="6" customFormat="1" x14ac:dyDescent="0.25">
      <c r="A25" s="6" t="str">
        <f>+'Data Sheet'!A25</f>
        <v>Other Income</v>
      </c>
      <c r="B25">
        <f>+'Data Sheet'!B25</f>
        <v>463.19</v>
      </c>
      <c r="C25">
        <f>+'Data Sheet'!C25</f>
        <v>463.78</v>
      </c>
      <c r="D25">
        <f>+'Data Sheet'!D25</f>
        <v>439.03</v>
      </c>
      <c r="E25">
        <f>+'Data Sheet'!E25</f>
        <v>384.76</v>
      </c>
      <c r="F25">
        <f>+'Data Sheet'!F25</f>
        <v>299.94</v>
      </c>
      <c r="G25">
        <f>+'Data Sheet'!G25</f>
        <v>172.56</v>
      </c>
      <c r="H25">
        <f>+'Data Sheet'!H25</f>
        <v>135.99</v>
      </c>
      <c r="I25">
        <f>+'Data Sheet'!I25</f>
        <v>88.05</v>
      </c>
      <c r="J25">
        <f>+'Data Sheet'!J25</f>
        <v>94.61</v>
      </c>
      <c r="K25">
        <f>+'Data Sheet'!K25</f>
        <v>77.63</v>
      </c>
      <c r="L25" s="83">
        <f t="shared" si="0"/>
        <v>-0.16357493040658977</v>
      </c>
    </row>
    <row r="26" spans="1:12" s="6" customFormat="1" x14ac:dyDescent="0.25">
      <c r="A26" s="6" t="str">
        <f>+'Data Sheet'!A26</f>
        <v>Depreciation</v>
      </c>
      <c r="B26">
        <f>+'Data Sheet'!B26</f>
        <v>50.25</v>
      </c>
      <c r="C26">
        <f>+'Data Sheet'!C26</f>
        <v>41.69</v>
      </c>
      <c r="D26">
        <f>+'Data Sheet'!D26</f>
        <v>66.680000000000007</v>
      </c>
      <c r="E26">
        <f>+'Data Sheet'!E26</f>
        <v>53.22</v>
      </c>
      <c r="F26">
        <f>+'Data Sheet'!F26</f>
        <v>62.02</v>
      </c>
      <c r="G26">
        <f>+'Data Sheet'!G26</f>
        <v>63.48</v>
      </c>
      <c r="H26">
        <f>+'Data Sheet'!H26</f>
        <v>82.5</v>
      </c>
      <c r="I26">
        <f>+'Data Sheet'!I26</f>
        <v>96.44</v>
      </c>
      <c r="J26">
        <f>+'Data Sheet'!J26</f>
        <v>94.54</v>
      </c>
      <c r="K26">
        <f>+'Data Sheet'!K26</f>
        <v>90.35</v>
      </c>
      <c r="L26" s="83">
        <f t="shared" si="0"/>
        <v>6.0423171665600739E-2</v>
      </c>
    </row>
    <row r="27" spans="1:12" s="6" customFormat="1" x14ac:dyDescent="0.25">
      <c r="A27" s="6" t="str">
        <f>+'Data Sheet'!A27</f>
        <v>Interest</v>
      </c>
      <c r="B27" s="6">
        <f>+'Data Sheet'!B27</f>
        <v>1.19</v>
      </c>
      <c r="C27" s="6">
        <f>+'Data Sheet'!C27</f>
        <v>1.3</v>
      </c>
      <c r="D27" s="6">
        <f>+'Data Sheet'!D27</f>
        <v>5.23</v>
      </c>
      <c r="E27">
        <f>+'Data Sheet'!E27</f>
        <v>5.39</v>
      </c>
      <c r="F27">
        <f>+'Data Sheet'!F27</f>
        <v>4.49</v>
      </c>
      <c r="G27">
        <f>+'Data Sheet'!G27</f>
        <v>4.2</v>
      </c>
      <c r="H27">
        <f>+'Data Sheet'!H27</f>
        <v>5.15</v>
      </c>
      <c r="I27">
        <f>+'Data Sheet'!I27</f>
        <v>5.46</v>
      </c>
      <c r="J27">
        <f>+'Data Sheet'!J27</f>
        <v>4.71</v>
      </c>
      <c r="K27">
        <f>+'Data Sheet'!K27</f>
        <v>4.75</v>
      </c>
      <c r="L27" s="83"/>
    </row>
    <row r="28" spans="1:12" s="6" customFormat="1" x14ac:dyDescent="0.25">
      <c r="A28" s="6" t="str">
        <f>+'Data Sheet'!A28</f>
        <v>Profit before tax</v>
      </c>
      <c r="B28">
        <f>+'Data Sheet'!B28</f>
        <v>348.19</v>
      </c>
      <c r="C28">
        <f>+'Data Sheet'!C28</f>
        <v>409.16</v>
      </c>
      <c r="D28">
        <f>+'Data Sheet'!D28</f>
        <v>643.92999999999995</v>
      </c>
      <c r="E28">
        <f>+'Data Sheet'!E28</f>
        <v>841.27</v>
      </c>
      <c r="F28">
        <f>+'Data Sheet'!F28</f>
        <v>802.81</v>
      </c>
      <c r="G28">
        <f>+'Data Sheet'!G28</f>
        <v>773.82</v>
      </c>
      <c r="H28">
        <f>+'Data Sheet'!H28</f>
        <v>671.37</v>
      </c>
      <c r="I28">
        <f>+'Data Sheet'!I28</f>
        <v>742.45</v>
      </c>
      <c r="J28">
        <f>+'Data Sheet'!J28</f>
        <v>340.88</v>
      </c>
      <c r="K28">
        <f>+'Data Sheet'!K28</f>
        <v>709.92</v>
      </c>
      <c r="L28" s="83">
        <f t="shared" si="0"/>
        <v>7.3839343654525491E-2</v>
      </c>
    </row>
    <row r="29" spans="1:12" s="6" customFormat="1" x14ac:dyDescent="0.25">
      <c r="A29" s="6" t="str">
        <f>+'Data Sheet'!A29</f>
        <v>Tax</v>
      </c>
      <c r="B29">
        <f>+'Data Sheet'!B29</f>
        <v>113.23</v>
      </c>
      <c r="C29">
        <f>+'Data Sheet'!C29</f>
        <v>130.36000000000001</v>
      </c>
      <c r="D29">
        <f>+'Data Sheet'!D29</f>
        <v>200.38</v>
      </c>
      <c r="E29">
        <f>+'Data Sheet'!E29</f>
        <v>279.2</v>
      </c>
      <c r="F29">
        <f>+'Data Sheet'!F29</f>
        <v>278.75</v>
      </c>
      <c r="G29">
        <f>+'Data Sheet'!G29</f>
        <v>245.68</v>
      </c>
      <c r="H29">
        <f>+'Data Sheet'!H29</f>
        <v>248.78</v>
      </c>
      <c r="I29">
        <f>+'Data Sheet'!I29</f>
        <v>207.55</v>
      </c>
      <c r="J29">
        <f>+'Data Sheet'!J29</f>
        <v>83.11</v>
      </c>
      <c r="K29">
        <f>+'Data Sheet'!K29</f>
        <v>209.99</v>
      </c>
      <c r="L29" s="83">
        <f t="shared" si="0"/>
        <v>6.3711147576468674E-2</v>
      </c>
    </row>
    <row r="30" spans="1:12" s="6" customFormat="1" x14ac:dyDescent="0.25">
      <c r="A30" s="87" t="str">
        <f>+'Data Sheet'!A30</f>
        <v>Net profit</v>
      </c>
      <c r="B30">
        <f>+'Data Sheet'!B30</f>
        <v>234.96</v>
      </c>
      <c r="C30">
        <f>+'Data Sheet'!C30</f>
        <v>278.79000000000002</v>
      </c>
      <c r="D30">
        <f>+'Data Sheet'!D30</f>
        <v>443.55</v>
      </c>
      <c r="E30">
        <f>+'Data Sheet'!E30</f>
        <v>562.07000000000005</v>
      </c>
      <c r="F30">
        <f>+'Data Sheet'!F30</f>
        <v>524.05999999999995</v>
      </c>
      <c r="G30">
        <f>+'Data Sheet'!G30</f>
        <v>528.15</v>
      </c>
      <c r="H30">
        <f>+'Data Sheet'!H30</f>
        <v>422.59</v>
      </c>
      <c r="I30">
        <f>+'Data Sheet'!I30</f>
        <v>534.9</v>
      </c>
      <c r="J30">
        <f>+'Data Sheet'!J30</f>
        <v>257.77</v>
      </c>
      <c r="K30">
        <f>+'Data Sheet'!K30</f>
        <v>499.92</v>
      </c>
      <c r="L30" s="83">
        <f t="shared" si="0"/>
        <v>7.8426764815129113E-2</v>
      </c>
    </row>
    <row r="31" spans="1:12" s="6" customFormat="1" x14ac:dyDescent="0.25">
      <c r="A31" s="6" t="str">
        <f>+'Data Sheet'!A31</f>
        <v>Dividend Amount</v>
      </c>
      <c r="B31">
        <f>+'Data Sheet'!B31</f>
        <v>47</v>
      </c>
      <c r="C31">
        <f>+'Data Sheet'!C31</f>
        <v>57.68</v>
      </c>
      <c r="D31">
        <f>+'Data Sheet'!D31</f>
        <v>83.71</v>
      </c>
      <c r="E31">
        <f>+'Data Sheet'!E31</f>
        <v>168.97</v>
      </c>
      <c r="F31">
        <f>+'Data Sheet'!F31</f>
        <v>157.13999999999999</v>
      </c>
      <c r="G31">
        <f>+'Data Sheet'!G31</f>
        <v>133.61000000000001</v>
      </c>
      <c r="H31">
        <f>+'Data Sheet'!H31</f>
        <v>126.83</v>
      </c>
      <c r="I31">
        <f>+'Data Sheet'!I31</f>
        <v>161.29</v>
      </c>
      <c r="J31">
        <f>+'Data Sheet'!J31</f>
        <v>134.71</v>
      </c>
      <c r="K31">
        <f>+'Data Sheet'!K31</f>
        <v>152.12</v>
      </c>
      <c r="L31" s="83">
        <f t="shared" si="0"/>
        <v>0.12462788059550767</v>
      </c>
    </row>
    <row r="32" spans="1:12" s="6" customFormat="1" x14ac:dyDescent="0.25">
      <c r="L32" s="83" t="e">
        <f>_xlfn.RRI($K$15,B89,K89)</f>
        <v>#NUM!</v>
      </c>
    </row>
    <row r="33" spans="1:11" x14ac:dyDescent="0.25">
      <c r="A33" s="1" t="s">
        <v>28</v>
      </c>
    </row>
    <row r="34" spans="1:11" s="10" customFormat="1" x14ac:dyDescent="0.25">
      <c r="A34" s="9" t="str">
        <f>+'Data Sheet'!A41</f>
        <v>Report Date</v>
      </c>
      <c r="B34" s="9">
        <f>+'Data Sheet'!B41</f>
        <v>43921</v>
      </c>
      <c r="C34" s="9">
        <f>+'Data Sheet'!C41</f>
        <v>44012</v>
      </c>
      <c r="D34" s="9">
        <f>+'Data Sheet'!D41</f>
        <v>44104</v>
      </c>
      <c r="E34" s="9">
        <f>+'Data Sheet'!E41</f>
        <v>44196</v>
      </c>
      <c r="F34" s="9">
        <f>+'Data Sheet'!F41</f>
        <v>44286</v>
      </c>
      <c r="G34" s="9">
        <f>+'Data Sheet'!G41</f>
        <v>44377</v>
      </c>
      <c r="H34" s="9">
        <f>+'Data Sheet'!H41</f>
        <v>44469</v>
      </c>
      <c r="I34" s="9">
        <f>+'Data Sheet'!I41</f>
        <v>44561</v>
      </c>
      <c r="J34" s="9">
        <f>+'Data Sheet'!J41</f>
        <v>44651</v>
      </c>
      <c r="K34" s="9">
        <f>+'Data Sheet'!K41</f>
        <v>44742</v>
      </c>
    </row>
    <row r="35" spans="1:11" s="6" customFormat="1" x14ac:dyDescent="0.25">
      <c r="A35" s="6" t="str">
        <f>+'Data Sheet'!A42</f>
        <v>Sales</v>
      </c>
      <c r="B35">
        <f>+'Data Sheet'!B42</f>
        <v>1439.39</v>
      </c>
      <c r="C35">
        <f>+'Data Sheet'!C42</f>
        <v>31.45</v>
      </c>
      <c r="D35">
        <f>+'Data Sheet'!D42</f>
        <v>280.83999999999997</v>
      </c>
      <c r="E35">
        <f>+'Data Sheet'!E42</f>
        <v>459.02</v>
      </c>
      <c r="F35">
        <f>+'Data Sheet'!F42</f>
        <v>1136.8599999999999</v>
      </c>
      <c r="G35">
        <f>+'Data Sheet'!G42</f>
        <v>128.59</v>
      </c>
      <c r="H35">
        <f>+'Data Sheet'!H42</f>
        <v>503.83</v>
      </c>
      <c r="I35">
        <f>+'Data Sheet'!I42</f>
        <v>803.9</v>
      </c>
      <c r="J35">
        <f>+'Data Sheet'!J42</f>
        <v>1381.07</v>
      </c>
      <c r="K35">
        <f>+'Data Sheet'!K42</f>
        <v>694.8</v>
      </c>
    </row>
    <row r="36" spans="1:11" s="6" customFormat="1" x14ac:dyDescent="0.25">
      <c r="A36" s="6" t="str">
        <f>+'Data Sheet'!A43</f>
        <v>Expenses</v>
      </c>
      <c r="B36">
        <f>+'Data Sheet'!B43</f>
        <v>1025.33</v>
      </c>
      <c r="C36">
        <f>+'Data Sheet'!C43</f>
        <v>143.11000000000001</v>
      </c>
      <c r="D36">
        <f>+'Data Sheet'!D43</f>
        <v>228.16</v>
      </c>
      <c r="E36">
        <f>+'Data Sheet'!E43</f>
        <v>399.62</v>
      </c>
      <c r="F36">
        <f>+'Data Sheet'!F43</f>
        <v>792.55</v>
      </c>
      <c r="G36">
        <f>+'Data Sheet'!G43</f>
        <v>162.27000000000001</v>
      </c>
      <c r="H36">
        <f>+'Data Sheet'!H43</f>
        <v>437.69</v>
      </c>
      <c r="I36">
        <f>+'Data Sheet'!I43</f>
        <v>514.38</v>
      </c>
      <c r="J36">
        <f>+'Data Sheet'!J43</f>
        <v>976.97</v>
      </c>
      <c r="K36">
        <f>+'Data Sheet'!K43</f>
        <v>652.78</v>
      </c>
    </row>
    <row r="37" spans="1:11" s="6" customFormat="1" x14ac:dyDescent="0.25">
      <c r="A37" s="6" t="str">
        <f>+'Data Sheet'!A44</f>
        <v>Other Income</v>
      </c>
      <c r="B37">
        <f>+'Data Sheet'!B44</f>
        <v>23.05</v>
      </c>
      <c r="C37">
        <f>+'Data Sheet'!C44</f>
        <v>24.27</v>
      </c>
      <c r="D37">
        <f>+'Data Sheet'!D44</f>
        <v>10.26</v>
      </c>
      <c r="E37">
        <f>+'Data Sheet'!E44</f>
        <v>34.86</v>
      </c>
      <c r="F37">
        <f>+'Data Sheet'!F44</f>
        <v>25.22</v>
      </c>
      <c r="G37">
        <f>+'Data Sheet'!G44</f>
        <v>27.6</v>
      </c>
      <c r="H37">
        <f>+'Data Sheet'!H44</f>
        <v>20.25</v>
      </c>
      <c r="I37">
        <f>+'Data Sheet'!I44</f>
        <v>34.659999999999997</v>
      </c>
      <c r="J37">
        <f>+'Data Sheet'!J44</f>
        <v>-4.8899999999999997</v>
      </c>
      <c r="K37">
        <f>+'Data Sheet'!K44</f>
        <v>36.76</v>
      </c>
    </row>
    <row r="38" spans="1:11" s="6" customFormat="1" x14ac:dyDescent="0.25">
      <c r="A38" s="6" t="str">
        <f>+'Data Sheet'!A45</f>
        <v>Depreciation</v>
      </c>
      <c r="B38">
        <f>+'Data Sheet'!B45</f>
        <v>35.51</v>
      </c>
      <c r="C38">
        <f>+'Data Sheet'!C45</f>
        <v>17.46</v>
      </c>
      <c r="D38">
        <f>+'Data Sheet'!D45</f>
        <v>21.43</v>
      </c>
      <c r="E38">
        <f>+'Data Sheet'!E45</f>
        <v>24.83</v>
      </c>
      <c r="F38">
        <f>+'Data Sheet'!F45</f>
        <v>30.82</v>
      </c>
      <c r="G38">
        <f>+'Data Sheet'!G45</f>
        <v>21.24</v>
      </c>
      <c r="H38">
        <f>+'Data Sheet'!H45</f>
        <v>23.75</v>
      </c>
      <c r="I38">
        <f>+'Data Sheet'!I45</f>
        <v>24.79</v>
      </c>
      <c r="J38">
        <f>+'Data Sheet'!J45</f>
        <v>20.58</v>
      </c>
      <c r="K38">
        <f>+'Data Sheet'!K45</f>
        <v>23.39</v>
      </c>
    </row>
    <row r="39" spans="1:11" s="6" customFormat="1" x14ac:dyDescent="0.25">
      <c r="A39" s="6" t="str">
        <f>+'Data Sheet'!A46</f>
        <v>Interest</v>
      </c>
      <c r="B39">
        <f>+'Data Sheet'!B46</f>
        <v>1.17</v>
      </c>
      <c r="C39">
        <f>+'Data Sheet'!C46</f>
        <v>1.17</v>
      </c>
      <c r="D39" s="6">
        <f>+'Data Sheet'!D46</f>
        <v>0.91</v>
      </c>
      <c r="E39">
        <f>+'Data Sheet'!E46</f>
        <v>0.89</v>
      </c>
      <c r="F39">
        <f>+'Data Sheet'!F46</f>
        <v>0.95</v>
      </c>
      <c r="G39">
        <f>+'Data Sheet'!G46</f>
        <v>0.86</v>
      </c>
      <c r="H39">
        <f>+'Data Sheet'!H46</f>
        <v>0.87</v>
      </c>
      <c r="I39">
        <f>+'Data Sheet'!I46</f>
        <v>0.85</v>
      </c>
      <c r="J39">
        <f>+'Data Sheet'!J46</f>
        <v>0.85</v>
      </c>
      <c r="K39">
        <f>+'Data Sheet'!K46</f>
        <v>2.0499999999999998</v>
      </c>
    </row>
    <row r="40" spans="1:11" s="6" customFormat="1" x14ac:dyDescent="0.25">
      <c r="A40" s="6" t="str">
        <f>+'Data Sheet'!A47</f>
        <v>Profit before tax</v>
      </c>
      <c r="B40">
        <f>+'Data Sheet'!B47</f>
        <v>400.43</v>
      </c>
      <c r="C40">
        <f>+'Data Sheet'!C47</f>
        <v>-106.02</v>
      </c>
      <c r="D40">
        <f>+'Data Sheet'!D47</f>
        <v>40.6</v>
      </c>
      <c r="E40">
        <f>+'Data Sheet'!E47</f>
        <v>68.540000000000006</v>
      </c>
      <c r="F40">
        <f>+'Data Sheet'!F47</f>
        <v>337.76</v>
      </c>
      <c r="G40">
        <f>+'Data Sheet'!G47</f>
        <v>-28.18</v>
      </c>
      <c r="H40">
        <f>+'Data Sheet'!H47</f>
        <v>61.77</v>
      </c>
      <c r="I40">
        <f>+'Data Sheet'!I47</f>
        <v>298.54000000000002</v>
      </c>
      <c r="J40">
        <f>+'Data Sheet'!J47</f>
        <v>377.78</v>
      </c>
      <c r="K40">
        <f>+'Data Sheet'!K47</f>
        <v>53.34</v>
      </c>
    </row>
    <row r="41" spans="1:11" s="6" customFormat="1" x14ac:dyDescent="0.25">
      <c r="A41" s="6" t="str">
        <f>+'Data Sheet'!A48</f>
        <v>Tax</v>
      </c>
      <c r="B41">
        <f>+'Data Sheet'!B48</f>
        <v>90.71</v>
      </c>
      <c r="C41">
        <f>+'Data Sheet'!C48</f>
        <v>-27.99</v>
      </c>
      <c r="D41">
        <f>+'Data Sheet'!D48</f>
        <v>14.35</v>
      </c>
      <c r="E41">
        <f>+'Data Sheet'!E48</f>
        <v>19.36</v>
      </c>
      <c r="F41">
        <f>+'Data Sheet'!F48</f>
        <v>77.39</v>
      </c>
      <c r="G41">
        <f>+'Data Sheet'!G48</f>
        <v>-7.24</v>
      </c>
      <c r="H41">
        <f>+'Data Sheet'!H48</f>
        <v>18.52</v>
      </c>
      <c r="I41">
        <f>+'Data Sheet'!I48</f>
        <v>85.28</v>
      </c>
      <c r="J41">
        <f>+'Data Sheet'!J48</f>
        <v>113.42</v>
      </c>
      <c r="K41">
        <f>+'Data Sheet'!K48</f>
        <v>13.48</v>
      </c>
    </row>
    <row r="42" spans="1:11" s="6" customFormat="1" x14ac:dyDescent="0.25">
      <c r="A42" s="6" t="str">
        <f>+'Data Sheet'!A49</f>
        <v>Net profit</v>
      </c>
      <c r="B42">
        <f>+'Data Sheet'!B49</f>
        <v>309.72000000000003</v>
      </c>
      <c r="C42">
        <f>+'Data Sheet'!C49</f>
        <v>-78.040000000000006</v>
      </c>
      <c r="D42">
        <f>+'Data Sheet'!D49</f>
        <v>26.25</v>
      </c>
      <c r="E42">
        <f>+'Data Sheet'!E49</f>
        <v>49.19</v>
      </c>
      <c r="F42">
        <f>+'Data Sheet'!F49</f>
        <v>260.37</v>
      </c>
      <c r="G42">
        <f>+'Data Sheet'!G49</f>
        <v>-20.95</v>
      </c>
      <c r="H42">
        <f>+'Data Sheet'!H49</f>
        <v>43.25</v>
      </c>
      <c r="I42">
        <f>+'Data Sheet'!I49</f>
        <v>213.26</v>
      </c>
      <c r="J42">
        <f>+'Data Sheet'!J49</f>
        <v>264.36</v>
      </c>
      <c r="K42">
        <f>+'Data Sheet'!K49</f>
        <v>39.86</v>
      </c>
    </row>
    <row r="43" spans="1:11" x14ac:dyDescent="0.25">
      <c r="A43" s="6" t="str">
        <f>+'Data Sheet'!A50</f>
        <v>Operating Profit</v>
      </c>
      <c r="B43">
        <f>+'Data Sheet'!B50</f>
        <v>414.06</v>
      </c>
      <c r="C43">
        <f>+'Data Sheet'!C50</f>
        <v>-111.66</v>
      </c>
      <c r="D43">
        <f>+'Data Sheet'!D50</f>
        <v>52.68</v>
      </c>
      <c r="E43">
        <f>+'Data Sheet'!E50</f>
        <v>59.4</v>
      </c>
      <c r="F43">
        <f>+'Data Sheet'!F50</f>
        <v>344.31</v>
      </c>
      <c r="G43">
        <f>+'Data Sheet'!G50</f>
        <v>-33.68</v>
      </c>
      <c r="H43">
        <f>+'Data Sheet'!H50</f>
        <v>66.14</v>
      </c>
      <c r="I43">
        <f>+'Data Sheet'!I50</f>
        <v>289.52</v>
      </c>
      <c r="J43">
        <f>+'Data Sheet'!J50</f>
        <v>404.1</v>
      </c>
      <c r="K43">
        <f>+'Data Sheet'!K50</f>
        <v>42.02</v>
      </c>
    </row>
    <row r="44" spans="1:11" x14ac:dyDescent="0.25">
      <c r="A44" s="1"/>
    </row>
    <row r="45" spans="1:11" x14ac:dyDescent="0.25">
      <c r="A45" s="6"/>
    </row>
    <row r="46" spans="1:11" x14ac:dyDescent="0.25">
      <c r="A46" s="6"/>
    </row>
    <row r="47" spans="1:11" x14ac:dyDescent="0.25">
      <c r="A47" s="6"/>
    </row>
    <row r="48" spans="1:11" x14ac:dyDescent="0.25">
      <c r="A48" s="1" t="s">
        <v>29</v>
      </c>
    </row>
    <row r="49" spans="1:11" s="10" customFormat="1" x14ac:dyDescent="0.25">
      <c r="A49" s="9" t="str">
        <f>+'Data Sheet'!A56</f>
        <v>Report Date</v>
      </c>
      <c r="B49" s="9">
        <f>+'Data Sheet'!B56</f>
        <v>40999</v>
      </c>
      <c r="C49" s="9">
        <f>+'Data Sheet'!C56</f>
        <v>41364</v>
      </c>
      <c r="D49" s="9">
        <f>+'Data Sheet'!D56</f>
        <v>42094</v>
      </c>
      <c r="E49" s="9">
        <f>+'Data Sheet'!E56</f>
        <v>42460</v>
      </c>
      <c r="F49" s="9">
        <f>+'Data Sheet'!F56</f>
        <v>42825</v>
      </c>
      <c r="G49" s="9">
        <f>+'Data Sheet'!G56</f>
        <v>43190</v>
      </c>
      <c r="H49" s="9">
        <f>+'Data Sheet'!H56</f>
        <v>43555</v>
      </c>
      <c r="I49" s="9">
        <f>+'Data Sheet'!I56</f>
        <v>43921</v>
      </c>
      <c r="J49" s="9">
        <f>+'Data Sheet'!J56</f>
        <v>44286</v>
      </c>
      <c r="K49" s="9">
        <f>+'Data Sheet'!K56</f>
        <v>44651</v>
      </c>
    </row>
    <row r="50" spans="1:11" x14ac:dyDescent="0.25">
      <c r="A50" s="6" t="str">
        <f>+'Data Sheet'!A57</f>
        <v>Equity Share Capital</v>
      </c>
      <c r="B50">
        <f>+'Data Sheet'!B57</f>
        <v>115</v>
      </c>
      <c r="C50">
        <f>+'Data Sheet'!C57</f>
        <v>115</v>
      </c>
      <c r="D50">
        <f>+'Data Sheet'!D57</f>
        <v>115</v>
      </c>
      <c r="E50">
        <f>+'Data Sheet'!E57</f>
        <v>97.75</v>
      </c>
      <c r="F50">
        <f>+'Data Sheet'!F57</f>
        <v>122.19</v>
      </c>
      <c r="G50">
        <f>+'Data Sheet'!G57</f>
        <v>183.28</v>
      </c>
      <c r="H50">
        <f>+'Data Sheet'!H57</f>
        <v>183.28</v>
      </c>
      <c r="I50">
        <f>+'Data Sheet'!I57</f>
        <v>183.28</v>
      </c>
      <c r="J50">
        <f>+'Data Sheet'!J57</f>
        <v>183.28</v>
      </c>
      <c r="K50">
        <f>+'Data Sheet'!K57</f>
        <v>183.28</v>
      </c>
    </row>
    <row r="51" spans="1:11" x14ac:dyDescent="0.25">
      <c r="A51" s="6" t="str">
        <f>+'Data Sheet'!A58</f>
        <v>Reserves</v>
      </c>
      <c r="B51">
        <f>+'Data Sheet'!B58</f>
        <v>617.38</v>
      </c>
      <c r="C51">
        <f>+'Data Sheet'!C58</f>
        <v>936.18</v>
      </c>
      <c r="D51">
        <f>+'Data Sheet'!D58</f>
        <v>1537.67</v>
      </c>
      <c r="E51">
        <f>+'Data Sheet'!E58</f>
        <v>1753.49</v>
      </c>
      <c r="F51">
        <f>+'Data Sheet'!F58</f>
        <v>2072.79</v>
      </c>
      <c r="G51">
        <f>+'Data Sheet'!G58</f>
        <v>1773.1</v>
      </c>
      <c r="H51">
        <f>+'Data Sheet'!H58</f>
        <v>2085.2600000000002</v>
      </c>
      <c r="I51">
        <f>+'Data Sheet'!I58</f>
        <v>2423.5500000000002</v>
      </c>
      <c r="J51">
        <f>+'Data Sheet'!J58</f>
        <v>2501.4699999999998</v>
      </c>
      <c r="K51">
        <f>+'Data Sheet'!K58</f>
        <v>2847.28</v>
      </c>
    </row>
    <row r="52" spans="1:11" x14ac:dyDescent="0.25">
      <c r="A52" s="6" t="str">
        <f>+'Data Sheet'!A59</f>
        <v>Borrowings</v>
      </c>
      <c r="B52" s="3">
        <f>+'Data Sheet'!B59</f>
        <v>0</v>
      </c>
      <c r="C52" s="3">
        <f>+'Data Sheet'!C59</f>
        <v>0</v>
      </c>
      <c r="D52" s="3">
        <f>+'Data Sheet'!D59</f>
        <v>0</v>
      </c>
      <c r="E52">
        <f>+'Data Sheet'!E59</f>
        <v>3.71</v>
      </c>
      <c r="F52">
        <f>+'Data Sheet'!F59</f>
        <v>3.58</v>
      </c>
      <c r="G52">
        <f>+'Data Sheet'!G59</f>
        <v>3.69</v>
      </c>
      <c r="H52">
        <f>+'Data Sheet'!H59</f>
        <v>5.39</v>
      </c>
      <c r="I52">
        <f>+'Data Sheet'!I59</f>
        <v>14.51</v>
      </c>
      <c r="J52">
        <f>+'Data Sheet'!J59</f>
        <v>11.29</v>
      </c>
      <c r="K52">
        <f>+'Data Sheet'!K59</f>
        <v>10.11</v>
      </c>
    </row>
    <row r="53" spans="1:11" x14ac:dyDescent="0.25">
      <c r="A53" s="6" t="str">
        <f>+'Data Sheet'!A60</f>
        <v>Other Liabilities</v>
      </c>
      <c r="B53">
        <f>+'Data Sheet'!B60</f>
        <v>5694.41</v>
      </c>
      <c r="C53">
        <f>+'Data Sheet'!C60</f>
        <v>6199.43</v>
      </c>
      <c r="D53">
        <f>+'Data Sheet'!D60</f>
        <v>6759.3</v>
      </c>
      <c r="E53">
        <f>+'Data Sheet'!E60</f>
        <v>7785.68</v>
      </c>
      <c r="F53">
        <f>+'Data Sheet'!F60</f>
        <v>6208.42</v>
      </c>
      <c r="G53">
        <f>+'Data Sheet'!G60</f>
        <v>4696.99</v>
      </c>
      <c r="H53">
        <f>+'Data Sheet'!H60</f>
        <v>3249.51</v>
      </c>
      <c r="I53">
        <f>+'Data Sheet'!I60</f>
        <v>3128.46</v>
      </c>
      <c r="J53">
        <f>+'Data Sheet'!J60</f>
        <v>3333.68</v>
      </c>
      <c r="K53">
        <f>+'Data Sheet'!K60</f>
        <v>3594.91</v>
      </c>
    </row>
    <row r="54" spans="1:11" s="1" customFormat="1" x14ac:dyDescent="0.25">
      <c r="A54" s="1" t="str">
        <f>+'Data Sheet'!A61</f>
        <v>Total</v>
      </c>
      <c r="B54">
        <f>+'Data Sheet'!B61</f>
        <v>6426.79</v>
      </c>
      <c r="C54">
        <f>+'Data Sheet'!C61</f>
        <v>7250.61</v>
      </c>
      <c r="D54">
        <f>+'Data Sheet'!D61</f>
        <v>8411.9699999999993</v>
      </c>
      <c r="E54">
        <f>+'Data Sheet'!E61</f>
        <v>9640.6299999999992</v>
      </c>
      <c r="F54">
        <f>+'Data Sheet'!F61</f>
        <v>8406.98</v>
      </c>
      <c r="G54">
        <f>+'Data Sheet'!G61</f>
        <v>6657.06</v>
      </c>
      <c r="H54">
        <f>+'Data Sheet'!H61</f>
        <v>5523.44</v>
      </c>
      <c r="I54">
        <f>+'Data Sheet'!I61</f>
        <v>5749.8</v>
      </c>
      <c r="J54">
        <f>+'Data Sheet'!J61</f>
        <v>6029.72</v>
      </c>
      <c r="K54">
        <f>+'Data Sheet'!K61</f>
        <v>6635.58</v>
      </c>
    </row>
    <row r="55" spans="1:11" x14ac:dyDescent="0.25">
      <c r="A55" s="6" t="str">
        <f>+'Data Sheet'!A62</f>
        <v>Net Block</v>
      </c>
      <c r="B55">
        <f>+'Data Sheet'!B62</f>
        <v>211.67</v>
      </c>
      <c r="C55">
        <f>+'Data Sheet'!C62</f>
        <v>276.56</v>
      </c>
      <c r="D55">
        <f>+'Data Sheet'!D62</f>
        <v>517.70000000000005</v>
      </c>
      <c r="E55">
        <f>+'Data Sheet'!E62</f>
        <v>696.77</v>
      </c>
      <c r="F55">
        <f>+'Data Sheet'!F62</f>
        <v>757.13</v>
      </c>
      <c r="G55">
        <f>+'Data Sheet'!G62</f>
        <v>868.38</v>
      </c>
      <c r="H55">
        <f>+'Data Sheet'!H62</f>
        <v>956.97</v>
      </c>
      <c r="I55">
        <f>+'Data Sheet'!I62</f>
        <v>932.37</v>
      </c>
      <c r="J55">
        <f>+'Data Sheet'!J62</f>
        <v>914.99</v>
      </c>
      <c r="K55">
        <f>+'Data Sheet'!K62</f>
        <v>873.85</v>
      </c>
    </row>
    <row r="56" spans="1:11" x14ac:dyDescent="0.25">
      <c r="A56" s="6" t="str">
        <f>+'Data Sheet'!A63</f>
        <v>Capital Work in Progress</v>
      </c>
      <c r="B56" s="3">
        <f>+'Data Sheet'!B63</f>
        <v>45.47</v>
      </c>
      <c r="C56">
        <f>+'Data Sheet'!C63</f>
        <v>69.53</v>
      </c>
      <c r="D56">
        <f>+'Data Sheet'!D63</f>
        <v>142.27000000000001</v>
      </c>
      <c r="E56" s="3">
        <f>+'Data Sheet'!E63</f>
        <v>126.21</v>
      </c>
      <c r="F56">
        <f>+'Data Sheet'!F63</f>
        <v>135.88</v>
      </c>
      <c r="G56">
        <f>+'Data Sheet'!G63</f>
        <v>129.84</v>
      </c>
      <c r="H56" s="3">
        <f>+'Data Sheet'!H63</f>
        <v>47.03</v>
      </c>
      <c r="I56" s="3">
        <f>+'Data Sheet'!I63</f>
        <v>42.06</v>
      </c>
      <c r="J56">
        <f>+'Data Sheet'!J63</f>
        <v>21.5</v>
      </c>
      <c r="K56">
        <f>+'Data Sheet'!K63</f>
        <v>40.729999999999997</v>
      </c>
    </row>
    <row r="57" spans="1:11" x14ac:dyDescent="0.25">
      <c r="A57" s="6" t="str">
        <f>+'Data Sheet'!A64</f>
        <v>Investments</v>
      </c>
      <c r="B57">
        <f>+'Data Sheet'!B64</f>
        <v>0.54</v>
      </c>
      <c r="C57">
        <f>+'Data Sheet'!C64</f>
        <v>0.54</v>
      </c>
      <c r="D57">
        <f>+'Data Sheet'!D64</f>
        <v>2.93</v>
      </c>
      <c r="E57">
        <f>+'Data Sheet'!E64</f>
        <v>2.95</v>
      </c>
      <c r="F57">
        <f>+'Data Sheet'!F64</f>
        <v>2.95</v>
      </c>
      <c r="G57">
        <f>+'Data Sheet'!G64</f>
        <v>238.99</v>
      </c>
      <c r="H57">
        <f>+'Data Sheet'!H64</f>
        <v>3.72</v>
      </c>
      <c r="I57">
        <f>+'Data Sheet'!I64</f>
        <v>3.9</v>
      </c>
      <c r="J57">
        <f>+'Data Sheet'!J64</f>
        <v>4.5199999999999996</v>
      </c>
      <c r="K57">
        <f>+'Data Sheet'!K64</f>
        <v>0</v>
      </c>
    </row>
    <row r="58" spans="1:11" x14ac:dyDescent="0.25">
      <c r="A58" s="6" t="str">
        <f>+'Data Sheet'!A65</f>
        <v>Other Assets</v>
      </c>
      <c r="B58">
        <f>+'Data Sheet'!B65</f>
        <v>6169.11</v>
      </c>
      <c r="C58">
        <f>+'Data Sheet'!C65</f>
        <v>6903.98</v>
      </c>
      <c r="D58">
        <f>+'Data Sheet'!D65</f>
        <v>7749.07</v>
      </c>
      <c r="E58">
        <f>+'Data Sheet'!E65</f>
        <v>8814.7000000000007</v>
      </c>
      <c r="F58">
        <f>+'Data Sheet'!F65</f>
        <v>7511.02</v>
      </c>
      <c r="G58">
        <f>+'Data Sheet'!G65</f>
        <v>5419.85</v>
      </c>
      <c r="H58">
        <f>+'Data Sheet'!H65</f>
        <v>4515.72</v>
      </c>
      <c r="I58">
        <f>+'Data Sheet'!I65</f>
        <v>4771.47</v>
      </c>
      <c r="J58">
        <f>+'Data Sheet'!J65</f>
        <v>5088.71</v>
      </c>
      <c r="K58">
        <f>+'Data Sheet'!K65</f>
        <v>5721</v>
      </c>
    </row>
    <row r="59" spans="1:11" s="1" customFormat="1" x14ac:dyDescent="0.25">
      <c r="A59" s="1" t="str">
        <f>+'Data Sheet'!A66</f>
        <v>Total</v>
      </c>
      <c r="B59">
        <f>+'Data Sheet'!B66</f>
        <v>6426.79</v>
      </c>
      <c r="C59">
        <f>+'Data Sheet'!C66</f>
        <v>7250.61</v>
      </c>
      <c r="D59">
        <f>+'Data Sheet'!D66</f>
        <v>8411.9699999999993</v>
      </c>
      <c r="E59">
        <f>+'Data Sheet'!E66</f>
        <v>9640.6299999999992</v>
      </c>
      <c r="F59">
        <f>+'Data Sheet'!F66</f>
        <v>8406.98</v>
      </c>
      <c r="G59">
        <f>+'Data Sheet'!G66</f>
        <v>6657.06</v>
      </c>
      <c r="H59">
        <f>+'Data Sheet'!H66</f>
        <v>5523.44</v>
      </c>
      <c r="I59">
        <f>+'Data Sheet'!I66</f>
        <v>5749.8</v>
      </c>
      <c r="J59">
        <f>+'Data Sheet'!J66</f>
        <v>6029.72</v>
      </c>
      <c r="K59">
        <f>+'Data Sheet'!K66</f>
        <v>6635.58</v>
      </c>
    </row>
    <row r="60" spans="1:11" s="6" customFormat="1" x14ac:dyDescent="0.25">
      <c r="A60" s="6" t="str">
        <f>+'Data Sheet'!A67</f>
        <v>Receivables</v>
      </c>
      <c r="B60">
        <f>+'Data Sheet'!B67</f>
        <v>88.39</v>
      </c>
      <c r="C60">
        <f>+'Data Sheet'!C67</f>
        <v>275.45</v>
      </c>
      <c r="D60">
        <f>+'Data Sheet'!D67</f>
        <v>334.79</v>
      </c>
      <c r="E60">
        <f>+'Data Sheet'!E67</f>
        <v>144.86000000000001</v>
      </c>
      <c r="F60">
        <f>+'Data Sheet'!F67</f>
        <v>154.55000000000001</v>
      </c>
      <c r="G60">
        <f>+'Data Sheet'!G67</f>
        <v>770.41</v>
      </c>
      <c r="H60">
        <f>+'Data Sheet'!H67</f>
        <v>525.92999999999995</v>
      </c>
      <c r="I60">
        <f>+'Data Sheet'!I67</f>
        <v>338.37</v>
      </c>
      <c r="J60">
        <f>+'Data Sheet'!J67</f>
        <v>322.69</v>
      </c>
      <c r="K60">
        <f>+'Data Sheet'!K67</f>
        <v>304.16000000000003</v>
      </c>
    </row>
    <row r="61" spans="1:11" x14ac:dyDescent="0.25">
      <c r="A61" s="6" t="str">
        <f>+'Data Sheet'!A68</f>
        <v>Inventory</v>
      </c>
      <c r="B61" s="3">
        <f>+'Data Sheet'!B68</f>
        <v>612.19000000000005</v>
      </c>
      <c r="C61" s="3">
        <f>+'Data Sheet'!C68</f>
        <v>1001.33</v>
      </c>
      <c r="D61" s="3">
        <f>+'Data Sheet'!D68</f>
        <v>1475.67</v>
      </c>
      <c r="E61">
        <f>+'Data Sheet'!E68</f>
        <v>2057.66</v>
      </c>
      <c r="F61">
        <f>+'Data Sheet'!F68</f>
        <v>2267.3000000000002</v>
      </c>
      <c r="G61">
        <f>+'Data Sheet'!G68</f>
        <v>1984.56</v>
      </c>
      <c r="H61">
        <f>+'Data Sheet'!H68</f>
        <v>1719.55</v>
      </c>
      <c r="I61">
        <f>+'Data Sheet'!I68</f>
        <v>921.05</v>
      </c>
      <c r="J61">
        <f>+'Data Sheet'!J68</f>
        <v>1464.97</v>
      </c>
      <c r="K61">
        <f>+'Data Sheet'!K68</f>
        <v>1726.15</v>
      </c>
    </row>
    <row r="62" spans="1:11" x14ac:dyDescent="0.25">
      <c r="A62" s="3" t="str">
        <f>+'Data Sheet'!A69</f>
        <v>Cash &amp; Bank</v>
      </c>
      <c r="B62">
        <f>+'Data Sheet'!B69</f>
        <v>4295.08</v>
      </c>
      <c r="C62">
        <f>+'Data Sheet'!C69</f>
        <v>3962.26</v>
      </c>
      <c r="D62">
        <f>+'Data Sheet'!D69</f>
        <v>3668.92</v>
      </c>
      <c r="E62">
        <f>+'Data Sheet'!E69</f>
        <v>3242.49</v>
      </c>
      <c r="F62">
        <f>+'Data Sheet'!F69</f>
        <v>1738.01</v>
      </c>
      <c r="G62">
        <f>+'Data Sheet'!G69</f>
        <v>356.79</v>
      </c>
      <c r="H62">
        <f>+'Data Sheet'!H69</f>
        <v>371.32</v>
      </c>
      <c r="I62">
        <f>+'Data Sheet'!I69</f>
        <v>663.49</v>
      </c>
      <c r="J62">
        <f>+'Data Sheet'!J69</f>
        <v>1560.95</v>
      </c>
      <c r="K62">
        <f>+'Data Sheet'!K69</f>
        <v>1899.53</v>
      </c>
    </row>
    <row r="63" spans="1:11" x14ac:dyDescent="0.25">
      <c r="A63" s="3" t="str">
        <f>+'Data Sheet'!A70</f>
        <v>No. of Equity Shares</v>
      </c>
      <c r="B63">
        <f>+'Data Sheet'!B70</f>
        <v>1150000</v>
      </c>
      <c r="C63">
        <f>+'Data Sheet'!C70</f>
        <v>1150000</v>
      </c>
      <c r="D63">
        <f>+'Data Sheet'!D70</f>
        <v>1150000</v>
      </c>
      <c r="E63">
        <f>+'Data Sheet'!E70</f>
        <v>977500</v>
      </c>
      <c r="F63">
        <f>+'Data Sheet'!F70</f>
        <v>1221875</v>
      </c>
      <c r="G63">
        <f>+'Data Sheet'!G70</f>
        <v>183281250</v>
      </c>
      <c r="H63">
        <f>+'Data Sheet'!H70</f>
        <v>183281250</v>
      </c>
      <c r="I63">
        <f>+'Data Sheet'!I70</f>
        <v>183281250</v>
      </c>
      <c r="J63">
        <f>+'Data Sheet'!J70</f>
        <v>183281250</v>
      </c>
      <c r="K63">
        <f>+'Data Sheet'!K70</f>
        <v>183281250</v>
      </c>
    </row>
    <row r="64" spans="1:11" x14ac:dyDescent="0.25">
      <c r="A64" s="3" t="str">
        <f>+'Data Sheet'!A71</f>
        <v>New Bonus Shares</v>
      </c>
      <c r="B64" s="3">
        <f>+'Data Sheet'!B71</f>
        <v>0</v>
      </c>
      <c r="C64" s="3">
        <f>+'Data Sheet'!C71</f>
        <v>0</v>
      </c>
      <c r="D64" s="3">
        <f>+'Data Sheet'!D71</f>
        <v>0</v>
      </c>
      <c r="E64" s="3">
        <f>+'Data Sheet'!E71</f>
        <v>0</v>
      </c>
      <c r="F64" s="3">
        <f>+'Data Sheet'!F71</f>
        <v>0</v>
      </c>
      <c r="G64" s="3">
        <f>+'Data Sheet'!G71</f>
        <v>0</v>
      </c>
      <c r="H64">
        <f>+'Data Sheet'!H71</f>
        <v>0</v>
      </c>
      <c r="I64" s="3">
        <f>+'Data Sheet'!I71</f>
        <v>0</v>
      </c>
      <c r="J64" s="3">
        <f>+'Data Sheet'!J71</f>
        <v>0</v>
      </c>
      <c r="K64" s="3">
        <f>+'Data Sheet'!K71</f>
        <v>0</v>
      </c>
    </row>
    <row r="65" spans="1:19" x14ac:dyDescent="0.25">
      <c r="A65" s="3" t="str">
        <f>+'Data Sheet'!A72</f>
        <v>Face value</v>
      </c>
      <c r="B65">
        <f>+'Data Sheet'!B72</f>
        <v>1000</v>
      </c>
      <c r="C65">
        <f>+'Data Sheet'!C72</f>
        <v>1000</v>
      </c>
      <c r="D65">
        <f>+'Data Sheet'!D72</f>
        <v>1000</v>
      </c>
      <c r="E65">
        <f>+'Data Sheet'!E72</f>
        <v>1000</v>
      </c>
      <c r="F65">
        <f>+'Data Sheet'!F72</f>
        <v>1000</v>
      </c>
      <c r="G65">
        <f>+'Data Sheet'!G72</f>
        <v>10</v>
      </c>
      <c r="H65">
        <f>+'Data Sheet'!H72</f>
        <v>10</v>
      </c>
      <c r="I65">
        <f>+'Data Sheet'!I72</f>
        <v>10</v>
      </c>
      <c r="J65">
        <f>+'Data Sheet'!J72</f>
        <v>10</v>
      </c>
      <c r="K65">
        <f>+'Data Sheet'!K72</f>
        <v>10</v>
      </c>
    </row>
    <row r="67" spans="1:19" x14ac:dyDescent="0.25">
      <c r="A67" s="6"/>
    </row>
    <row r="68" spans="1:19" x14ac:dyDescent="0.25">
      <c r="A68" s="6"/>
    </row>
    <row r="69" spans="1:19" x14ac:dyDescent="0.25">
      <c r="A69" s="6"/>
    </row>
    <row r="70" spans="1:19" x14ac:dyDescent="0.25">
      <c r="A70" s="6"/>
    </row>
    <row r="71" spans="1:19" x14ac:dyDescent="0.25">
      <c r="A71" s="6"/>
    </row>
    <row r="72" spans="1:19" x14ac:dyDescent="0.25">
      <c r="A72" s="6"/>
    </row>
    <row r="73" spans="1:19" x14ac:dyDescent="0.25">
      <c r="A73" s="1" t="s">
        <v>30</v>
      </c>
      <c r="N73" s="1" t="s">
        <v>334</v>
      </c>
    </row>
    <row r="74" spans="1:19" s="10" customFormat="1" x14ac:dyDescent="0.25">
      <c r="A74" s="9" t="str">
        <f>+'Data Sheet'!A81</f>
        <v>Report Date</v>
      </c>
      <c r="B74" s="9">
        <f>+'Data Sheet'!B81</f>
        <v>40999</v>
      </c>
      <c r="C74" s="9">
        <f>+'Data Sheet'!C81</f>
        <v>41364</v>
      </c>
      <c r="D74" s="9">
        <f>+'Data Sheet'!D81</f>
        <v>42094</v>
      </c>
      <c r="E74" s="9">
        <f>+'Data Sheet'!E81</f>
        <v>42460</v>
      </c>
      <c r="F74" s="9">
        <f>+'Data Sheet'!F81</f>
        <v>42825</v>
      </c>
      <c r="G74" s="9">
        <f>+'Data Sheet'!G81</f>
        <v>43190</v>
      </c>
      <c r="H74" s="9">
        <f>+'Data Sheet'!H81</f>
        <v>43555</v>
      </c>
      <c r="I74" s="9">
        <f>+'Data Sheet'!I81</f>
        <v>43921</v>
      </c>
      <c r="J74" s="9">
        <f>+'Data Sheet'!J81</f>
        <v>44286</v>
      </c>
      <c r="K74" s="9">
        <f>+'Data Sheet'!K81</f>
        <v>44651</v>
      </c>
      <c r="N74" s="9" t="s">
        <v>335</v>
      </c>
      <c r="O74" s="9" t="s">
        <v>336</v>
      </c>
      <c r="P74" s="9" t="s">
        <v>280</v>
      </c>
      <c r="Q74" s="9" t="s">
        <v>279</v>
      </c>
      <c r="R74" s="9" t="s">
        <v>337</v>
      </c>
      <c r="S74" s="9" t="s">
        <v>338</v>
      </c>
    </row>
    <row r="75" spans="1:19" s="1" customFormat="1" x14ac:dyDescent="0.25">
      <c r="A75" s="6" t="str">
        <f>+'Data Sheet'!A82</f>
        <v>Cash from Operating Activity</v>
      </c>
      <c r="B75">
        <f>+'Data Sheet'!B82</f>
        <v>0</v>
      </c>
      <c r="C75">
        <f>+'Data Sheet'!C82</f>
        <v>0</v>
      </c>
      <c r="D75">
        <f>+'Data Sheet'!D82</f>
        <v>-764.7</v>
      </c>
      <c r="E75">
        <f>+'Data Sheet'!E82</f>
        <v>284.27999999999997</v>
      </c>
      <c r="F75">
        <f>+'Data Sheet'!F82</f>
        <v>-419.89</v>
      </c>
      <c r="G75">
        <f>+'Data Sheet'!G82</f>
        <v>-341.5</v>
      </c>
      <c r="H75">
        <f>+'Data Sheet'!H82</f>
        <v>83.52</v>
      </c>
      <c r="I75">
        <f>+'Data Sheet'!I82</f>
        <v>504.22</v>
      </c>
      <c r="J75">
        <f>+'Data Sheet'!J82</f>
        <v>1068.01</v>
      </c>
      <c r="K75">
        <f>+'Data Sheet'!K82</f>
        <v>529.66</v>
      </c>
      <c r="N75" s="1">
        <f>'Dr Vijay Malik Analysis'!M15</f>
        <v>943.6</v>
      </c>
      <c r="O75" s="1">
        <f>'Dr Vijay Malik Analysis'!M16</f>
        <v>1308.3600000000001</v>
      </c>
      <c r="P75" s="1">
        <f>'Dr Vijay Malik Analysis'!M17</f>
        <v>-364.7600000000001</v>
      </c>
      <c r="Q75" s="1">
        <f>SUM(B91:K91)</f>
        <v>7026.84</v>
      </c>
      <c r="R75" s="1">
        <f>SUM(B56:K56)</f>
        <v>800.52</v>
      </c>
      <c r="S75" s="1">
        <f>SUM(B31:K31)</f>
        <v>1223.06</v>
      </c>
    </row>
    <row r="76" spans="1:19" s="6" customFormat="1" x14ac:dyDescent="0.25">
      <c r="A76" s="6" t="str">
        <f>+'Data Sheet'!A83</f>
        <v>Cash from Investing Activity</v>
      </c>
      <c r="B76">
        <f>+'Data Sheet'!B83</f>
        <v>0</v>
      </c>
      <c r="C76">
        <f>+'Data Sheet'!C83</f>
        <v>0</v>
      </c>
      <c r="D76">
        <f>+'Data Sheet'!D83</f>
        <v>239.29</v>
      </c>
      <c r="E76">
        <f>+'Data Sheet'!E83</f>
        <v>148.59</v>
      </c>
      <c r="F76">
        <f>+'Data Sheet'!F83</f>
        <v>2.68</v>
      </c>
      <c r="G76">
        <f>+'Data Sheet'!G83</f>
        <v>1047.02</v>
      </c>
      <c r="H76">
        <f>+'Data Sheet'!H83</f>
        <v>169.78</v>
      </c>
      <c r="I76">
        <f>+'Data Sheet'!I83</f>
        <v>-33.18</v>
      </c>
      <c r="J76">
        <f>+'Data Sheet'!J83</f>
        <v>-733.78</v>
      </c>
      <c r="K76">
        <f>+'Data Sheet'!K83</f>
        <v>-573.01</v>
      </c>
    </row>
    <row r="77" spans="1:19" s="6" customFormat="1" x14ac:dyDescent="0.25">
      <c r="A77" s="6" t="str">
        <f>+'Data Sheet'!A84</f>
        <v>Cash from Financing Activity</v>
      </c>
      <c r="B77">
        <f>+'Data Sheet'!B84</f>
        <v>0</v>
      </c>
      <c r="C77">
        <f>+'Data Sheet'!C84</f>
        <v>0</v>
      </c>
      <c r="D77">
        <f>+'Data Sheet'!D84</f>
        <v>-72.209999999999994</v>
      </c>
      <c r="E77">
        <f>+'Data Sheet'!E84</f>
        <v>-324.27</v>
      </c>
      <c r="F77">
        <f>+'Data Sheet'!F84</f>
        <v>-166.17</v>
      </c>
      <c r="G77">
        <f>+'Data Sheet'!G84</f>
        <v>-768.64</v>
      </c>
      <c r="H77">
        <f>+'Data Sheet'!H84</f>
        <v>-268.13</v>
      </c>
      <c r="I77">
        <f>+'Data Sheet'!I84</f>
        <v>-190.87</v>
      </c>
      <c r="J77">
        <f>+'Data Sheet'!J84</f>
        <v>-172.64</v>
      </c>
      <c r="K77">
        <f>+'Data Sheet'!K84</f>
        <v>-148.52000000000001</v>
      </c>
    </row>
    <row r="78" spans="1:19" s="1" customFormat="1" x14ac:dyDescent="0.25">
      <c r="A78" s="6" t="str">
        <f>+'Data Sheet'!A85</f>
        <v>Net Cash Flow</v>
      </c>
      <c r="B78">
        <f>+'Data Sheet'!B85</f>
        <v>0</v>
      </c>
      <c r="C78">
        <f>+'Data Sheet'!C85</f>
        <v>0</v>
      </c>
      <c r="D78">
        <f>+'Data Sheet'!D85</f>
        <v>-597.62</v>
      </c>
      <c r="E78">
        <f>+'Data Sheet'!E85</f>
        <v>108.6</v>
      </c>
      <c r="F78">
        <f>+'Data Sheet'!F85</f>
        <v>-583.38</v>
      </c>
      <c r="G78">
        <f>+'Data Sheet'!G85</f>
        <v>-63.12</v>
      </c>
      <c r="H78">
        <f>+'Data Sheet'!H85</f>
        <v>-14.83</v>
      </c>
      <c r="I78">
        <f>+'Data Sheet'!I85</f>
        <v>280.17</v>
      </c>
      <c r="J78">
        <f>+'Data Sheet'!J85</f>
        <v>161.59</v>
      </c>
      <c r="K78">
        <f>+'Data Sheet'!K85</f>
        <v>-191.87</v>
      </c>
    </row>
    <row r="79" spans="1:19" x14ac:dyDescent="0.25">
      <c r="A79" s="6">
        <f>+'Data Sheet'!A86</f>
        <v>0</v>
      </c>
      <c r="B79" s="3">
        <f>+'Data Sheet'!B86</f>
        <v>0</v>
      </c>
      <c r="C79" s="3">
        <f>+'Data Sheet'!C86</f>
        <v>0</v>
      </c>
      <c r="D79" s="3">
        <f>+'Data Sheet'!D86</f>
        <v>0</v>
      </c>
      <c r="E79" s="3">
        <f>+'Data Sheet'!E86</f>
        <v>0</v>
      </c>
      <c r="F79" s="3">
        <f>+'Data Sheet'!F86</f>
        <v>0</v>
      </c>
      <c r="G79" s="3">
        <f>+'Data Sheet'!G86</f>
        <v>0</v>
      </c>
      <c r="H79" s="3">
        <f>+'Data Sheet'!H86</f>
        <v>0</v>
      </c>
      <c r="I79" s="3">
        <f>+'Data Sheet'!I86</f>
        <v>0</v>
      </c>
      <c r="J79" s="3">
        <f>+'Data Sheet'!J86</f>
        <v>0</v>
      </c>
      <c r="K79" s="3">
        <f>+'Data Sheet'!K86</f>
        <v>0</v>
      </c>
    </row>
    <row r="80" spans="1:19" x14ac:dyDescent="0.25">
      <c r="A80" s="6">
        <f>+'Data Sheet'!A87</f>
        <v>0</v>
      </c>
      <c r="B80" s="3">
        <f>+'Data Sheet'!B87</f>
        <v>0</v>
      </c>
      <c r="C80" s="3">
        <f>+'Data Sheet'!C87</f>
        <v>0</v>
      </c>
      <c r="D80" s="3">
        <f>+'Data Sheet'!D87</f>
        <v>0</v>
      </c>
      <c r="E80" s="3">
        <f>+'Data Sheet'!E87</f>
        <v>0</v>
      </c>
      <c r="F80" s="3">
        <f>+'Data Sheet'!F87</f>
        <v>0</v>
      </c>
      <c r="G80" s="3">
        <f>+'Data Sheet'!G87</f>
        <v>0</v>
      </c>
      <c r="H80" s="3">
        <f>+'Data Sheet'!H87</f>
        <v>0</v>
      </c>
      <c r="I80" s="3">
        <f>+'Data Sheet'!I87</f>
        <v>0</v>
      </c>
      <c r="J80" s="3">
        <f>+'Data Sheet'!J87</f>
        <v>0</v>
      </c>
      <c r="K80" s="3">
        <f>+'Data Sheet'!K87</f>
        <v>0</v>
      </c>
    </row>
    <row r="81" spans="1:11" x14ac:dyDescent="0.25">
      <c r="A81" s="6">
        <f>+'Data Sheet'!A88</f>
        <v>0</v>
      </c>
      <c r="B81" s="3">
        <f>+'Data Sheet'!B88</f>
        <v>0</v>
      </c>
      <c r="C81" s="3">
        <f>+'Data Sheet'!C88</f>
        <v>0</v>
      </c>
      <c r="D81" s="3">
        <f>+'Data Sheet'!D88</f>
        <v>0</v>
      </c>
      <c r="E81" s="3">
        <f>+'Data Sheet'!E88</f>
        <v>0</v>
      </c>
      <c r="F81" s="3">
        <f>+'Data Sheet'!F88</f>
        <v>0</v>
      </c>
      <c r="G81" s="3">
        <f>+'Data Sheet'!G88</f>
        <v>0</v>
      </c>
      <c r="H81" s="3">
        <f>+'Data Sheet'!H88</f>
        <v>0</v>
      </c>
      <c r="I81" s="3">
        <f>+'Data Sheet'!I88</f>
        <v>0</v>
      </c>
      <c r="J81" s="3">
        <f>+'Data Sheet'!J88</f>
        <v>0</v>
      </c>
      <c r="K81" s="3">
        <f>+'Data Sheet'!K88</f>
        <v>0</v>
      </c>
    </row>
    <row r="82" spans="1:11" x14ac:dyDescent="0.25">
      <c r="A82" s="6">
        <f>+'Data Sheet'!A89</f>
        <v>0</v>
      </c>
      <c r="B82" s="3">
        <f>+'Data Sheet'!B89</f>
        <v>0</v>
      </c>
      <c r="C82" s="3">
        <f>+'Data Sheet'!C89</f>
        <v>0</v>
      </c>
      <c r="D82" s="3">
        <f>+'Data Sheet'!D89</f>
        <v>0</v>
      </c>
      <c r="E82" s="3">
        <f>+'Data Sheet'!E89</f>
        <v>0</v>
      </c>
      <c r="F82" s="3">
        <f>+'Data Sheet'!F89</f>
        <v>0</v>
      </c>
      <c r="G82" s="3">
        <f>+'Data Sheet'!G89</f>
        <v>0</v>
      </c>
      <c r="H82" s="3">
        <f>+'Data Sheet'!H89</f>
        <v>0</v>
      </c>
      <c r="I82" s="3">
        <f>+'Data Sheet'!I89</f>
        <v>0</v>
      </c>
      <c r="J82" s="3">
        <f>+'Data Sheet'!J89</f>
        <v>0</v>
      </c>
      <c r="K82" s="3">
        <f>+'Data Sheet'!K89</f>
        <v>0</v>
      </c>
    </row>
    <row r="83" spans="1:11" s="1" customFormat="1" x14ac:dyDescent="0.25">
      <c r="A83" s="1" t="str">
        <f>+'Data Sheet'!A90</f>
        <v>PRICE:</v>
      </c>
      <c r="B83" s="1">
        <f>+'Data Sheet'!B90</f>
        <v>0</v>
      </c>
      <c r="C83" s="1">
        <f>+'Data Sheet'!C90</f>
        <v>0</v>
      </c>
      <c r="D83" s="1">
        <f>+'Data Sheet'!D90</f>
        <v>0</v>
      </c>
      <c r="E83" s="1">
        <f>+'Data Sheet'!E90</f>
        <v>0</v>
      </c>
      <c r="F83" s="1">
        <f>+'Data Sheet'!F90</f>
        <v>0</v>
      </c>
      <c r="G83" s="1">
        <f>+'Data Sheet'!G90</f>
        <v>396.65</v>
      </c>
      <c r="H83">
        <f>+'Data Sheet'!H90</f>
        <v>283.3</v>
      </c>
      <c r="I83">
        <f>+'Data Sheet'!I90</f>
        <v>185.15</v>
      </c>
      <c r="J83">
        <f>+'Data Sheet'!J90</f>
        <v>332.55</v>
      </c>
      <c r="K83">
        <f>+'Data Sheet'!K90</f>
        <v>549.29999999999995</v>
      </c>
    </row>
    <row r="84" spans="1:11" x14ac:dyDescent="0.25">
      <c r="A84" s="3">
        <f>+'Data Sheet'!A91</f>
        <v>0</v>
      </c>
      <c r="B84" s="3">
        <f>+'Data Sheet'!B91</f>
        <v>0</v>
      </c>
      <c r="C84" s="3">
        <f>+'Data Sheet'!C91</f>
        <v>0</v>
      </c>
      <c r="D84" s="3">
        <f>+'Data Sheet'!D91</f>
        <v>0</v>
      </c>
      <c r="E84" s="3">
        <f>+'Data Sheet'!E91</f>
        <v>0</v>
      </c>
      <c r="F84" s="3">
        <f>+'Data Sheet'!F91</f>
        <v>0</v>
      </c>
      <c r="G84" s="3">
        <f>+'Data Sheet'!G91</f>
        <v>0</v>
      </c>
      <c r="H84" s="3">
        <f>+'Data Sheet'!H91</f>
        <v>0</v>
      </c>
      <c r="I84" s="3">
        <f>+'Data Sheet'!I91</f>
        <v>0</v>
      </c>
      <c r="J84" s="3">
        <f>+'Data Sheet'!J91</f>
        <v>0</v>
      </c>
      <c r="K84" s="3">
        <f>+'Data Sheet'!K91</f>
        <v>0</v>
      </c>
    </row>
    <row r="85" spans="1:11" s="1" customFormat="1" x14ac:dyDescent="0.25">
      <c r="A85" s="1" t="str">
        <f>+'Data Sheet'!A92</f>
        <v>DERIVED:</v>
      </c>
      <c r="B85" s="1">
        <f>+'Data Sheet'!B92</f>
        <v>0</v>
      </c>
      <c r="C85" s="1">
        <f>+'Data Sheet'!C92</f>
        <v>0</v>
      </c>
      <c r="D85" s="1">
        <f>+'Data Sheet'!D92</f>
        <v>0</v>
      </c>
      <c r="E85" s="1">
        <f>+'Data Sheet'!E92</f>
        <v>0</v>
      </c>
      <c r="F85" s="1">
        <f>+'Data Sheet'!F92</f>
        <v>0</v>
      </c>
      <c r="G85" s="1">
        <f>+'Data Sheet'!G92</f>
        <v>0</v>
      </c>
      <c r="H85" s="1">
        <f>+'Data Sheet'!H92</f>
        <v>0</v>
      </c>
      <c r="I85" s="1">
        <f>+'Data Sheet'!I92</f>
        <v>0</v>
      </c>
      <c r="J85" s="1">
        <f>+'Data Sheet'!J92</f>
        <v>0</v>
      </c>
      <c r="K85" s="1">
        <f>+'Data Sheet'!K92</f>
        <v>0</v>
      </c>
    </row>
    <row r="86" spans="1:11" x14ac:dyDescent="0.25">
      <c r="A86" s="3" t="str">
        <f>+'Data Sheet'!A93</f>
        <v>Adjusted Equity Shares in Cr</v>
      </c>
      <c r="B86" s="12">
        <f>+'Data Sheet'!B93</f>
        <v>0.12</v>
      </c>
      <c r="C86" s="12">
        <f>+'Data Sheet'!C93</f>
        <v>0.12</v>
      </c>
      <c r="D86" s="12">
        <f>+'Data Sheet'!D93</f>
        <v>0.12</v>
      </c>
      <c r="E86" s="12">
        <f>+'Data Sheet'!E93</f>
        <v>0.1</v>
      </c>
      <c r="F86" s="12">
        <f>+'Data Sheet'!F93</f>
        <v>0.12</v>
      </c>
      <c r="G86" s="12">
        <f>+'Data Sheet'!G93</f>
        <v>18.329999999999998</v>
      </c>
      <c r="H86" s="12">
        <f>+'Data Sheet'!H93</f>
        <v>18.329999999999998</v>
      </c>
      <c r="I86" s="12">
        <f>+'Data Sheet'!I93</f>
        <v>18.329999999999998</v>
      </c>
      <c r="J86" s="12">
        <f>+'Data Sheet'!J93</f>
        <v>18.329999999999998</v>
      </c>
      <c r="K86" s="12">
        <f>+'Data Sheet'!K93</f>
        <v>18.329999999999998</v>
      </c>
    </row>
    <row r="89" spans="1:11" x14ac:dyDescent="0.25">
      <c r="A89" s="90" t="s">
        <v>4</v>
      </c>
      <c r="B89" s="82">
        <f>+'Data Sheet'!B17-'Data Sheet'!B18+'Data Sheet'!B19-SUM('Data Sheet'!B20:B24)</f>
        <v>-63.559999999999945</v>
      </c>
      <c r="C89" s="82">
        <f>+'Data Sheet'!C17-'Data Sheet'!C18+'Data Sheet'!C19-SUM('Data Sheet'!C20:C24)</f>
        <v>-11.630000000000166</v>
      </c>
      <c r="D89" s="82">
        <f>+'Data Sheet'!D17-'Data Sheet'!D18+'Data Sheet'!D19-SUM('Data Sheet'!D20:D24)</f>
        <v>276.81000000000017</v>
      </c>
      <c r="E89" s="82">
        <f>+'Data Sheet'!E17-'Data Sheet'!E18+'Data Sheet'!E19-SUM('Data Sheet'!E20:E24)</f>
        <v>515.12000000000035</v>
      </c>
      <c r="F89" s="82">
        <f>+'Data Sheet'!F17-'Data Sheet'!F18+'Data Sheet'!F19-SUM('Data Sheet'!F20:F24)</f>
        <v>569.38000000000011</v>
      </c>
      <c r="G89" s="82">
        <f>+'Data Sheet'!G17-'Data Sheet'!G18+'Data Sheet'!G19-SUM('Data Sheet'!G20:G24)</f>
        <v>668.94000000000028</v>
      </c>
      <c r="H89" s="82">
        <f>+'Data Sheet'!H17-'Data Sheet'!H18+'Data Sheet'!H19-SUM('Data Sheet'!H20:H24)</f>
        <v>623.03</v>
      </c>
      <c r="I89" s="82">
        <f>+'Data Sheet'!I17-'Data Sheet'!I18+'Data Sheet'!I19-SUM('Data Sheet'!I20:I24)</f>
        <v>756.29999999999961</v>
      </c>
      <c r="J89" s="82">
        <f>+'Data Sheet'!J17-'Data Sheet'!J18+'Data Sheet'!J19-SUM('Data Sheet'!J20:J24)</f>
        <v>345.52</v>
      </c>
      <c r="K89" s="82">
        <f>+'Data Sheet'!K17-'Data Sheet'!K18+'Data Sheet'!K19-SUM('Data Sheet'!K20:K24)</f>
        <v>727.3900000000001</v>
      </c>
    </row>
    <row r="90" spans="1:11" x14ac:dyDescent="0.25">
      <c r="A90" s="90" t="s">
        <v>290</v>
      </c>
      <c r="B90" s="83">
        <f t="shared" ref="B90:K90" si="1">IF(B89&gt;0,B89/B17,0)</f>
        <v>0</v>
      </c>
      <c r="C90" s="83">
        <f t="shared" si="1"/>
        <v>0</v>
      </c>
      <c r="D90" s="83">
        <f t="shared" si="1"/>
        <v>9.7440175723910755E-2</v>
      </c>
      <c r="E90" s="83">
        <f t="shared" si="1"/>
        <v>0.1262932852141338</v>
      </c>
      <c r="F90" s="83">
        <f t="shared" si="1"/>
        <v>0.11651816593064329</v>
      </c>
      <c r="G90" s="83">
        <f t="shared" si="1"/>
        <v>0.14581480512686376</v>
      </c>
      <c r="H90" s="83">
        <f t="shared" si="1"/>
        <v>0.2029843452196719</v>
      </c>
      <c r="I90" s="83">
        <f t="shared" si="1"/>
        <v>0.2435850776361006</v>
      </c>
      <c r="J90" s="83">
        <f t="shared" si="1"/>
        <v>0.18054510492433742</v>
      </c>
      <c r="K90" s="83">
        <f t="shared" si="1"/>
        <v>0.25817775253780084</v>
      </c>
    </row>
    <row r="91" spans="1:11" x14ac:dyDescent="0.25">
      <c r="A91" s="90" t="s">
        <v>279</v>
      </c>
      <c r="B91" s="84">
        <f t="shared" ref="B91:K91" si="2">SUM(B89+B25)</f>
        <v>399.63000000000005</v>
      </c>
      <c r="C91" s="84">
        <f t="shared" si="2"/>
        <v>452.14999999999981</v>
      </c>
      <c r="D91" s="84">
        <f t="shared" si="2"/>
        <v>715.84000000000015</v>
      </c>
      <c r="E91" s="84">
        <f t="shared" si="2"/>
        <v>899.88000000000034</v>
      </c>
      <c r="F91" s="84">
        <f t="shared" si="2"/>
        <v>869.32000000000016</v>
      </c>
      <c r="G91" s="84">
        <f t="shared" si="2"/>
        <v>841.50000000000023</v>
      </c>
      <c r="H91" s="84">
        <f t="shared" si="2"/>
        <v>759.02</v>
      </c>
      <c r="I91" s="84">
        <f t="shared" si="2"/>
        <v>844.34999999999957</v>
      </c>
      <c r="J91" s="84">
        <f t="shared" si="2"/>
        <v>440.13</v>
      </c>
      <c r="K91" s="84">
        <f t="shared" si="2"/>
        <v>805.0200000000001</v>
      </c>
    </row>
    <row r="92" spans="1:11" x14ac:dyDescent="0.25">
      <c r="A92" s="90" t="s">
        <v>294</v>
      </c>
      <c r="B92" s="83">
        <f>(B91-B25)/B17</f>
        <v>-6.6506225803076219E-2</v>
      </c>
      <c r="C92" s="83">
        <f t="shared" ref="C92:K92" si="3">C91/C17</f>
        <v>0.42007320970678941</v>
      </c>
      <c r="D92" s="83">
        <f t="shared" si="3"/>
        <v>0.251983582205138</v>
      </c>
      <c r="E92" s="83">
        <f t="shared" si="3"/>
        <v>0.22062587649187504</v>
      </c>
      <c r="F92" s="83">
        <f t="shared" si="3"/>
        <v>0.17789801539714573</v>
      </c>
      <c r="G92" s="83">
        <f t="shared" si="3"/>
        <v>0.18342924404917607</v>
      </c>
      <c r="H92" s="83">
        <f t="shared" si="3"/>
        <v>0.24729014286412432</v>
      </c>
      <c r="I92" s="83">
        <f t="shared" si="3"/>
        <v>0.27194375287854228</v>
      </c>
      <c r="J92" s="83">
        <f t="shared" si="3"/>
        <v>0.22998181590168046</v>
      </c>
      <c r="K92" s="83">
        <f t="shared" si="3"/>
        <v>0.28573152551998299</v>
      </c>
    </row>
    <row r="93" spans="1:11" x14ac:dyDescent="0.25">
      <c r="A93" s="1" t="s">
        <v>291</v>
      </c>
      <c r="B93" s="83">
        <f t="shared" ref="B93:K93" si="4">B29/B28</f>
        <v>0.32519601367069706</v>
      </c>
      <c r="C93" s="83">
        <f t="shared" si="4"/>
        <v>0.31860396910743966</v>
      </c>
      <c r="D93" s="83">
        <f t="shared" si="4"/>
        <v>0.31118289255043252</v>
      </c>
      <c r="E93" s="83">
        <f t="shared" si="4"/>
        <v>0.33187918266430516</v>
      </c>
      <c r="F93" s="83">
        <f t="shared" si="4"/>
        <v>0.34721789713630874</v>
      </c>
      <c r="G93" s="83">
        <f t="shared" si="4"/>
        <v>0.31748985552195602</v>
      </c>
      <c r="H93" s="83">
        <f t="shared" si="4"/>
        <v>0.37055572932957981</v>
      </c>
      <c r="I93" s="83">
        <f t="shared" si="4"/>
        <v>0.27954744427234157</v>
      </c>
      <c r="J93" s="83">
        <f t="shared" si="4"/>
        <v>0.24381013846514904</v>
      </c>
      <c r="K93" s="83">
        <f t="shared" si="4"/>
        <v>0.29579389226955155</v>
      </c>
    </row>
    <row r="94" spans="1:11" x14ac:dyDescent="0.25">
      <c r="A94" s="90" t="s">
        <v>292</v>
      </c>
      <c r="B94" s="83">
        <f t="shared" ref="B94:K94" si="5">B30/B17</f>
        <v>0.24585120853824421</v>
      </c>
      <c r="C94" s="83">
        <f t="shared" si="5"/>
        <v>0.25901185476977967</v>
      </c>
      <c r="D94" s="83">
        <f t="shared" si="5"/>
        <v>0.15613449637780641</v>
      </c>
      <c r="E94" s="83">
        <f t="shared" si="5"/>
        <v>0.1378041365513048</v>
      </c>
      <c r="F94" s="83">
        <f t="shared" si="5"/>
        <v>0.10724386181041291</v>
      </c>
      <c r="G94" s="83">
        <f t="shared" si="5"/>
        <v>0.11512555584619408</v>
      </c>
      <c r="H94" s="83">
        <f t="shared" si="5"/>
        <v>0.13768061641715673</v>
      </c>
      <c r="I94" s="83">
        <f t="shared" si="5"/>
        <v>0.17227774431779752</v>
      </c>
      <c r="J94" s="83">
        <f t="shared" si="5"/>
        <v>0.13469296045481147</v>
      </c>
      <c r="K94" s="83">
        <f t="shared" si="5"/>
        <v>0.17744019308582382</v>
      </c>
    </row>
    <row r="95" spans="1:11" x14ac:dyDescent="0.25">
      <c r="A95" s="1" t="s">
        <v>293</v>
      </c>
      <c r="B95" s="85">
        <f t="shared" ref="B95:K95" si="6">B17-B91</f>
        <v>556.06999999999994</v>
      </c>
      <c r="C95" s="85">
        <f t="shared" si="6"/>
        <v>624.21</v>
      </c>
      <c r="D95" s="85">
        <f t="shared" si="6"/>
        <v>2124.98</v>
      </c>
      <c r="E95" s="85">
        <f t="shared" si="6"/>
        <v>3178.88</v>
      </c>
      <c r="F95" s="85">
        <f t="shared" si="6"/>
        <v>4017.2999999999997</v>
      </c>
      <c r="G95" s="85">
        <f t="shared" si="6"/>
        <v>3746.1000000000004</v>
      </c>
      <c r="H95" s="85">
        <f t="shared" si="6"/>
        <v>2310.33</v>
      </c>
      <c r="I95" s="85">
        <f t="shared" si="6"/>
        <v>2260.5200000000004</v>
      </c>
      <c r="J95" s="85">
        <f t="shared" si="6"/>
        <v>1473.63</v>
      </c>
      <c r="K95" s="85">
        <f t="shared" si="6"/>
        <v>2012.38</v>
      </c>
    </row>
    <row r="96" spans="1:11" x14ac:dyDescent="0.25">
      <c r="A96" s="1" t="s">
        <v>297</v>
      </c>
      <c r="B96" s="95">
        <f>B52</f>
        <v>0</v>
      </c>
      <c r="C96" s="95">
        <f t="shared" ref="C96:K96" si="7">C52</f>
        <v>0</v>
      </c>
      <c r="D96" s="95">
        <f t="shared" si="7"/>
        <v>0</v>
      </c>
      <c r="E96" s="95">
        <f t="shared" si="7"/>
        <v>3.71</v>
      </c>
      <c r="F96" s="95">
        <f t="shared" si="7"/>
        <v>3.58</v>
      </c>
      <c r="G96" s="95">
        <f t="shared" si="7"/>
        <v>3.69</v>
      </c>
      <c r="H96" s="95">
        <f t="shared" si="7"/>
        <v>5.39</v>
      </c>
      <c r="I96" s="95">
        <f t="shared" si="7"/>
        <v>14.51</v>
      </c>
      <c r="J96" s="95">
        <f t="shared" si="7"/>
        <v>11.29</v>
      </c>
      <c r="K96" s="95">
        <f t="shared" si="7"/>
        <v>10.11</v>
      </c>
    </row>
    <row r="97" spans="1:11" x14ac:dyDescent="0.25">
      <c r="A97" s="1" t="s">
        <v>298</v>
      </c>
      <c r="B97" s="88">
        <f>+'Data Sheet'!B57+'Data Sheet'!B58</f>
        <v>732.38</v>
      </c>
      <c r="C97" s="88">
        <f>+'Data Sheet'!C57+'Data Sheet'!C58</f>
        <v>1051.1799999999998</v>
      </c>
      <c r="D97" s="88">
        <f>+'Data Sheet'!D57+'Data Sheet'!D58</f>
        <v>1652.67</v>
      </c>
      <c r="E97" s="88">
        <f>+'Data Sheet'!E57+'Data Sheet'!E58</f>
        <v>1851.24</v>
      </c>
      <c r="F97" s="88">
        <f>+'Data Sheet'!F57+'Data Sheet'!F58</f>
        <v>2194.98</v>
      </c>
      <c r="G97" s="88">
        <f>+'Data Sheet'!G57+'Data Sheet'!G58</f>
        <v>1956.3799999999999</v>
      </c>
      <c r="H97" s="88">
        <f>+'Data Sheet'!H57+'Data Sheet'!H58</f>
        <v>2268.5400000000004</v>
      </c>
      <c r="I97" s="88">
        <f>+'Data Sheet'!I57+'Data Sheet'!I58</f>
        <v>2606.8300000000004</v>
      </c>
      <c r="J97" s="88">
        <f>+'Data Sheet'!J57+'Data Sheet'!J58</f>
        <v>2684.75</v>
      </c>
      <c r="K97" s="88">
        <f>+'Data Sheet'!K57+'Data Sheet'!K58</f>
        <v>3030.5600000000004</v>
      </c>
    </row>
    <row r="98" spans="1:11" x14ac:dyDescent="0.25">
      <c r="A98" s="90" t="s">
        <v>296</v>
      </c>
      <c r="B98" s="83"/>
      <c r="C98" s="83">
        <f t="shared" ref="C98:K98" si="8">C30/AVERAGE(B97:C97)</f>
        <v>0.31262194711700197</v>
      </c>
      <c r="D98" s="83">
        <f t="shared" si="8"/>
        <v>0.32808772675999043</v>
      </c>
      <c r="E98" s="83">
        <f t="shared" si="8"/>
        <v>0.32082445039969637</v>
      </c>
      <c r="F98" s="83">
        <f t="shared" si="8"/>
        <v>0.25903682943586848</v>
      </c>
      <c r="G98" s="83">
        <f t="shared" si="8"/>
        <v>0.2544467355276343</v>
      </c>
      <c r="H98" s="83">
        <f t="shared" si="8"/>
        <v>0.20004639141096162</v>
      </c>
      <c r="I98" s="83">
        <f t="shared" si="8"/>
        <v>0.21942949970976558</v>
      </c>
      <c r="J98" s="83">
        <f t="shared" si="8"/>
        <v>9.7426477536010039E-2</v>
      </c>
      <c r="K98" s="83">
        <f t="shared" si="8"/>
        <v>0.17494064188994121</v>
      </c>
    </row>
    <row r="99" spans="1:11" x14ac:dyDescent="0.25">
      <c r="A99" s="90" t="s">
        <v>299</v>
      </c>
      <c r="B99" s="83"/>
      <c r="C99" s="83">
        <f t="shared" ref="C99:K99" si="9">(C27+C28)/AVERAGE(B54:C54)</f>
        <v>6.0020179273838604E-2</v>
      </c>
      <c r="D99" s="83">
        <f t="shared" si="9"/>
        <v>8.289311211818233E-2</v>
      </c>
      <c r="E99" s="83">
        <f t="shared" si="9"/>
        <v>9.3799231135681296E-2</v>
      </c>
      <c r="F99" s="83">
        <f t="shared" si="9"/>
        <v>8.9463369387968811E-2</v>
      </c>
      <c r="G99" s="83">
        <f t="shared" si="9"/>
        <v>0.1032949992166776</v>
      </c>
      <c r="H99" s="83">
        <f t="shared" si="9"/>
        <v>0.1110824678789869</v>
      </c>
      <c r="I99" s="83">
        <f t="shared" si="9"/>
        <v>0.13268767452835212</v>
      </c>
      <c r="J99" s="83">
        <f t="shared" si="9"/>
        <v>5.8676414658661809E-2</v>
      </c>
      <c r="K99" s="83">
        <f t="shared" si="9"/>
        <v>0.11285480801875993</v>
      </c>
    </row>
    <row r="100" spans="1:11" x14ac:dyDescent="0.25">
      <c r="A100" s="1" t="s">
        <v>297</v>
      </c>
      <c r="B100" s="3">
        <f t="shared" ref="B100:K100" si="10">B52</f>
        <v>0</v>
      </c>
      <c r="C100" s="3">
        <f t="shared" si="10"/>
        <v>0</v>
      </c>
      <c r="D100" s="3">
        <f t="shared" si="10"/>
        <v>0</v>
      </c>
      <c r="E100" s="3">
        <f t="shared" si="10"/>
        <v>3.71</v>
      </c>
      <c r="F100" s="3">
        <f t="shared" si="10"/>
        <v>3.58</v>
      </c>
      <c r="G100" s="3">
        <f t="shared" si="10"/>
        <v>3.69</v>
      </c>
      <c r="H100" s="3">
        <f t="shared" si="10"/>
        <v>5.39</v>
      </c>
      <c r="I100" s="3">
        <f t="shared" si="10"/>
        <v>14.51</v>
      </c>
      <c r="J100" s="3">
        <f t="shared" si="10"/>
        <v>11.29</v>
      </c>
      <c r="K100" s="3">
        <f t="shared" si="10"/>
        <v>10.11</v>
      </c>
    </row>
    <row r="101" spans="1:11" x14ac:dyDescent="0.25">
      <c r="A101" s="1" t="s">
        <v>301</v>
      </c>
      <c r="C101" s="88">
        <f>AVERAGE(B100:C100)*$B$10</f>
        <v>0</v>
      </c>
      <c r="D101" s="88">
        <f t="shared" ref="D101:K101" si="11">AVERAGE(C100:D100)*$B$10</f>
        <v>0</v>
      </c>
      <c r="E101" s="88">
        <f t="shared" si="11"/>
        <v>0.22259999999999999</v>
      </c>
      <c r="F101" s="88">
        <f t="shared" si="11"/>
        <v>0.43740000000000001</v>
      </c>
      <c r="G101" s="88">
        <f t="shared" si="11"/>
        <v>0.43619999999999998</v>
      </c>
      <c r="H101" s="88">
        <f t="shared" si="11"/>
        <v>0.54479999999999995</v>
      </c>
      <c r="I101" s="88">
        <f t="shared" si="11"/>
        <v>1.194</v>
      </c>
      <c r="J101" s="88">
        <f t="shared" si="11"/>
        <v>1.5479999999999998</v>
      </c>
      <c r="K101" s="88">
        <f t="shared" si="11"/>
        <v>1.2839999999999998</v>
      </c>
    </row>
    <row r="102" spans="1:11" x14ac:dyDescent="0.25">
      <c r="A102" s="91" t="s">
        <v>300</v>
      </c>
      <c r="B102" s="83"/>
      <c r="C102" s="83">
        <f>IF(C101&gt; 0,C89/C101,0)</f>
        <v>0</v>
      </c>
      <c r="D102" s="83">
        <f t="shared" ref="D102:K102" si="12">IF(D101&gt; 0,D89/D101,0)</f>
        <v>0</v>
      </c>
      <c r="E102" s="83">
        <f t="shared" si="12"/>
        <v>2314.1060197663987</v>
      </c>
      <c r="F102" s="83">
        <f t="shared" si="12"/>
        <v>1301.7375400091453</v>
      </c>
      <c r="G102" s="83">
        <f t="shared" si="12"/>
        <v>1533.5625859697393</v>
      </c>
      <c r="H102" s="83">
        <f t="shared" si="12"/>
        <v>1143.5939794419971</v>
      </c>
      <c r="I102" s="83">
        <f t="shared" si="12"/>
        <v>633.41708542713536</v>
      </c>
      <c r="J102" s="83">
        <f t="shared" si="12"/>
        <v>223.20413436692508</v>
      </c>
      <c r="K102" s="83">
        <f t="shared" si="12"/>
        <v>566.50311526479766</v>
      </c>
    </row>
    <row r="103" spans="1:11" x14ac:dyDescent="0.25">
      <c r="A103" s="91" t="s">
        <v>303</v>
      </c>
      <c r="B103" s="83">
        <f>B100/B97</f>
        <v>0</v>
      </c>
      <c r="C103" s="83">
        <f t="shared" ref="C103:K103" si="13">C100/C97</f>
        <v>0</v>
      </c>
      <c r="D103" s="83">
        <f t="shared" si="13"/>
        <v>0</v>
      </c>
      <c r="E103" s="83">
        <f t="shared" si="13"/>
        <v>2.0040621421317604E-3</v>
      </c>
      <c r="F103" s="83">
        <f t="shared" si="13"/>
        <v>1.630994359857493E-3</v>
      </c>
      <c r="G103" s="83">
        <f t="shared" si="13"/>
        <v>1.88613664012104E-3</v>
      </c>
      <c r="H103" s="83">
        <f t="shared" si="13"/>
        <v>2.3759775009477456E-3</v>
      </c>
      <c r="I103" s="83">
        <f t="shared" si="13"/>
        <v>5.5661473897415624E-3</v>
      </c>
      <c r="J103" s="83">
        <f t="shared" si="13"/>
        <v>4.2052332619424522E-3</v>
      </c>
      <c r="K103" s="83">
        <f t="shared" si="13"/>
        <v>3.3360171057494319E-3</v>
      </c>
    </row>
    <row r="104" spans="1:11" x14ac:dyDescent="0.25">
      <c r="A104" s="91" t="s">
        <v>304</v>
      </c>
      <c r="B104" s="89">
        <f t="shared" ref="B104:K104" si="14">B100/B59</f>
        <v>0</v>
      </c>
      <c r="C104" s="89">
        <f t="shared" si="14"/>
        <v>0</v>
      </c>
      <c r="D104" s="89">
        <f t="shared" si="14"/>
        <v>0</v>
      </c>
      <c r="E104" s="89">
        <f t="shared" si="14"/>
        <v>3.8482962213050396E-4</v>
      </c>
      <c r="F104" s="89">
        <f t="shared" si="14"/>
        <v>4.2583662623201201E-4</v>
      </c>
      <c r="G104" s="89">
        <f t="shared" si="14"/>
        <v>5.5429874449081117E-4</v>
      </c>
      <c r="H104" s="89">
        <f t="shared" si="14"/>
        <v>9.7584114247642776E-4</v>
      </c>
      <c r="I104" s="89">
        <f t="shared" si="14"/>
        <v>2.5235660370795505E-3</v>
      </c>
      <c r="J104" s="89">
        <f t="shared" si="14"/>
        <v>1.8723920845412389E-3</v>
      </c>
      <c r="K104" s="89">
        <f t="shared" si="14"/>
        <v>1.5236045681010551E-3</v>
      </c>
    </row>
    <row r="105" spans="1:11" x14ac:dyDescent="0.25">
      <c r="A105" s="92"/>
      <c r="B105" s="89"/>
      <c r="C105" s="89"/>
      <c r="D105" s="89"/>
      <c r="E105" s="89"/>
      <c r="F105" s="89"/>
      <c r="G105" s="89"/>
      <c r="H105" s="89"/>
      <c r="I105" s="89"/>
      <c r="J105" s="89"/>
      <c r="K105" s="89"/>
    </row>
    <row r="106" spans="1:11" x14ac:dyDescent="0.25">
      <c r="A106" s="92" t="s">
        <v>305</v>
      </c>
      <c r="B106" s="89"/>
      <c r="C106" s="89"/>
      <c r="D106" s="89"/>
      <c r="E106" s="89"/>
      <c r="F106" s="89"/>
      <c r="G106" s="89"/>
      <c r="H106" s="89"/>
      <c r="I106" s="89"/>
      <c r="J106" s="89"/>
      <c r="K106" s="89"/>
    </row>
    <row r="107" spans="1:11" x14ac:dyDescent="0.25">
      <c r="A107" s="92" t="s">
        <v>306</v>
      </c>
      <c r="B107" s="89"/>
      <c r="C107" s="93">
        <f t="shared" ref="C107:K107" si="15">C17/((B55+C55)/2)</f>
        <v>4.4092333531327439</v>
      </c>
      <c r="D107" s="93">
        <f t="shared" si="15"/>
        <v>7.1533754689900038</v>
      </c>
      <c r="E107" s="93">
        <f t="shared" si="15"/>
        <v>6.7169382529004427</v>
      </c>
      <c r="F107" s="93">
        <f t="shared" si="15"/>
        <v>6.7220854254075242</v>
      </c>
      <c r="G107" s="93">
        <f t="shared" si="15"/>
        <v>5.6445054167615094</v>
      </c>
      <c r="H107" s="93">
        <f t="shared" si="15"/>
        <v>3.3630262689347248</v>
      </c>
      <c r="I107" s="93">
        <f t="shared" si="15"/>
        <v>3.2867244646278593</v>
      </c>
      <c r="J107" s="93">
        <f t="shared" si="15"/>
        <v>2.0718863675731853</v>
      </c>
      <c r="K107" s="93">
        <f t="shared" si="15"/>
        <v>3.1499742850115156</v>
      </c>
    </row>
    <row r="108" spans="1:11" x14ac:dyDescent="0.25">
      <c r="A108" s="92" t="s">
        <v>307</v>
      </c>
      <c r="B108" s="89"/>
      <c r="D108" s="89"/>
      <c r="E108" s="89"/>
      <c r="F108" s="89"/>
      <c r="G108" s="89"/>
      <c r="H108" s="89"/>
      <c r="I108" s="89"/>
      <c r="J108" s="89"/>
      <c r="K108" s="89"/>
    </row>
    <row r="109" spans="1:11" x14ac:dyDescent="0.25">
      <c r="A109" s="92" t="s">
        <v>308</v>
      </c>
      <c r="B109" s="89"/>
      <c r="C109" s="89">
        <f t="shared" ref="C109:K109" si="16">C89/AVERAGE(B59:C59)</f>
        <v>-1.7006156140787236E-3</v>
      </c>
      <c r="D109" s="89">
        <f t="shared" si="16"/>
        <v>3.5346667024206767E-2</v>
      </c>
      <c r="E109" s="89">
        <f t="shared" si="16"/>
        <v>5.7068787875430731E-2</v>
      </c>
      <c r="F109" s="89">
        <f t="shared" si="16"/>
        <v>6.3097551420936079E-2</v>
      </c>
      <c r="G109" s="89">
        <f t="shared" si="16"/>
        <v>8.8812828431151306E-2</v>
      </c>
      <c r="H109" s="89">
        <f t="shared" si="16"/>
        <v>0.10229957719305446</v>
      </c>
      <c r="I109" s="89">
        <f t="shared" si="16"/>
        <v>0.13417615521358539</v>
      </c>
      <c r="J109" s="89">
        <f t="shared" si="16"/>
        <v>5.8664529624297079E-2</v>
      </c>
      <c r="K109" s="89">
        <f t="shared" si="16"/>
        <v>0.11486344579283557</v>
      </c>
    </row>
    <row r="110" spans="1:11" x14ac:dyDescent="0.25">
      <c r="A110" s="92" t="s">
        <v>309</v>
      </c>
      <c r="B110" s="89"/>
      <c r="C110" s="94">
        <f t="shared" ref="C110:K110" si="17">IF(((B61+C61)/2)&gt;0,(C17/AVERAGE(B61:C61)),0)</f>
        <v>1.3341762110169071</v>
      </c>
      <c r="D110" s="94">
        <f t="shared" si="17"/>
        <v>2.2937585789261203</v>
      </c>
      <c r="E110" s="94">
        <f t="shared" si="17"/>
        <v>2.3087342535228808</v>
      </c>
      <c r="F110" s="94">
        <f t="shared" si="17"/>
        <v>2.259729569753246</v>
      </c>
      <c r="G110" s="94">
        <f t="shared" si="17"/>
        <v>2.1579261781902508</v>
      </c>
      <c r="H110" s="94">
        <f t="shared" si="17"/>
        <v>1.6572671977884028</v>
      </c>
      <c r="I110" s="94">
        <f t="shared" si="17"/>
        <v>2.3516397788381429</v>
      </c>
      <c r="J110" s="94">
        <f t="shared" si="17"/>
        <v>1.6041441396132472</v>
      </c>
      <c r="K110" s="94">
        <f t="shared" si="17"/>
        <v>1.7657750256963074</v>
      </c>
    </row>
    <row r="111" spans="1:11" x14ac:dyDescent="0.25">
      <c r="A111" s="92" t="s">
        <v>310</v>
      </c>
      <c r="B111" s="88"/>
      <c r="C111" s="88">
        <f>IF(C110&gt;0,365/C110,0)</f>
        <v>273.57705600356758</v>
      </c>
      <c r="D111" s="88">
        <f t="shared" ref="D111:K111" si="18">IF(D110&gt;0,365/D110,0)</f>
        <v>159.12747023746664</v>
      </c>
      <c r="E111" s="88">
        <f t="shared" si="18"/>
        <v>158.09528508664397</v>
      </c>
      <c r="F111" s="88">
        <f t="shared" si="18"/>
        <v>161.52375261428148</v>
      </c>
      <c r="G111" s="88">
        <f t="shared" si="18"/>
        <v>169.14387697270905</v>
      </c>
      <c r="H111" s="88">
        <f t="shared" si="18"/>
        <v>220.24209523188946</v>
      </c>
      <c r="I111" s="88">
        <f t="shared" si="18"/>
        <v>155.21084618679686</v>
      </c>
      <c r="J111" s="88">
        <f t="shared" si="18"/>
        <v>227.53566277903184</v>
      </c>
      <c r="K111" s="88">
        <f t="shared" si="18"/>
        <v>206.70809966635903</v>
      </c>
    </row>
    <row r="112" spans="1:11" x14ac:dyDescent="0.25">
      <c r="A112" s="92" t="s">
        <v>311</v>
      </c>
      <c r="B112" s="88"/>
      <c r="C112" s="88">
        <f t="shared" ref="C112:K112" si="19">C17/AVERAGE(B60:C60)</f>
        <v>5.916666666666667</v>
      </c>
      <c r="D112" s="88">
        <f t="shared" si="19"/>
        <v>9.3105007865757745</v>
      </c>
      <c r="E112" s="88">
        <f t="shared" si="19"/>
        <v>17.007234441780465</v>
      </c>
      <c r="F112" s="88">
        <f t="shared" si="19"/>
        <v>32.641661935139105</v>
      </c>
      <c r="G112" s="88">
        <f t="shared" si="19"/>
        <v>9.9195640892579142</v>
      </c>
      <c r="H112" s="88">
        <f t="shared" si="19"/>
        <v>4.7354089204992516</v>
      </c>
      <c r="I112" s="88">
        <f t="shared" si="19"/>
        <v>7.1847043850514867</v>
      </c>
      <c r="J112" s="88">
        <f t="shared" si="19"/>
        <v>5.7899736786373408</v>
      </c>
      <c r="K112" s="88">
        <f t="shared" si="19"/>
        <v>8.9890723458562647</v>
      </c>
    </row>
    <row r="113" spans="1:11" x14ac:dyDescent="0.25">
      <c r="A113" s="92" t="s">
        <v>314</v>
      </c>
      <c r="B113" s="88"/>
      <c r="C113" s="88">
        <f t="shared" ref="C113:K113" si="20">365/(C17/AVERAGE(B60:C60))</f>
        <v>61.690140845070417</v>
      </c>
      <c r="D113" s="88">
        <f t="shared" si="20"/>
        <v>39.203047007554154</v>
      </c>
      <c r="E113" s="88">
        <f t="shared" si="20"/>
        <v>21.461455197167766</v>
      </c>
      <c r="F113" s="88">
        <f t="shared" si="20"/>
        <v>11.182028682402152</v>
      </c>
      <c r="G113" s="88">
        <f t="shared" si="20"/>
        <v>36.795971749934608</v>
      </c>
      <c r="H113" s="88">
        <f t="shared" si="20"/>
        <v>77.078876635118192</v>
      </c>
      <c r="I113" s="88">
        <f t="shared" si="20"/>
        <v>50.802368537169031</v>
      </c>
      <c r="J113" s="88">
        <f t="shared" si="20"/>
        <v>63.040010241618589</v>
      </c>
      <c r="K113" s="88">
        <f t="shared" si="20"/>
        <v>40.604857315255202</v>
      </c>
    </row>
    <row r="114" spans="1:11" x14ac:dyDescent="0.25">
      <c r="A114" s="92"/>
      <c r="B114" s="89"/>
      <c r="C114" s="89"/>
      <c r="D114" s="89"/>
      <c r="E114" s="89"/>
      <c r="F114" s="89"/>
      <c r="G114" s="89"/>
      <c r="H114" s="89"/>
      <c r="I114" s="89"/>
      <c r="J114" s="89"/>
      <c r="K114" s="89"/>
    </row>
    <row r="115" spans="1:11" x14ac:dyDescent="0.25">
      <c r="A115" s="92" t="s">
        <v>312</v>
      </c>
      <c r="B115" s="93">
        <f t="shared" ref="B115:K115" si="21">B30/B50</f>
        <v>2.0431304347826087</v>
      </c>
      <c r="C115" s="93">
        <f t="shared" si="21"/>
        <v>2.4242608695652175</v>
      </c>
      <c r="D115" s="93">
        <f t="shared" si="21"/>
        <v>3.8569565217391304</v>
      </c>
      <c r="E115" s="93">
        <f t="shared" si="21"/>
        <v>5.7500767263427113</v>
      </c>
      <c r="F115" s="93">
        <f t="shared" si="21"/>
        <v>4.2888943448727392</v>
      </c>
      <c r="G115" s="93">
        <f t="shared" si="21"/>
        <v>2.8816564818856394</v>
      </c>
      <c r="H115" s="93">
        <f t="shared" si="21"/>
        <v>2.3057071147970318</v>
      </c>
      <c r="I115" s="93">
        <f t="shared" si="21"/>
        <v>2.9184853775643824</v>
      </c>
      <c r="J115" s="93">
        <f t="shared" si="21"/>
        <v>1.4064273243125271</v>
      </c>
      <c r="K115" s="93">
        <f t="shared" si="21"/>
        <v>2.7276298559580971</v>
      </c>
    </row>
    <row r="116" spans="1:11" x14ac:dyDescent="0.25">
      <c r="A116" s="92" t="s">
        <v>313</v>
      </c>
      <c r="B116" s="83">
        <f t="shared" ref="B116:K116" si="22">B31/B30</f>
        <v>0.2000340483486551</v>
      </c>
      <c r="C116" s="83">
        <f t="shared" si="22"/>
        <v>0.20689407797984144</v>
      </c>
      <c r="D116" s="83">
        <f t="shared" si="22"/>
        <v>0.18872731371885917</v>
      </c>
      <c r="E116" s="83">
        <f t="shared" si="22"/>
        <v>0.30062091910260286</v>
      </c>
      <c r="F116" s="83">
        <f t="shared" si="22"/>
        <v>0.2998511620806778</v>
      </c>
      <c r="G116" s="83">
        <f t="shared" si="22"/>
        <v>0.25297737385212538</v>
      </c>
      <c r="H116" s="83">
        <f t="shared" si="22"/>
        <v>0.30012541707091983</v>
      </c>
      <c r="I116" s="83">
        <f t="shared" si="22"/>
        <v>0.30153299682183587</v>
      </c>
      <c r="J116" s="83">
        <f t="shared" si="22"/>
        <v>0.52259766458470736</v>
      </c>
      <c r="K116" s="83">
        <f t="shared" si="22"/>
        <v>0.30428868618979038</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A405BAA7-4091-433E-AA90-D17C3F8D2C00}"/>
  </hyperlinks>
  <pageMargins left="0.7" right="0.7" top="0.75" bottom="0.75" header="0.3" footer="0.3"/>
  <pageSetup paperSize="9"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21BD3-7B7F-47F7-A4AF-D68AFF4AB1FA}">
  <sheetPr codeName="Sheet7"/>
  <dimension ref="A1"/>
  <sheetViews>
    <sheetView tabSelected="1" topLeftCell="G1" workbookViewId="0">
      <selection activeCell="U17" sqref="U17"/>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7350-F9D8-4AD7-BBFA-9EBEE5F96408}">
  <sheetPr codeName="Sheet8"/>
  <dimension ref="D6:N225"/>
  <sheetViews>
    <sheetView topLeftCell="A184" workbookViewId="0">
      <selection activeCell="X22" sqref="X22"/>
    </sheetView>
  </sheetViews>
  <sheetFormatPr defaultRowHeight="15" x14ac:dyDescent="0.25"/>
  <cols>
    <col min="4" max="4" width="41.28515625" bestFit="1" customWidth="1"/>
    <col min="5" max="5" width="12.140625" bestFit="1" customWidth="1"/>
    <col min="7" max="7" width="11" bestFit="1" customWidth="1"/>
  </cols>
  <sheetData>
    <row r="6" spans="4:14" x14ac:dyDescent="0.25">
      <c r="D6" s="96"/>
      <c r="E6" s="97" t="s">
        <v>315</v>
      </c>
      <c r="F6" s="97" t="s">
        <v>232</v>
      </c>
      <c r="G6" s="97" t="s">
        <v>245</v>
      </c>
      <c r="H6" s="96"/>
      <c r="I6" s="96"/>
      <c r="J6" s="96"/>
      <c r="K6" s="96"/>
      <c r="L6" s="96"/>
      <c r="M6" s="96"/>
      <c r="N6" s="96"/>
    </row>
    <row r="7" spans="4:14" x14ac:dyDescent="0.25">
      <c r="D7" s="98" t="str">
        <f>+DetailedDataSheet!B1</f>
        <v>BHARAT DYNAMICS LTD</v>
      </c>
      <c r="E7" s="98">
        <f>+DetailedDataSheet!B6</f>
        <v>10.449997462057764</v>
      </c>
      <c r="F7" s="98">
        <f>+DetailedDataSheet!B8</f>
        <v>985.05</v>
      </c>
      <c r="G7" s="98">
        <f>+DetailedDataSheet!B9</f>
        <v>10293.77</v>
      </c>
      <c r="H7" s="96"/>
      <c r="I7" s="96"/>
      <c r="J7" s="96"/>
      <c r="K7" s="96"/>
      <c r="L7" s="96"/>
      <c r="M7" s="96"/>
      <c r="N7" s="96"/>
    </row>
    <row r="8" spans="4:14" x14ac:dyDescent="0.25">
      <c r="D8" s="96" t="s">
        <v>316</v>
      </c>
      <c r="E8" s="96">
        <v>10.449997462057764</v>
      </c>
      <c r="F8" s="96">
        <v>985.05</v>
      </c>
      <c r="G8" s="96">
        <v>10293.77</v>
      </c>
      <c r="H8" s="96"/>
      <c r="I8" s="96"/>
      <c r="J8" s="96"/>
      <c r="K8" s="96"/>
      <c r="L8" s="96"/>
      <c r="M8" s="96"/>
      <c r="N8" s="96"/>
    </row>
    <row r="9" spans="4:14" x14ac:dyDescent="0.25">
      <c r="D9" s="96"/>
      <c r="E9" s="96"/>
      <c r="F9" s="96"/>
      <c r="G9" s="96"/>
      <c r="H9" s="96"/>
      <c r="I9" s="96"/>
      <c r="J9" s="96"/>
      <c r="K9" s="96"/>
      <c r="L9" s="96"/>
      <c r="M9" s="96"/>
      <c r="N9" s="96"/>
    </row>
    <row r="10" spans="4:14" x14ac:dyDescent="0.25">
      <c r="D10" s="96"/>
      <c r="E10" s="96"/>
      <c r="F10" s="96"/>
      <c r="G10" s="96"/>
      <c r="H10" s="96"/>
      <c r="I10" s="96"/>
      <c r="J10" s="96"/>
      <c r="K10" s="96"/>
      <c r="L10" s="96"/>
      <c r="M10" s="96"/>
      <c r="N10" s="96"/>
    </row>
    <row r="13" spans="4:14" x14ac:dyDescent="0.25">
      <c r="D13" s="99" t="s">
        <v>2</v>
      </c>
      <c r="E13" s="101">
        <f>+DetailedDataSheet!B16</f>
        <v>40999</v>
      </c>
      <c r="F13" s="101">
        <f>+DetailedDataSheet!C16</f>
        <v>41364</v>
      </c>
      <c r="G13" s="101">
        <f>+DetailedDataSheet!D16</f>
        <v>42094</v>
      </c>
      <c r="H13" s="101">
        <f>+DetailedDataSheet!E16</f>
        <v>42460</v>
      </c>
      <c r="I13" s="101">
        <f>+DetailedDataSheet!F16</f>
        <v>42825</v>
      </c>
      <c r="J13" s="101">
        <f>+DetailedDataSheet!G16</f>
        <v>43190</v>
      </c>
      <c r="K13" s="101">
        <f>+DetailedDataSheet!H16</f>
        <v>43555</v>
      </c>
      <c r="L13" s="101">
        <f>+DetailedDataSheet!I16</f>
        <v>43921</v>
      </c>
      <c r="M13" s="101">
        <f>+DetailedDataSheet!J16</f>
        <v>44286</v>
      </c>
      <c r="N13" s="101">
        <f>+DetailedDataSheet!K16</f>
        <v>44651</v>
      </c>
    </row>
    <row r="14" spans="4:14" x14ac:dyDescent="0.25">
      <c r="D14" s="98" t="str">
        <f>+DetailedDataSheet!B1</f>
        <v>BHARAT DYNAMICS LTD</v>
      </c>
      <c r="E14" s="100">
        <f>+DetailedDataSheet!B17</f>
        <v>955.7</v>
      </c>
      <c r="F14" s="100">
        <f>+DetailedDataSheet!C17</f>
        <v>1076.3599999999999</v>
      </c>
      <c r="G14" s="100">
        <f>+DetailedDataSheet!D17</f>
        <v>2840.82</v>
      </c>
      <c r="H14" s="100">
        <f>+DetailedDataSheet!E17</f>
        <v>4078.76</v>
      </c>
      <c r="I14" s="100">
        <f>+DetailedDataSheet!F17</f>
        <v>4886.62</v>
      </c>
      <c r="J14" s="100">
        <f>+DetailedDataSheet!G17</f>
        <v>4587.6000000000004</v>
      </c>
      <c r="K14" s="100">
        <f>+DetailedDataSheet!H17</f>
        <v>3069.35</v>
      </c>
      <c r="L14" s="100">
        <f>+DetailedDataSheet!I17</f>
        <v>3104.87</v>
      </c>
      <c r="M14" s="100">
        <f>+DetailedDataSheet!J17</f>
        <v>1913.76</v>
      </c>
      <c r="N14" s="100">
        <f>+DetailedDataSheet!K17</f>
        <v>2817.4</v>
      </c>
    </row>
    <row r="15" spans="4:14" x14ac:dyDescent="0.25">
      <c r="D15" s="96" t="s">
        <v>316</v>
      </c>
      <c r="E15" s="96">
        <v>0</v>
      </c>
      <c r="F15" s="96">
        <v>0</v>
      </c>
      <c r="G15" s="96">
        <v>0</v>
      </c>
      <c r="H15" s="96">
        <v>0</v>
      </c>
      <c r="I15" s="96">
        <v>0</v>
      </c>
      <c r="J15" s="96">
        <v>0</v>
      </c>
      <c r="K15" s="96">
        <v>690.64</v>
      </c>
      <c r="L15" s="96">
        <v>783.67</v>
      </c>
      <c r="M15" s="96">
        <v>762.12</v>
      </c>
      <c r="N15" s="96">
        <v>880.73</v>
      </c>
    </row>
    <row r="16" spans="4:14" x14ac:dyDescent="0.25">
      <c r="D16" s="96"/>
      <c r="E16" s="96"/>
      <c r="F16" s="96"/>
      <c r="G16" s="96"/>
      <c r="H16" s="96"/>
      <c r="I16" s="96"/>
      <c r="J16" s="96"/>
      <c r="K16" s="96"/>
      <c r="L16" s="96"/>
      <c r="M16" s="96"/>
      <c r="N16" s="96"/>
    </row>
    <row r="17" spans="4:14" x14ac:dyDescent="0.25">
      <c r="D17" s="96"/>
      <c r="E17" s="96"/>
      <c r="F17" s="96"/>
      <c r="G17" s="96"/>
      <c r="H17" s="96"/>
      <c r="I17" s="96"/>
      <c r="J17" s="96"/>
      <c r="K17" s="96"/>
      <c r="L17" s="96"/>
      <c r="M17" s="96"/>
      <c r="N17" s="96"/>
    </row>
    <row r="19" spans="4:14" x14ac:dyDescent="0.25">
      <c r="D19" s="99" t="s">
        <v>4</v>
      </c>
      <c r="E19" s="101">
        <f>+DetailedDataSheet!B16</f>
        <v>40999</v>
      </c>
      <c r="F19" s="101">
        <f>+DetailedDataSheet!C16</f>
        <v>41364</v>
      </c>
      <c r="G19" s="101">
        <f>+DetailedDataSheet!D16</f>
        <v>42094</v>
      </c>
      <c r="H19" s="101">
        <f>+DetailedDataSheet!E16</f>
        <v>42460</v>
      </c>
      <c r="I19" s="101">
        <f>+DetailedDataSheet!F16</f>
        <v>42825</v>
      </c>
      <c r="J19" s="101">
        <f>+DetailedDataSheet!G16</f>
        <v>43190</v>
      </c>
      <c r="K19" s="101">
        <f>+DetailedDataSheet!H16</f>
        <v>43555</v>
      </c>
      <c r="L19" s="101">
        <f>+DetailedDataSheet!I16</f>
        <v>43921</v>
      </c>
      <c r="M19" s="101">
        <f>+DetailedDataSheet!J16</f>
        <v>44286</v>
      </c>
      <c r="N19" s="101">
        <f>+DetailedDataSheet!K16</f>
        <v>44651</v>
      </c>
    </row>
    <row r="20" spans="4:14" x14ac:dyDescent="0.25">
      <c r="D20" s="98" t="str">
        <f>+DetailedDataSheet!B1</f>
        <v>BHARAT DYNAMICS LTD</v>
      </c>
      <c r="E20" s="102">
        <f>DetailedDataSheet!B89</f>
        <v>-63.559999999999945</v>
      </c>
      <c r="F20" s="102">
        <f>DetailedDataSheet!C89</f>
        <v>-11.630000000000166</v>
      </c>
      <c r="G20" s="102">
        <f>DetailedDataSheet!D89</f>
        <v>276.81000000000017</v>
      </c>
      <c r="H20" s="102">
        <f>DetailedDataSheet!E89</f>
        <v>515.12000000000035</v>
      </c>
      <c r="I20" s="102">
        <f>DetailedDataSheet!F89</f>
        <v>569.38000000000011</v>
      </c>
      <c r="J20" s="102">
        <f>DetailedDataSheet!G89</f>
        <v>668.94000000000028</v>
      </c>
      <c r="K20" s="102">
        <f>DetailedDataSheet!H89</f>
        <v>623.03</v>
      </c>
      <c r="L20" s="102">
        <f>DetailedDataSheet!I89</f>
        <v>756.29999999999961</v>
      </c>
      <c r="M20" s="102">
        <f>DetailedDataSheet!J89</f>
        <v>345.52</v>
      </c>
      <c r="N20" s="102">
        <f>DetailedDataSheet!K89</f>
        <v>727.3900000000001</v>
      </c>
    </row>
    <row r="21" spans="4:14" x14ac:dyDescent="0.25">
      <c r="D21" s="96" t="s">
        <v>316</v>
      </c>
      <c r="E21" s="96">
        <v>0</v>
      </c>
      <c r="F21" s="96">
        <v>0</v>
      </c>
      <c r="G21" s="96">
        <v>0</v>
      </c>
      <c r="H21" s="96">
        <v>0</v>
      </c>
      <c r="I21" s="96">
        <v>0</v>
      </c>
      <c r="J21" s="96">
        <v>0</v>
      </c>
      <c r="K21" s="96">
        <v>86.089999999999947</v>
      </c>
      <c r="L21" s="96">
        <v>96.599999999999966</v>
      </c>
      <c r="M21" s="96">
        <v>93.37</v>
      </c>
      <c r="N21" s="96">
        <v>141.06000000000006</v>
      </c>
    </row>
    <row r="22" spans="4:14" x14ac:dyDescent="0.25">
      <c r="D22" s="96"/>
      <c r="E22" s="96"/>
      <c r="F22" s="96"/>
      <c r="G22" s="96"/>
      <c r="H22" s="96"/>
      <c r="I22" s="96"/>
      <c r="J22" s="96"/>
      <c r="K22" s="96"/>
      <c r="L22" s="96"/>
      <c r="M22" s="96"/>
      <c r="N22" s="96"/>
    </row>
    <row r="23" spans="4:14" x14ac:dyDescent="0.25">
      <c r="D23" s="96"/>
      <c r="E23" s="96"/>
      <c r="F23" s="96"/>
      <c r="G23" s="96"/>
      <c r="H23" s="96"/>
      <c r="I23" s="96"/>
      <c r="J23" s="96"/>
      <c r="K23" s="96"/>
      <c r="L23" s="96"/>
      <c r="M23" s="96"/>
      <c r="N23" s="96"/>
    </row>
    <row r="25" spans="4:14" x14ac:dyDescent="0.25">
      <c r="D25" s="99" t="s">
        <v>279</v>
      </c>
      <c r="E25" s="101">
        <f>+DetailedDataSheet!B16</f>
        <v>40999</v>
      </c>
      <c r="F25" s="101">
        <f>+DetailedDataSheet!C16</f>
        <v>41364</v>
      </c>
      <c r="G25" s="101">
        <f>+DetailedDataSheet!D16</f>
        <v>42094</v>
      </c>
      <c r="H25" s="101">
        <f>+DetailedDataSheet!E16</f>
        <v>42460</v>
      </c>
      <c r="I25" s="101">
        <f>+DetailedDataSheet!F16</f>
        <v>42825</v>
      </c>
      <c r="J25" s="101">
        <f>+DetailedDataSheet!G16</f>
        <v>43190</v>
      </c>
      <c r="K25" s="101">
        <f>+DetailedDataSheet!H16</f>
        <v>43555</v>
      </c>
      <c r="L25" s="101">
        <f>+DetailedDataSheet!I16</f>
        <v>43921</v>
      </c>
      <c r="M25" s="101">
        <f>+DetailedDataSheet!J16</f>
        <v>44286</v>
      </c>
      <c r="N25" s="101">
        <f>+DetailedDataSheet!K16</f>
        <v>44651</v>
      </c>
    </row>
    <row r="26" spans="4:14" x14ac:dyDescent="0.25">
      <c r="D26" s="98" t="str">
        <f>+DetailedDataSheet!B1</f>
        <v>BHARAT DYNAMICS LTD</v>
      </c>
      <c r="E26" s="102">
        <f>+DetailedDataSheet!B91</f>
        <v>399.63000000000005</v>
      </c>
      <c r="F26" s="102">
        <f>+DetailedDataSheet!C91</f>
        <v>452.14999999999981</v>
      </c>
      <c r="G26" s="102">
        <f>+DetailedDataSheet!D91</f>
        <v>715.84000000000015</v>
      </c>
      <c r="H26" s="102">
        <f>+DetailedDataSheet!E91</f>
        <v>899.88000000000034</v>
      </c>
      <c r="I26" s="102">
        <f>+DetailedDataSheet!F91</f>
        <v>869.32000000000016</v>
      </c>
      <c r="J26" s="102">
        <f>+DetailedDataSheet!G91</f>
        <v>841.50000000000023</v>
      </c>
      <c r="K26" s="102">
        <f>+DetailedDataSheet!H91</f>
        <v>759.02</v>
      </c>
      <c r="L26" s="102">
        <f>+DetailedDataSheet!I91</f>
        <v>844.34999999999957</v>
      </c>
      <c r="M26" s="102">
        <f>+DetailedDataSheet!J91</f>
        <v>440.13</v>
      </c>
      <c r="N26" s="102">
        <f>+DetailedDataSheet!K91</f>
        <v>805.0200000000001</v>
      </c>
    </row>
    <row r="27" spans="4:14" x14ac:dyDescent="0.25">
      <c r="D27" s="96" t="s">
        <v>316</v>
      </c>
      <c r="E27" s="96">
        <v>0</v>
      </c>
      <c r="F27" s="96">
        <v>0</v>
      </c>
      <c r="G27" s="96">
        <v>0</v>
      </c>
      <c r="H27" s="96">
        <v>0</v>
      </c>
      <c r="I27" s="96">
        <v>0</v>
      </c>
      <c r="J27" s="96">
        <v>0</v>
      </c>
      <c r="K27" s="96">
        <v>87.719999999999942</v>
      </c>
      <c r="L27" s="96">
        <v>99.029999999999973</v>
      </c>
      <c r="M27" s="96">
        <v>96.26</v>
      </c>
      <c r="N27" s="96">
        <v>151.28000000000006</v>
      </c>
    </row>
    <row r="28" spans="4:14" x14ac:dyDescent="0.25">
      <c r="D28" s="96"/>
      <c r="E28" s="96"/>
      <c r="F28" s="96"/>
      <c r="G28" s="96"/>
      <c r="H28" s="96"/>
      <c r="I28" s="96"/>
      <c r="J28" s="96"/>
      <c r="K28" s="96"/>
      <c r="L28" s="96"/>
      <c r="M28" s="96"/>
      <c r="N28" s="96"/>
    </row>
    <row r="29" spans="4:14" x14ac:dyDescent="0.25">
      <c r="D29" s="96"/>
      <c r="E29" s="96"/>
      <c r="F29" s="96"/>
      <c r="G29" s="96"/>
      <c r="H29" s="96"/>
      <c r="I29" s="96"/>
      <c r="J29" s="96"/>
      <c r="K29" s="96"/>
      <c r="L29" s="96"/>
      <c r="M29" s="96"/>
      <c r="N29" s="96"/>
    </row>
    <row r="32" spans="4:14" x14ac:dyDescent="0.25">
      <c r="D32" s="99" t="s">
        <v>317</v>
      </c>
      <c r="E32" s="101">
        <f>+DetailedDataSheet!B16</f>
        <v>40999</v>
      </c>
      <c r="F32" s="101">
        <f>+DetailedDataSheet!C16</f>
        <v>41364</v>
      </c>
      <c r="G32" s="101">
        <f>+DetailedDataSheet!D16</f>
        <v>42094</v>
      </c>
      <c r="H32" s="101">
        <f>+DetailedDataSheet!E16</f>
        <v>42460</v>
      </c>
      <c r="I32" s="101">
        <f>+DetailedDataSheet!F16</f>
        <v>42825</v>
      </c>
      <c r="J32" s="101">
        <f>+DetailedDataSheet!G16</f>
        <v>43190</v>
      </c>
      <c r="K32" s="101">
        <f>+DetailedDataSheet!H16</f>
        <v>43555</v>
      </c>
      <c r="L32" s="101">
        <f>+DetailedDataSheet!I16</f>
        <v>43921</v>
      </c>
      <c r="M32" s="101">
        <f>+DetailedDataSheet!J16</f>
        <v>44286</v>
      </c>
      <c r="N32" s="101">
        <f>+DetailedDataSheet!K16</f>
        <v>44651</v>
      </c>
    </row>
    <row r="33" spans="4:14" x14ac:dyDescent="0.25">
      <c r="D33" s="98" t="str">
        <f>+DetailedDataSheet!B1</f>
        <v>BHARAT DYNAMICS LTD</v>
      </c>
      <c r="E33" s="102">
        <f>+DetailedDataSheet!B28</f>
        <v>348.19</v>
      </c>
      <c r="F33" s="102">
        <f>+DetailedDataSheet!C28</f>
        <v>409.16</v>
      </c>
      <c r="G33" s="102">
        <f>+DetailedDataSheet!D28</f>
        <v>643.92999999999995</v>
      </c>
      <c r="H33" s="102">
        <f>+DetailedDataSheet!E28</f>
        <v>841.27</v>
      </c>
      <c r="I33" s="102">
        <f>+DetailedDataSheet!F28</f>
        <v>802.81</v>
      </c>
      <c r="J33" s="102">
        <f>+DetailedDataSheet!G28</f>
        <v>773.82</v>
      </c>
      <c r="K33" s="102">
        <f>+DetailedDataSheet!H28</f>
        <v>671.37</v>
      </c>
      <c r="L33" s="102">
        <f>+DetailedDataSheet!I28</f>
        <v>742.45</v>
      </c>
      <c r="M33" s="102">
        <f>+DetailedDataSheet!J28</f>
        <v>340.88</v>
      </c>
      <c r="N33" s="102">
        <f>+DetailedDataSheet!K28</f>
        <v>709.92</v>
      </c>
    </row>
    <row r="34" spans="4:14" x14ac:dyDescent="0.25">
      <c r="D34" s="96" t="s">
        <v>316</v>
      </c>
      <c r="E34" s="96">
        <v>0</v>
      </c>
      <c r="F34" s="96">
        <v>0</v>
      </c>
      <c r="G34" s="96">
        <v>0</v>
      </c>
      <c r="H34" s="96">
        <v>0</v>
      </c>
      <c r="I34" s="96">
        <v>0</v>
      </c>
      <c r="J34" s="96">
        <v>0</v>
      </c>
      <c r="K34" s="96">
        <v>52.84</v>
      </c>
      <c r="L34" s="96">
        <v>50.66</v>
      </c>
      <c r="M34" s="96">
        <v>39.18</v>
      </c>
      <c r="N34" s="96">
        <v>97.08</v>
      </c>
    </row>
    <row r="35" spans="4:14" x14ac:dyDescent="0.25">
      <c r="D35" s="96"/>
      <c r="E35" s="96"/>
      <c r="F35" s="96"/>
      <c r="G35" s="96"/>
      <c r="H35" s="96"/>
      <c r="I35" s="96"/>
      <c r="J35" s="96"/>
      <c r="K35" s="96"/>
      <c r="L35" s="96"/>
      <c r="M35" s="96"/>
      <c r="N35" s="96"/>
    </row>
    <row r="36" spans="4:14" x14ac:dyDescent="0.25">
      <c r="D36" s="96"/>
      <c r="E36" s="96"/>
      <c r="F36" s="96"/>
      <c r="G36" s="96"/>
      <c r="H36" s="96"/>
      <c r="I36" s="96"/>
      <c r="J36" s="96"/>
      <c r="K36" s="96"/>
      <c r="L36" s="96"/>
      <c r="M36" s="96"/>
      <c r="N36" s="96"/>
    </row>
    <row r="37" spans="4:14" x14ac:dyDescent="0.25">
      <c r="D37" s="96"/>
      <c r="E37" s="96"/>
      <c r="F37" s="96"/>
      <c r="G37" s="96"/>
      <c r="H37" s="96"/>
      <c r="I37" s="96"/>
      <c r="J37" s="96"/>
      <c r="K37" s="96"/>
      <c r="L37" s="96"/>
      <c r="M37" s="96"/>
      <c r="N37" s="96"/>
    </row>
    <row r="39" spans="4:14" x14ac:dyDescent="0.25">
      <c r="D39" s="99" t="s">
        <v>318</v>
      </c>
      <c r="E39" s="101">
        <f>+DetailedDataSheet!B16</f>
        <v>40999</v>
      </c>
      <c r="F39" s="101">
        <f>+DetailedDataSheet!C16</f>
        <v>41364</v>
      </c>
      <c r="G39" s="101">
        <f>+DetailedDataSheet!D16</f>
        <v>42094</v>
      </c>
      <c r="H39" s="101">
        <f>+DetailedDataSheet!E16</f>
        <v>42460</v>
      </c>
      <c r="I39" s="101">
        <f>+DetailedDataSheet!F16</f>
        <v>42825</v>
      </c>
      <c r="J39" s="101">
        <f>+DetailedDataSheet!G16</f>
        <v>43190</v>
      </c>
      <c r="K39" s="101">
        <f>+DetailedDataSheet!H16</f>
        <v>43555</v>
      </c>
      <c r="L39" s="101">
        <f>+DetailedDataSheet!I16</f>
        <v>43921</v>
      </c>
      <c r="M39" s="101">
        <f>+DetailedDataSheet!J16</f>
        <v>44286</v>
      </c>
      <c r="N39" s="101">
        <f>+DetailedDataSheet!K16</f>
        <v>44651</v>
      </c>
    </row>
    <row r="40" spans="4:14" x14ac:dyDescent="0.25">
      <c r="D40" s="98" t="str">
        <f>+DetailedDataSheet!B1</f>
        <v>BHARAT DYNAMICS LTD</v>
      </c>
      <c r="E40" s="102">
        <f>+DetailedDataSheet!B30</f>
        <v>234.96</v>
      </c>
      <c r="F40" s="102">
        <f>+DetailedDataSheet!C30</f>
        <v>278.79000000000002</v>
      </c>
      <c r="G40" s="102">
        <f>+DetailedDataSheet!D30</f>
        <v>443.55</v>
      </c>
      <c r="H40" s="102">
        <f>+DetailedDataSheet!E30</f>
        <v>562.07000000000005</v>
      </c>
      <c r="I40" s="102">
        <f>+DetailedDataSheet!F30</f>
        <v>524.05999999999995</v>
      </c>
      <c r="J40" s="102">
        <f>+DetailedDataSheet!G30</f>
        <v>528.15</v>
      </c>
      <c r="K40" s="102">
        <f>+DetailedDataSheet!H30</f>
        <v>422.59</v>
      </c>
      <c r="L40" s="102">
        <f>+DetailedDataSheet!I30</f>
        <v>534.9</v>
      </c>
      <c r="M40" s="102">
        <f>+DetailedDataSheet!J30</f>
        <v>257.77</v>
      </c>
      <c r="N40" s="102">
        <f>+DetailedDataSheet!K30</f>
        <v>499.92</v>
      </c>
    </row>
    <row r="41" spans="4:14" x14ac:dyDescent="0.25">
      <c r="D41" s="96" t="s">
        <v>316</v>
      </c>
      <c r="E41" s="96">
        <v>0</v>
      </c>
      <c r="F41" s="96">
        <v>0</v>
      </c>
      <c r="G41" s="96">
        <v>0</v>
      </c>
      <c r="H41" s="96">
        <v>0</v>
      </c>
      <c r="I41" s="96">
        <v>0</v>
      </c>
      <c r="J41" s="96">
        <v>0</v>
      </c>
      <c r="K41" s="96">
        <v>87.719999999999942</v>
      </c>
      <c r="L41" s="96">
        <v>99.029999999999973</v>
      </c>
      <c r="M41" s="96">
        <v>96.26</v>
      </c>
      <c r="N41" s="96">
        <v>151.28000000000006</v>
      </c>
    </row>
    <row r="42" spans="4:14" x14ac:dyDescent="0.25">
      <c r="D42" s="96"/>
      <c r="E42" s="96"/>
      <c r="F42" s="96"/>
      <c r="G42" s="96"/>
      <c r="H42" s="96"/>
      <c r="I42" s="96"/>
      <c r="J42" s="96"/>
      <c r="K42" s="96"/>
      <c r="L42" s="96"/>
      <c r="M42" s="96"/>
      <c r="N42" s="96"/>
    </row>
    <row r="43" spans="4:14" x14ac:dyDescent="0.25">
      <c r="D43" s="96"/>
      <c r="E43" s="96"/>
      <c r="F43" s="96"/>
      <c r="G43" s="96"/>
      <c r="H43" s="96"/>
      <c r="I43" s="96"/>
      <c r="J43" s="96"/>
      <c r="K43" s="96"/>
      <c r="L43" s="96"/>
      <c r="M43" s="96"/>
      <c r="N43" s="96"/>
    </row>
    <row r="46" spans="4:14" x14ac:dyDescent="0.25">
      <c r="D46" s="99" t="s">
        <v>5</v>
      </c>
      <c r="E46" s="101">
        <f>+DetailedDataSheet!B16</f>
        <v>40999</v>
      </c>
      <c r="F46" s="101">
        <f>+DetailedDataSheet!C16</f>
        <v>41364</v>
      </c>
      <c r="G46" s="101">
        <f>+DetailedDataSheet!D16</f>
        <v>42094</v>
      </c>
      <c r="H46" s="101">
        <f>+DetailedDataSheet!E16</f>
        <v>42460</v>
      </c>
      <c r="I46" s="101">
        <f>+DetailedDataSheet!F16</f>
        <v>42825</v>
      </c>
      <c r="J46" s="101">
        <f>+DetailedDataSheet!G16</f>
        <v>43190</v>
      </c>
      <c r="K46" s="101">
        <f>+DetailedDataSheet!H16</f>
        <v>43555</v>
      </c>
      <c r="L46" s="101">
        <f>+DetailedDataSheet!I16</f>
        <v>43921</v>
      </c>
      <c r="M46" s="101">
        <f>+DetailedDataSheet!J16</f>
        <v>44286</v>
      </c>
      <c r="N46" s="101">
        <f>+DetailedDataSheet!K16</f>
        <v>44651</v>
      </c>
    </row>
    <row r="47" spans="4:14" x14ac:dyDescent="0.25">
      <c r="D47" s="98" t="str">
        <f>+DetailedDataSheet!B1</f>
        <v>BHARAT DYNAMICS LTD</v>
      </c>
      <c r="E47" s="102">
        <f>+DetailedDataSheet!B25</f>
        <v>463.19</v>
      </c>
      <c r="F47" s="102">
        <f>+DetailedDataSheet!C25</f>
        <v>463.78</v>
      </c>
      <c r="G47" s="102">
        <f>+DetailedDataSheet!D25</f>
        <v>439.03</v>
      </c>
      <c r="H47" s="102">
        <f>+DetailedDataSheet!E25</f>
        <v>384.76</v>
      </c>
      <c r="I47" s="102">
        <f>+DetailedDataSheet!F25</f>
        <v>299.94</v>
      </c>
      <c r="J47" s="102">
        <f>+DetailedDataSheet!G25</f>
        <v>172.56</v>
      </c>
      <c r="K47" s="102">
        <f>+DetailedDataSheet!H25</f>
        <v>135.99</v>
      </c>
      <c r="L47" s="102">
        <f>+DetailedDataSheet!I25</f>
        <v>88.05</v>
      </c>
      <c r="M47" s="102">
        <f>+DetailedDataSheet!J25</f>
        <v>94.61</v>
      </c>
      <c r="N47" s="102">
        <f>+DetailedDataSheet!K25</f>
        <v>77.63</v>
      </c>
    </row>
    <row r="48" spans="4:14" x14ac:dyDescent="0.25">
      <c r="D48" s="96" t="s">
        <v>316</v>
      </c>
      <c r="E48" s="96">
        <v>0</v>
      </c>
      <c r="F48" s="96">
        <v>0</v>
      </c>
      <c r="G48" s="96">
        <v>0</v>
      </c>
      <c r="H48" s="96">
        <v>0</v>
      </c>
      <c r="I48" s="96">
        <v>0</v>
      </c>
      <c r="J48" s="96">
        <v>0</v>
      </c>
      <c r="K48" s="96">
        <v>1.63</v>
      </c>
      <c r="L48" s="96">
        <v>2.4300000000000002</v>
      </c>
      <c r="M48" s="96">
        <v>2.89</v>
      </c>
      <c r="N48" s="96">
        <v>10.220000000000001</v>
      </c>
    </row>
    <row r="49" spans="4:14" x14ac:dyDescent="0.25">
      <c r="D49" s="96"/>
      <c r="E49" s="96"/>
      <c r="F49" s="96"/>
      <c r="G49" s="96"/>
      <c r="H49" s="96"/>
      <c r="I49" s="96"/>
      <c r="J49" s="96"/>
      <c r="K49" s="96"/>
      <c r="L49" s="96"/>
      <c r="M49" s="96"/>
      <c r="N49" s="96"/>
    </row>
    <row r="50" spans="4:14" x14ac:dyDescent="0.25">
      <c r="D50" s="96"/>
      <c r="E50" s="96"/>
      <c r="F50" s="96"/>
      <c r="G50" s="96"/>
      <c r="H50" s="96"/>
      <c r="I50" s="96"/>
      <c r="J50" s="96"/>
      <c r="K50" s="96"/>
      <c r="L50" s="96"/>
      <c r="M50" s="96"/>
      <c r="N50" s="96"/>
    </row>
    <row r="53" spans="4:14" x14ac:dyDescent="0.25">
      <c r="D53" s="99" t="s">
        <v>319</v>
      </c>
      <c r="E53" s="101">
        <f>+DetailedDataSheet!B16</f>
        <v>40999</v>
      </c>
      <c r="F53" s="101">
        <f>+DetailedDataSheet!C16</f>
        <v>41364</v>
      </c>
      <c r="G53" s="101">
        <f>+DetailedDataSheet!D16</f>
        <v>42094</v>
      </c>
      <c r="H53" s="101">
        <f>+DetailedDataSheet!E16</f>
        <v>42460</v>
      </c>
      <c r="I53" s="101">
        <f>+DetailedDataSheet!F16</f>
        <v>42825</v>
      </c>
      <c r="J53" s="101">
        <f>+DetailedDataSheet!G16</f>
        <v>43190</v>
      </c>
      <c r="K53" s="101">
        <f>+DetailedDataSheet!H16</f>
        <v>43555</v>
      </c>
      <c r="L53" s="101">
        <f>+DetailedDataSheet!I16</f>
        <v>43921</v>
      </c>
      <c r="M53" s="101">
        <f>+DetailedDataSheet!J16</f>
        <v>44286</v>
      </c>
      <c r="N53" s="101">
        <f>+DetailedDataSheet!K16</f>
        <v>44651</v>
      </c>
    </row>
    <row r="54" spans="4:14" x14ac:dyDescent="0.25">
      <c r="D54" s="98" t="str">
        <f>+DetailedDataSheet!B1</f>
        <v>BHARAT DYNAMICS LTD</v>
      </c>
      <c r="E54" s="103">
        <f>+DetailedDataSheet!B90</f>
        <v>0</v>
      </c>
      <c r="F54" s="103">
        <f>+DetailedDataSheet!C90</f>
        <v>0</v>
      </c>
      <c r="G54" s="103">
        <f>+DetailedDataSheet!D90</f>
        <v>9.7440175723910755E-2</v>
      </c>
      <c r="H54" s="103">
        <f>+DetailedDataSheet!E90</f>
        <v>0.1262932852141338</v>
      </c>
      <c r="I54" s="103">
        <f>+DetailedDataSheet!F90</f>
        <v>0.11651816593064329</v>
      </c>
      <c r="J54" s="103">
        <f>+DetailedDataSheet!G90</f>
        <v>0.14581480512686376</v>
      </c>
      <c r="K54" s="103">
        <f>+DetailedDataSheet!H90</f>
        <v>0.2029843452196719</v>
      </c>
      <c r="L54" s="103">
        <f>+DetailedDataSheet!I90</f>
        <v>0.2435850776361006</v>
      </c>
      <c r="M54" s="103">
        <f>+DetailedDataSheet!J90</f>
        <v>0.18054510492433742</v>
      </c>
      <c r="N54" s="103">
        <f>+DetailedDataSheet!K90</f>
        <v>0.25817775253780084</v>
      </c>
    </row>
    <row r="55" spans="4:14" x14ac:dyDescent="0.25">
      <c r="D55" s="96" t="s">
        <v>316</v>
      </c>
      <c r="E55" s="105">
        <v>0</v>
      </c>
      <c r="F55" s="105">
        <v>0</v>
      </c>
      <c r="G55" s="105">
        <v>0</v>
      </c>
      <c r="H55" s="105">
        <v>0</v>
      </c>
      <c r="I55" s="105">
        <v>0</v>
      </c>
      <c r="J55" s="105">
        <v>0</v>
      </c>
      <c r="K55" s="105">
        <v>0.1246524962353758</v>
      </c>
      <c r="L55" s="105">
        <v>0.12326617070960988</v>
      </c>
      <c r="M55" s="105">
        <v>0.12251351493203171</v>
      </c>
      <c r="N55" s="105">
        <v>0.16016259239494515</v>
      </c>
    </row>
    <row r="56" spans="4:14" x14ac:dyDescent="0.25">
      <c r="D56" s="96"/>
      <c r="E56" s="96"/>
      <c r="F56" s="96"/>
      <c r="G56" s="96"/>
      <c r="H56" s="96"/>
      <c r="I56" s="96"/>
      <c r="J56" s="96"/>
      <c r="K56" s="96"/>
      <c r="L56" s="96"/>
      <c r="M56" s="96"/>
      <c r="N56" s="96"/>
    </row>
    <row r="57" spans="4:14" x14ac:dyDescent="0.25">
      <c r="D57" s="96"/>
      <c r="E57" s="96"/>
      <c r="F57" s="96"/>
      <c r="G57" s="96"/>
      <c r="H57" s="96"/>
      <c r="I57" s="96"/>
      <c r="J57" s="96"/>
      <c r="K57" s="96"/>
      <c r="L57" s="96"/>
      <c r="M57" s="96"/>
      <c r="N57" s="96"/>
    </row>
    <row r="60" spans="4:14" x14ac:dyDescent="0.25">
      <c r="D60" s="99" t="s">
        <v>320</v>
      </c>
      <c r="E60" s="101">
        <f>+DetailedDataSheet!B16</f>
        <v>40999</v>
      </c>
      <c r="F60" s="101">
        <f>+DetailedDataSheet!C16</f>
        <v>41364</v>
      </c>
      <c r="G60" s="101">
        <f>+DetailedDataSheet!D16</f>
        <v>42094</v>
      </c>
      <c r="H60" s="101">
        <f>+DetailedDataSheet!E16</f>
        <v>42460</v>
      </c>
      <c r="I60" s="101">
        <f>+DetailedDataSheet!F16</f>
        <v>42825</v>
      </c>
      <c r="J60" s="101">
        <f>+DetailedDataSheet!G16</f>
        <v>43190</v>
      </c>
      <c r="K60" s="101">
        <f>+DetailedDataSheet!H16</f>
        <v>43555</v>
      </c>
      <c r="L60" s="101">
        <f>+DetailedDataSheet!I16</f>
        <v>43921</v>
      </c>
      <c r="M60" s="101">
        <f>+DetailedDataSheet!J16</f>
        <v>44286</v>
      </c>
      <c r="N60" s="101">
        <f>+DetailedDataSheet!K16</f>
        <v>44651</v>
      </c>
    </row>
    <row r="61" spans="4:14" x14ac:dyDescent="0.25">
      <c r="D61" s="98" t="str">
        <f>+DetailedDataSheet!B1</f>
        <v>BHARAT DYNAMICS LTD</v>
      </c>
      <c r="E61" s="103">
        <f>+DetailedDataSheet!B92</f>
        <v>-6.6506225803076219E-2</v>
      </c>
      <c r="F61" s="103">
        <f>+DetailedDataSheet!C92</f>
        <v>0.42007320970678941</v>
      </c>
      <c r="G61" s="103">
        <f>+DetailedDataSheet!D92</f>
        <v>0.251983582205138</v>
      </c>
      <c r="H61" s="103">
        <f>+DetailedDataSheet!E92</f>
        <v>0.22062587649187504</v>
      </c>
      <c r="I61" s="103">
        <f>+DetailedDataSheet!F92</f>
        <v>0.17789801539714573</v>
      </c>
      <c r="J61" s="103">
        <f>+DetailedDataSheet!G92</f>
        <v>0.18342924404917607</v>
      </c>
      <c r="K61" s="103">
        <f>+DetailedDataSheet!H92</f>
        <v>0.24729014286412432</v>
      </c>
      <c r="L61" s="103">
        <f>+DetailedDataSheet!I92</f>
        <v>0.27194375287854228</v>
      </c>
      <c r="M61" s="103">
        <f>+DetailedDataSheet!J92</f>
        <v>0.22998181590168046</v>
      </c>
      <c r="N61" s="103">
        <f>+DetailedDataSheet!K92</f>
        <v>0.28573152551998299</v>
      </c>
    </row>
    <row r="62" spans="4:14" x14ac:dyDescent="0.25">
      <c r="D62" s="96" t="s">
        <v>316</v>
      </c>
      <c r="E62" s="96" t="e">
        <v>#DIV/0!</v>
      </c>
      <c r="F62" s="96" t="e">
        <v>#DIV/0!</v>
      </c>
      <c r="G62" s="96" t="e">
        <v>#DIV/0!</v>
      </c>
      <c r="H62" s="96" t="e">
        <v>#DIV/0!</v>
      </c>
      <c r="I62" s="96" t="e">
        <v>#DIV/0!</v>
      </c>
      <c r="J62" s="96" t="e">
        <v>#DIV/0!</v>
      </c>
      <c r="K62" s="96">
        <v>0.12701262597011459</v>
      </c>
      <c r="L62" s="96">
        <v>0.12636696568708766</v>
      </c>
      <c r="M62" s="96">
        <v>0.12630556867684881</v>
      </c>
      <c r="N62" s="96">
        <v>0.17176660270457467</v>
      </c>
    </row>
    <row r="63" spans="4:14" x14ac:dyDescent="0.25">
      <c r="D63" s="96"/>
      <c r="E63" s="96"/>
      <c r="F63" s="96"/>
      <c r="G63" s="96"/>
      <c r="H63" s="96"/>
      <c r="I63" s="96"/>
      <c r="J63" s="96"/>
      <c r="K63" s="96"/>
      <c r="L63" s="96"/>
      <c r="M63" s="96"/>
      <c r="N63" s="96"/>
    </row>
    <row r="64" spans="4:14" x14ac:dyDescent="0.25">
      <c r="D64" s="96"/>
      <c r="E64" s="96"/>
      <c r="F64" s="96"/>
      <c r="G64" s="96"/>
      <c r="H64" s="96"/>
      <c r="I64" s="96"/>
      <c r="J64" s="96"/>
      <c r="K64" s="96"/>
      <c r="L64" s="96"/>
      <c r="M64" s="96"/>
      <c r="N64" s="96"/>
    </row>
    <row r="67" spans="4:14" x14ac:dyDescent="0.25">
      <c r="D67" s="99" t="s">
        <v>321</v>
      </c>
      <c r="E67" s="101">
        <f>+DetailedDataSheet!B16</f>
        <v>40999</v>
      </c>
      <c r="F67" s="101">
        <f>+DetailedDataSheet!C16</f>
        <v>41364</v>
      </c>
      <c r="G67" s="101">
        <f>+DetailedDataSheet!D16</f>
        <v>42094</v>
      </c>
      <c r="H67" s="101">
        <f>+DetailedDataSheet!E16</f>
        <v>42460</v>
      </c>
      <c r="I67" s="101">
        <f>+DetailedDataSheet!F16</f>
        <v>42825</v>
      </c>
      <c r="J67" s="101">
        <f>+DetailedDataSheet!G16</f>
        <v>43190</v>
      </c>
      <c r="K67" s="101">
        <f>+DetailedDataSheet!H16</f>
        <v>43555</v>
      </c>
      <c r="L67" s="101">
        <f>+DetailedDataSheet!I16</f>
        <v>43921</v>
      </c>
      <c r="M67" s="101">
        <f>+DetailedDataSheet!J16</f>
        <v>44286</v>
      </c>
      <c r="N67" s="101">
        <f>+DetailedDataSheet!K16</f>
        <v>44651</v>
      </c>
    </row>
    <row r="68" spans="4:14" x14ac:dyDescent="0.25">
      <c r="D68" s="98" t="str">
        <f>+DetailedDataSheet!B1</f>
        <v>BHARAT DYNAMICS LTD</v>
      </c>
      <c r="E68" s="103">
        <f>+DetailedDataSheet!B93</f>
        <v>0.32519601367069706</v>
      </c>
      <c r="F68" s="103">
        <f>+DetailedDataSheet!C93</f>
        <v>0.31860396910743966</v>
      </c>
      <c r="G68" s="103">
        <f>+DetailedDataSheet!D93</f>
        <v>0.31118289255043252</v>
      </c>
      <c r="H68" s="103">
        <f>+DetailedDataSheet!E93</f>
        <v>0.33187918266430516</v>
      </c>
      <c r="I68" s="103">
        <f>+DetailedDataSheet!F93</f>
        <v>0.34721789713630874</v>
      </c>
      <c r="J68" s="103">
        <f>+DetailedDataSheet!G93</f>
        <v>0.31748985552195602</v>
      </c>
      <c r="K68" s="103">
        <f>+DetailedDataSheet!H93</f>
        <v>0.37055572932957981</v>
      </c>
      <c r="L68" s="103">
        <f>+DetailedDataSheet!I93</f>
        <v>0.27954744427234157</v>
      </c>
      <c r="M68" s="103">
        <f>+DetailedDataSheet!J93</f>
        <v>0.24381013846514904</v>
      </c>
      <c r="N68" s="103">
        <f>+DetailedDataSheet!K93</f>
        <v>0.29579389226955155</v>
      </c>
    </row>
    <row r="69" spans="4:14" x14ac:dyDescent="0.25">
      <c r="D69" s="96" t="s">
        <v>316</v>
      </c>
      <c r="E69" s="96" t="e">
        <v>#DIV/0!</v>
      </c>
      <c r="F69" s="96" t="e">
        <v>#DIV/0!</v>
      </c>
      <c r="G69" s="96" t="e">
        <v>#DIV/0!</v>
      </c>
      <c r="H69" s="96" t="e">
        <v>#DIV/0!</v>
      </c>
      <c r="I69" s="96" t="e">
        <v>#DIV/0!</v>
      </c>
      <c r="J69" s="96" t="e">
        <v>#DIV/0!</v>
      </c>
      <c r="K69" s="96">
        <v>0.32077971233913699</v>
      </c>
      <c r="L69" s="96">
        <v>0.34544018949861827</v>
      </c>
      <c r="M69" s="96">
        <v>0.22409392547217966</v>
      </c>
      <c r="N69" s="96">
        <v>0.25545941491553359</v>
      </c>
    </row>
    <row r="70" spans="4:14" x14ac:dyDescent="0.25">
      <c r="D70" s="96"/>
      <c r="E70" s="96"/>
      <c r="F70" s="96"/>
      <c r="G70" s="96"/>
      <c r="H70" s="96"/>
      <c r="I70" s="96"/>
      <c r="J70" s="96"/>
      <c r="K70" s="96"/>
      <c r="L70" s="96"/>
      <c r="M70" s="96"/>
      <c r="N70" s="96"/>
    </row>
    <row r="71" spans="4:14" x14ac:dyDescent="0.25">
      <c r="D71" s="96"/>
      <c r="E71" s="96"/>
      <c r="F71" s="96"/>
      <c r="G71" s="96"/>
      <c r="H71" s="96"/>
      <c r="I71" s="96"/>
      <c r="J71" s="96"/>
      <c r="K71" s="96"/>
      <c r="L71" s="96"/>
      <c r="M71" s="96"/>
      <c r="N71" s="96"/>
    </row>
    <row r="74" spans="4:14" x14ac:dyDescent="0.25">
      <c r="D74" s="99" t="s">
        <v>322</v>
      </c>
      <c r="E74" s="101">
        <f>+DetailedDataSheet!B16</f>
        <v>40999</v>
      </c>
      <c r="F74" s="101">
        <f>+DetailedDataSheet!C16</f>
        <v>41364</v>
      </c>
      <c r="G74" s="101">
        <f>+DetailedDataSheet!D16</f>
        <v>42094</v>
      </c>
      <c r="H74" s="101">
        <f>+DetailedDataSheet!E16</f>
        <v>42460</v>
      </c>
      <c r="I74" s="101">
        <f>+DetailedDataSheet!F16</f>
        <v>42825</v>
      </c>
      <c r="J74" s="101">
        <f>+DetailedDataSheet!G16</f>
        <v>43190</v>
      </c>
      <c r="K74" s="101">
        <f>+DetailedDataSheet!H16</f>
        <v>43555</v>
      </c>
      <c r="L74" s="101">
        <f>+DetailedDataSheet!I16</f>
        <v>43921</v>
      </c>
      <c r="M74" s="101">
        <f>+DetailedDataSheet!J16</f>
        <v>44286</v>
      </c>
      <c r="N74" s="101">
        <f>+DetailedDataSheet!K16</f>
        <v>44651</v>
      </c>
    </row>
    <row r="75" spans="4:14" x14ac:dyDescent="0.25">
      <c r="D75" s="98" t="str">
        <f>+DetailedDataSheet!B1</f>
        <v>BHARAT DYNAMICS LTD</v>
      </c>
      <c r="E75" s="103">
        <f>+DetailedDataSheet!B94</f>
        <v>0.24585120853824421</v>
      </c>
      <c r="F75" s="103">
        <f>+DetailedDataSheet!C94</f>
        <v>0.25901185476977967</v>
      </c>
      <c r="G75" s="103">
        <f>+DetailedDataSheet!D94</f>
        <v>0.15613449637780641</v>
      </c>
      <c r="H75" s="103">
        <f>+DetailedDataSheet!E94</f>
        <v>0.1378041365513048</v>
      </c>
      <c r="I75" s="103">
        <f>+DetailedDataSheet!F94</f>
        <v>0.10724386181041291</v>
      </c>
      <c r="J75" s="103">
        <f>+DetailedDataSheet!G94</f>
        <v>0.11512555584619408</v>
      </c>
      <c r="K75" s="103">
        <f>+DetailedDataSheet!H94</f>
        <v>0.13768061641715673</v>
      </c>
      <c r="L75" s="103">
        <f>+DetailedDataSheet!I94</f>
        <v>0.17227774431779752</v>
      </c>
      <c r="M75" s="103">
        <f>+DetailedDataSheet!J94</f>
        <v>0.13469296045481147</v>
      </c>
      <c r="N75" s="103">
        <f>+DetailedDataSheet!K94</f>
        <v>0.17744019308582382</v>
      </c>
    </row>
    <row r="76" spans="4:14" x14ac:dyDescent="0.25">
      <c r="D76" s="96" t="s">
        <v>316</v>
      </c>
      <c r="E76" s="96" t="e">
        <v>#DIV/0!</v>
      </c>
      <c r="F76" s="96" t="e">
        <v>#DIV/0!</v>
      </c>
      <c r="G76" s="96" t="e">
        <v>#DIV/0!</v>
      </c>
      <c r="H76" s="96" t="e">
        <v>#DIV/0!</v>
      </c>
      <c r="I76" s="96" t="e">
        <v>#DIV/0!</v>
      </c>
      <c r="J76" s="96" t="e">
        <v>#DIV/0!</v>
      </c>
      <c r="K76" s="96">
        <v>5.1966292134831463E-2</v>
      </c>
      <c r="L76" s="96">
        <v>4.2300968519912718E-2</v>
      </c>
      <c r="M76" s="96">
        <v>3.9888731433370073E-2</v>
      </c>
      <c r="N76" s="96">
        <v>8.2068284264189939E-2</v>
      </c>
    </row>
    <row r="77" spans="4:14" x14ac:dyDescent="0.25">
      <c r="D77" s="96"/>
      <c r="E77" s="96"/>
      <c r="F77" s="96"/>
      <c r="G77" s="96"/>
      <c r="H77" s="96"/>
      <c r="I77" s="96"/>
      <c r="J77" s="96"/>
      <c r="K77" s="96"/>
      <c r="L77" s="96"/>
      <c r="M77" s="96"/>
      <c r="N77" s="96"/>
    </row>
    <row r="78" spans="4:14" x14ac:dyDescent="0.25">
      <c r="D78" s="96"/>
      <c r="E78" s="96"/>
      <c r="F78" s="96"/>
      <c r="G78" s="96"/>
      <c r="H78" s="96"/>
      <c r="I78" s="96"/>
      <c r="J78" s="96"/>
      <c r="K78" s="96"/>
      <c r="L78" s="96"/>
      <c r="M78" s="96"/>
      <c r="N78" s="96"/>
    </row>
    <row r="81" spans="4:14" x14ac:dyDescent="0.25">
      <c r="D81" s="99" t="s">
        <v>6</v>
      </c>
      <c r="E81" s="101">
        <f>+DetailedDataSheet!B16</f>
        <v>40999</v>
      </c>
      <c r="F81" s="101">
        <f>+DetailedDataSheet!C16</f>
        <v>41364</v>
      </c>
      <c r="G81" s="101">
        <f>+DetailedDataSheet!D16</f>
        <v>42094</v>
      </c>
      <c r="H81" s="101">
        <f>+DetailedDataSheet!E16</f>
        <v>42460</v>
      </c>
      <c r="I81" s="101">
        <f>+DetailedDataSheet!F16</f>
        <v>42825</v>
      </c>
      <c r="J81" s="101">
        <f>+DetailedDataSheet!G16</f>
        <v>43190</v>
      </c>
      <c r="K81" s="101">
        <f>+DetailedDataSheet!H16</f>
        <v>43555</v>
      </c>
      <c r="L81" s="101">
        <f>+DetailedDataSheet!I16</f>
        <v>43921</v>
      </c>
      <c r="M81" s="101">
        <f>+DetailedDataSheet!J16</f>
        <v>44286</v>
      </c>
      <c r="N81" s="101">
        <f>+DetailedDataSheet!K16</f>
        <v>44651</v>
      </c>
    </row>
    <row r="82" spans="4:14" x14ac:dyDescent="0.25">
      <c r="D82" s="98" t="str">
        <f>+DetailedDataSheet!B1</f>
        <v>BHARAT DYNAMICS LTD</v>
      </c>
      <c r="E82" s="102">
        <f>+DetailedDataSheet!B26</f>
        <v>50.25</v>
      </c>
      <c r="F82" s="102">
        <f>+DetailedDataSheet!C26</f>
        <v>41.69</v>
      </c>
      <c r="G82" s="102">
        <f>+DetailedDataSheet!D26</f>
        <v>66.680000000000007</v>
      </c>
      <c r="H82" s="102">
        <f>+DetailedDataSheet!E26</f>
        <v>53.22</v>
      </c>
      <c r="I82" s="102">
        <f>+DetailedDataSheet!F26</f>
        <v>62.02</v>
      </c>
      <c r="J82" s="102">
        <f>+DetailedDataSheet!G26</f>
        <v>63.48</v>
      </c>
      <c r="K82" s="102">
        <f>+DetailedDataSheet!H26</f>
        <v>82.5</v>
      </c>
      <c r="L82" s="102">
        <f>+DetailedDataSheet!I26</f>
        <v>96.44</v>
      </c>
      <c r="M82" s="102">
        <f>+DetailedDataSheet!J26</f>
        <v>94.54</v>
      </c>
      <c r="N82" s="102">
        <f>+DetailedDataSheet!K26</f>
        <v>90.35</v>
      </c>
    </row>
    <row r="83" spans="4:14" x14ac:dyDescent="0.25">
      <c r="D83" s="96" t="s">
        <v>316</v>
      </c>
      <c r="E83" s="96">
        <v>0</v>
      </c>
      <c r="F83" s="96">
        <v>0</v>
      </c>
      <c r="G83" s="96">
        <v>0</v>
      </c>
      <c r="H83" s="96">
        <v>0</v>
      </c>
      <c r="I83" s="96">
        <v>0</v>
      </c>
      <c r="J83" s="96">
        <v>0</v>
      </c>
      <c r="K83" s="96">
        <v>28.35</v>
      </c>
      <c r="L83" s="96">
        <v>35.18</v>
      </c>
      <c r="M83" s="96">
        <v>41.49</v>
      </c>
      <c r="N83" s="96">
        <v>44.68</v>
      </c>
    </row>
    <row r="84" spans="4:14" x14ac:dyDescent="0.25">
      <c r="D84" s="96"/>
      <c r="E84" s="96"/>
      <c r="F84" s="96"/>
      <c r="G84" s="96"/>
      <c r="H84" s="96"/>
      <c r="I84" s="96"/>
      <c r="J84" s="96"/>
      <c r="K84" s="96"/>
      <c r="L84" s="96"/>
      <c r="M84" s="96"/>
      <c r="N84" s="96"/>
    </row>
    <row r="85" spans="4:14" x14ac:dyDescent="0.25">
      <c r="D85" s="96"/>
      <c r="E85" s="96"/>
      <c r="F85" s="96"/>
      <c r="G85" s="96"/>
      <c r="H85" s="96"/>
      <c r="I85" s="96"/>
      <c r="J85" s="96"/>
      <c r="K85" s="96"/>
      <c r="L85" s="96"/>
      <c r="M85" s="96"/>
      <c r="N85" s="96"/>
    </row>
    <row r="88" spans="4:14" x14ac:dyDescent="0.25">
      <c r="D88" s="99" t="s">
        <v>297</v>
      </c>
      <c r="E88" s="101">
        <f>+DetailedDataSheet!B16</f>
        <v>40999</v>
      </c>
      <c r="F88" s="101">
        <f>+DetailedDataSheet!C16</f>
        <v>41364</v>
      </c>
      <c r="G88" s="101">
        <f>+DetailedDataSheet!D16</f>
        <v>42094</v>
      </c>
      <c r="H88" s="101">
        <f>+DetailedDataSheet!E16</f>
        <v>42460</v>
      </c>
      <c r="I88" s="101">
        <f>+DetailedDataSheet!F16</f>
        <v>42825</v>
      </c>
      <c r="J88" s="101">
        <f>+DetailedDataSheet!G16</f>
        <v>43190</v>
      </c>
      <c r="K88" s="101">
        <f>+DetailedDataSheet!H16</f>
        <v>43555</v>
      </c>
      <c r="L88" s="101">
        <f>+DetailedDataSheet!I16</f>
        <v>43921</v>
      </c>
      <c r="M88" s="101">
        <f>+DetailedDataSheet!J16</f>
        <v>44286</v>
      </c>
      <c r="N88" s="101">
        <f>+DetailedDataSheet!K16</f>
        <v>44651</v>
      </c>
    </row>
    <row r="89" spans="4:14" x14ac:dyDescent="0.25">
      <c r="D89" s="98" t="str">
        <f>+DetailedDataSheet!B1</f>
        <v>BHARAT DYNAMICS LTD</v>
      </c>
      <c r="E89" s="98">
        <f>+DetailedDataSheet!B96</f>
        <v>0</v>
      </c>
      <c r="F89" s="98">
        <f>+DetailedDataSheet!C96</f>
        <v>0</v>
      </c>
      <c r="G89" s="98">
        <f>+DetailedDataSheet!D96</f>
        <v>0</v>
      </c>
      <c r="H89" s="98">
        <f>+DetailedDataSheet!E96</f>
        <v>3.71</v>
      </c>
      <c r="I89" s="98">
        <f>+DetailedDataSheet!F96</f>
        <v>3.58</v>
      </c>
      <c r="J89" s="98">
        <f>+DetailedDataSheet!G96</f>
        <v>3.69</v>
      </c>
      <c r="K89" s="98">
        <f>+DetailedDataSheet!H96</f>
        <v>5.39</v>
      </c>
      <c r="L89" s="98">
        <f>+DetailedDataSheet!I96</f>
        <v>14.51</v>
      </c>
      <c r="M89" s="98">
        <f>+DetailedDataSheet!J96</f>
        <v>11.29</v>
      </c>
      <c r="N89" s="98">
        <f>+DetailedDataSheet!K96</f>
        <v>10.11</v>
      </c>
    </row>
    <row r="90" spans="4:14" x14ac:dyDescent="0.25">
      <c r="D90" s="96" t="s">
        <v>316</v>
      </c>
      <c r="E90" s="96">
        <v>0</v>
      </c>
      <c r="F90" s="96">
        <v>0</v>
      </c>
      <c r="G90" s="96">
        <v>0</v>
      </c>
      <c r="H90" s="96">
        <v>0</v>
      </c>
      <c r="I90" s="96">
        <v>0</v>
      </c>
      <c r="J90" s="96">
        <v>0</v>
      </c>
      <c r="K90" s="96">
        <v>139.06</v>
      </c>
      <c r="L90" s="96">
        <v>164.93</v>
      </c>
      <c r="M90" s="96">
        <v>134.09</v>
      </c>
      <c r="N90" s="96">
        <v>119.62</v>
      </c>
    </row>
    <row r="91" spans="4:14" x14ac:dyDescent="0.25">
      <c r="D91" s="96"/>
      <c r="E91" s="96"/>
      <c r="F91" s="96"/>
      <c r="G91" s="96"/>
      <c r="H91" s="96"/>
      <c r="I91" s="96"/>
      <c r="J91" s="96"/>
      <c r="K91" s="96"/>
      <c r="L91" s="96"/>
      <c r="M91" s="96"/>
      <c r="N91" s="96"/>
    </row>
    <row r="92" spans="4:14" x14ac:dyDescent="0.25">
      <c r="D92" s="96"/>
      <c r="E92" s="96"/>
      <c r="F92" s="96"/>
      <c r="G92" s="96"/>
      <c r="H92" s="96"/>
      <c r="I92" s="96"/>
      <c r="J92" s="96"/>
      <c r="K92" s="96"/>
      <c r="L92" s="96"/>
      <c r="M92" s="96"/>
      <c r="N92" s="96"/>
    </row>
    <row r="95" spans="4:14" x14ac:dyDescent="0.25">
      <c r="D95" s="99" t="s">
        <v>293</v>
      </c>
      <c r="E95" s="101">
        <f>+DetailedDataSheet!B16</f>
        <v>40999</v>
      </c>
      <c r="F95" s="101">
        <f>+DetailedDataSheet!C16</f>
        <v>41364</v>
      </c>
      <c r="G95" s="101">
        <f>+DetailedDataSheet!D16</f>
        <v>42094</v>
      </c>
      <c r="H95" s="101">
        <f>+DetailedDataSheet!E16</f>
        <v>42460</v>
      </c>
      <c r="I95" s="101">
        <f>+DetailedDataSheet!F16</f>
        <v>42825</v>
      </c>
      <c r="J95" s="101">
        <f>+DetailedDataSheet!G16</f>
        <v>43190</v>
      </c>
      <c r="K95" s="101">
        <f>+DetailedDataSheet!H16</f>
        <v>43555</v>
      </c>
      <c r="L95" s="101">
        <f>+DetailedDataSheet!I16</f>
        <v>43921</v>
      </c>
      <c r="M95" s="101">
        <f>+DetailedDataSheet!J16</f>
        <v>44286</v>
      </c>
      <c r="N95" s="101">
        <f>+DetailedDataSheet!K16</f>
        <v>44651</v>
      </c>
    </row>
    <row r="96" spans="4:14" x14ac:dyDescent="0.25">
      <c r="D96" s="98" t="str">
        <f>+DetailedDataSheet!B1</f>
        <v>BHARAT DYNAMICS LTD</v>
      </c>
      <c r="E96" s="104">
        <f>+DetailedDataSheet!B95</f>
        <v>556.06999999999994</v>
      </c>
      <c r="F96" s="104">
        <f>+DetailedDataSheet!C95</f>
        <v>624.21</v>
      </c>
      <c r="G96" s="104">
        <f>+DetailedDataSheet!D95</f>
        <v>2124.98</v>
      </c>
      <c r="H96" s="104">
        <f>+DetailedDataSheet!E95</f>
        <v>3178.88</v>
      </c>
      <c r="I96" s="104">
        <f>+DetailedDataSheet!F95</f>
        <v>4017.2999999999997</v>
      </c>
      <c r="J96" s="104">
        <f>+DetailedDataSheet!G95</f>
        <v>3746.1000000000004</v>
      </c>
      <c r="K96" s="104">
        <f>+DetailedDataSheet!H95</f>
        <v>2310.33</v>
      </c>
      <c r="L96" s="104">
        <f>+DetailedDataSheet!I95</f>
        <v>2260.5200000000004</v>
      </c>
      <c r="M96" s="104">
        <f>+DetailedDataSheet!J95</f>
        <v>1473.63</v>
      </c>
      <c r="N96" s="104">
        <f>+DetailedDataSheet!K95</f>
        <v>2012.38</v>
      </c>
    </row>
    <row r="97" spans="4:14" x14ac:dyDescent="0.25">
      <c r="D97" s="96" t="s">
        <v>316</v>
      </c>
      <c r="E97" s="96">
        <v>0</v>
      </c>
      <c r="F97" s="96">
        <v>0</v>
      </c>
      <c r="G97" s="96">
        <v>0</v>
      </c>
      <c r="H97" s="96">
        <v>0</v>
      </c>
      <c r="I97" s="96">
        <v>0</v>
      </c>
      <c r="J97" s="96">
        <v>0</v>
      </c>
      <c r="K97" s="96">
        <v>602.92000000000007</v>
      </c>
      <c r="L97" s="96">
        <v>684.64</v>
      </c>
      <c r="M97" s="96">
        <v>665.86</v>
      </c>
      <c r="N97" s="96">
        <v>729.44999999999993</v>
      </c>
    </row>
    <row r="98" spans="4:14" x14ac:dyDescent="0.25">
      <c r="D98" s="96"/>
      <c r="E98" s="96"/>
      <c r="F98" s="96"/>
      <c r="G98" s="96"/>
      <c r="H98" s="96"/>
      <c r="I98" s="96"/>
      <c r="J98" s="96"/>
      <c r="K98" s="96"/>
      <c r="L98" s="96"/>
      <c r="M98" s="96"/>
      <c r="N98" s="96"/>
    </row>
    <row r="99" spans="4:14" x14ac:dyDescent="0.25">
      <c r="D99" s="96"/>
      <c r="E99" s="96"/>
      <c r="F99" s="96"/>
      <c r="G99" s="96"/>
      <c r="H99" s="96"/>
      <c r="I99" s="96"/>
      <c r="J99" s="96"/>
      <c r="K99" s="96"/>
      <c r="L99" s="96"/>
      <c r="M99" s="96"/>
      <c r="N99" s="96"/>
    </row>
    <row r="102" spans="4:14" x14ac:dyDescent="0.25">
      <c r="D102" s="99" t="s">
        <v>332</v>
      </c>
      <c r="E102" s="101">
        <f>+DetailedDataSheet!B16</f>
        <v>40999</v>
      </c>
      <c r="F102" s="101">
        <f>+DetailedDataSheet!C16</f>
        <v>41364</v>
      </c>
      <c r="G102" s="101">
        <f>+DetailedDataSheet!D16</f>
        <v>42094</v>
      </c>
      <c r="H102" s="101">
        <f>+DetailedDataSheet!E16</f>
        <v>42460</v>
      </c>
      <c r="I102" s="101">
        <f>+DetailedDataSheet!F16</f>
        <v>42825</v>
      </c>
      <c r="J102" s="101">
        <f>+DetailedDataSheet!G16</f>
        <v>43190</v>
      </c>
      <c r="K102" s="101">
        <f>+DetailedDataSheet!H16</f>
        <v>43555</v>
      </c>
      <c r="L102" s="101">
        <f>+DetailedDataSheet!I16</f>
        <v>43921</v>
      </c>
      <c r="M102" s="101">
        <f>+DetailedDataSheet!J16</f>
        <v>44286</v>
      </c>
      <c r="N102" s="101">
        <f>+DetailedDataSheet!K16</f>
        <v>44651</v>
      </c>
    </row>
    <row r="103" spans="4:14" x14ac:dyDescent="0.25">
      <c r="D103" s="98" t="str">
        <f>+DetailedDataSheet!B1</f>
        <v>BHARAT DYNAMICS LTD</v>
      </c>
      <c r="E103" s="104">
        <f>+DetailedDataSheet!B50</f>
        <v>115</v>
      </c>
      <c r="F103" s="104">
        <f>+DetailedDataSheet!C50</f>
        <v>115</v>
      </c>
      <c r="G103" s="104">
        <f>+DetailedDataSheet!D50</f>
        <v>115</v>
      </c>
      <c r="H103" s="104">
        <f>+DetailedDataSheet!E50</f>
        <v>97.75</v>
      </c>
      <c r="I103" s="104">
        <f>+DetailedDataSheet!F50</f>
        <v>122.19</v>
      </c>
      <c r="J103" s="104">
        <f>+DetailedDataSheet!G50</f>
        <v>183.28</v>
      </c>
      <c r="K103" s="104">
        <f>+DetailedDataSheet!H50</f>
        <v>183.28</v>
      </c>
      <c r="L103" s="104">
        <f>+DetailedDataSheet!I50</f>
        <v>183.28</v>
      </c>
      <c r="M103" s="104">
        <f>+DetailedDataSheet!J50</f>
        <v>183.28</v>
      </c>
      <c r="N103" s="104">
        <f>+DetailedDataSheet!K50</f>
        <v>183.28</v>
      </c>
    </row>
    <row r="104" spans="4:14" x14ac:dyDescent="0.25">
      <c r="D104" s="96" t="s">
        <v>316</v>
      </c>
      <c r="E104" s="96">
        <v>0</v>
      </c>
      <c r="F104" s="96">
        <v>0</v>
      </c>
      <c r="G104" s="96">
        <v>0</v>
      </c>
      <c r="H104" s="96">
        <v>0</v>
      </c>
      <c r="I104" s="96">
        <v>0</v>
      </c>
      <c r="J104" s="96">
        <v>0</v>
      </c>
      <c r="K104" s="96">
        <v>57.27</v>
      </c>
      <c r="L104" s="96">
        <v>57.27</v>
      </c>
      <c r="M104" s="96">
        <v>57.27</v>
      </c>
      <c r="N104" s="96">
        <v>58.75</v>
      </c>
    </row>
    <row r="105" spans="4:14" x14ac:dyDescent="0.25">
      <c r="D105" s="96"/>
      <c r="E105" s="96"/>
      <c r="F105" s="96"/>
      <c r="G105" s="96"/>
      <c r="H105" s="96"/>
      <c r="I105" s="96"/>
      <c r="J105" s="96"/>
      <c r="K105" s="96"/>
      <c r="L105" s="96"/>
      <c r="M105" s="96"/>
      <c r="N105" s="96"/>
    </row>
    <row r="106" spans="4:14" x14ac:dyDescent="0.25">
      <c r="D106" s="96"/>
      <c r="E106" s="96"/>
      <c r="F106" s="96"/>
      <c r="G106" s="96"/>
      <c r="H106" s="96"/>
      <c r="I106" s="96"/>
      <c r="J106" s="96"/>
      <c r="K106" s="96"/>
      <c r="L106" s="96"/>
      <c r="M106" s="96"/>
      <c r="N106" s="96"/>
    </row>
    <row r="109" spans="4:14" x14ac:dyDescent="0.25">
      <c r="D109" s="99" t="s">
        <v>333</v>
      </c>
      <c r="E109" s="101">
        <f>+DetailedDataSheet!B16</f>
        <v>40999</v>
      </c>
      <c r="F109" s="101">
        <f>+DetailedDataSheet!C16</f>
        <v>41364</v>
      </c>
      <c r="G109" s="101">
        <f>+DetailedDataSheet!D16</f>
        <v>42094</v>
      </c>
      <c r="H109" s="101">
        <f>+DetailedDataSheet!E16</f>
        <v>42460</v>
      </c>
      <c r="I109" s="101">
        <f>+DetailedDataSheet!F16</f>
        <v>42825</v>
      </c>
      <c r="J109" s="101">
        <f>+DetailedDataSheet!G16</f>
        <v>43190</v>
      </c>
      <c r="K109" s="101">
        <f>+DetailedDataSheet!H16</f>
        <v>43555</v>
      </c>
      <c r="L109" s="101">
        <f>+DetailedDataSheet!I16</f>
        <v>43921</v>
      </c>
      <c r="M109" s="101">
        <f>+DetailedDataSheet!J16</f>
        <v>44286</v>
      </c>
      <c r="N109" s="101">
        <f>+DetailedDataSheet!K16</f>
        <v>44651</v>
      </c>
    </row>
    <row r="110" spans="4:14" x14ac:dyDescent="0.25">
      <c r="D110" s="98" t="str">
        <f>+DetailedDataSheet!B1</f>
        <v>BHARAT DYNAMICS LTD</v>
      </c>
      <c r="E110" s="96">
        <f>+DetailedDataSheet!B51</f>
        <v>617.38</v>
      </c>
      <c r="F110" s="96">
        <f>+DetailedDataSheet!C51</f>
        <v>936.18</v>
      </c>
      <c r="G110" s="96">
        <f>+DetailedDataSheet!D51</f>
        <v>1537.67</v>
      </c>
      <c r="H110" s="96">
        <f>+DetailedDataSheet!E51</f>
        <v>1753.49</v>
      </c>
      <c r="I110" s="96">
        <f>+DetailedDataSheet!F51</f>
        <v>2072.79</v>
      </c>
      <c r="J110" s="96">
        <f>+DetailedDataSheet!G51</f>
        <v>1773.1</v>
      </c>
      <c r="K110" s="96">
        <f>+DetailedDataSheet!H51</f>
        <v>2085.2600000000002</v>
      </c>
      <c r="L110" s="96">
        <f>+DetailedDataSheet!I51</f>
        <v>2423.5500000000002</v>
      </c>
      <c r="M110" s="96">
        <f>+DetailedDataSheet!J51</f>
        <v>2501.4699999999998</v>
      </c>
      <c r="N110" s="96">
        <f>+DetailedDataSheet!K51</f>
        <v>2847.28</v>
      </c>
    </row>
    <row r="111" spans="4:14" x14ac:dyDescent="0.25">
      <c r="D111" s="96" t="s">
        <v>316</v>
      </c>
      <c r="E111" s="96">
        <v>0</v>
      </c>
      <c r="F111" s="96">
        <v>0</v>
      </c>
      <c r="G111" s="96">
        <v>0</v>
      </c>
      <c r="H111" s="96">
        <v>0</v>
      </c>
      <c r="I111" s="96">
        <v>0</v>
      </c>
      <c r="J111" s="96">
        <v>0</v>
      </c>
      <c r="K111" s="96">
        <v>209.35</v>
      </c>
      <c r="L111" s="96">
        <v>237.48</v>
      </c>
      <c r="M111" s="96">
        <v>262.02999999999997</v>
      </c>
      <c r="N111" s="96">
        <v>372.5</v>
      </c>
    </row>
    <row r="112" spans="4:14" x14ac:dyDescent="0.25">
      <c r="D112" s="96"/>
      <c r="E112" s="96"/>
      <c r="F112" s="96"/>
      <c r="G112" s="96"/>
      <c r="H112" s="96"/>
      <c r="I112" s="96"/>
      <c r="J112" s="96"/>
      <c r="K112" s="96"/>
      <c r="L112" s="96"/>
      <c r="M112" s="96"/>
      <c r="N112" s="96"/>
    </row>
    <row r="113" spans="4:14" x14ac:dyDescent="0.25">
      <c r="D113" s="96"/>
      <c r="E113" s="96"/>
      <c r="F113" s="96"/>
      <c r="G113" s="96"/>
      <c r="H113" s="96"/>
      <c r="I113" s="96"/>
      <c r="J113" s="96"/>
      <c r="K113" s="96"/>
      <c r="L113" s="96"/>
      <c r="M113" s="96"/>
      <c r="N113" s="96"/>
    </row>
    <row r="116" spans="4:14" x14ac:dyDescent="0.25">
      <c r="D116" s="99" t="s">
        <v>312</v>
      </c>
      <c r="E116" s="101">
        <f>+DetailedDataSheet!B16</f>
        <v>40999</v>
      </c>
      <c r="F116" s="101">
        <f>+DetailedDataSheet!C16</f>
        <v>41364</v>
      </c>
      <c r="G116" s="101">
        <f>+DetailedDataSheet!D16</f>
        <v>42094</v>
      </c>
      <c r="H116" s="101">
        <f>+DetailedDataSheet!E16</f>
        <v>42460</v>
      </c>
      <c r="I116" s="101">
        <f>+DetailedDataSheet!F16</f>
        <v>42825</v>
      </c>
      <c r="J116" s="101">
        <f>+DetailedDataSheet!G16</f>
        <v>43190</v>
      </c>
      <c r="K116" s="101">
        <f>+DetailedDataSheet!H16</f>
        <v>43555</v>
      </c>
      <c r="L116" s="101">
        <f>+DetailedDataSheet!I16</f>
        <v>43921</v>
      </c>
      <c r="M116" s="101">
        <f>+DetailedDataSheet!J16</f>
        <v>44286</v>
      </c>
      <c r="N116" s="101">
        <f>+DetailedDataSheet!K16</f>
        <v>44651</v>
      </c>
    </row>
    <row r="117" spans="4:14" x14ac:dyDescent="0.25">
      <c r="D117" s="98" t="str">
        <f>+DetailedDataSheet!B1</f>
        <v>BHARAT DYNAMICS LTD</v>
      </c>
      <c r="E117" s="100">
        <f>+DetailedDataSheet!B115</f>
        <v>2.0431304347826087</v>
      </c>
      <c r="F117" s="100">
        <f>+DetailedDataSheet!C115</f>
        <v>2.4242608695652175</v>
      </c>
      <c r="G117" s="100">
        <f>+DetailedDataSheet!D115</f>
        <v>3.8569565217391304</v>
      </c>
      <c r="H117" s="100">
        <f>+DetailedDataSheet!E115</f>
        <v>5.7500767263427113</v>
      </c>
      <c r="I117" s="100">
        <f>+DetailedDataSheet!F115</f>
        <v>4.2888943448727392</v>
      </c>
      <c r="J117" s="100">
        <f>+DetailedDataSheet!G115</f>
        <v>2.8816564818856394</v>
      </c>
      <c r="K117" s="100">
        <f>+DetailedDataSheet!H115</f>
        <v>2.3057071147970318</v>
      </c>
      <c r="L117" s="100">
        <f>+DetailedDataSheet!I115</f>
        <v>2.9184853775643824</v>
      </c>
      <c r="M117" s="100">
        <f>+DetailedDataSheet!J115</f>
        <v>1.4064273243125271</v>
      </c>
      <c r="N117" s="100">
        <f>+DetailedDataSheet!K115</f>
        <v>2.7276298559580971</v>
      </c>
    </row>
    <row r="118" spans="4:14" x14ac:dyDescent="0.25">
      <c r="D118" s="96" t="s">
        <v>316</v>
      </c>
      <c r="E118" s="96">
        <v>0</v>
      </c>
      <c r="F118" s="96">
        <v>0</v>
      </c>
      <c r="G118" s="96">
        <v>0</v>
      </c>
      <c r="H118" s="96">
        <v>0</v>
      </c>
      <c r="I118" s="96">
        <v>189.54</v>
      </c>
      <c r="J118" s="96">
        <v>203.18</v>
      </c>
      <c r="K118" s="96">
        <v>194.33</v>
      </c>
      <c r="L118" s="96">
        <v>228.15</v>
      </c>
      <c r="M118" s="96">
        <v>225.75</v>
      </c>
      <c r="N118" s="96">
        <v>223.98</v>
      </c>
    </row>
    <row r="119" spans="4:14" x14ac:dyDescent="0.25">
      <c r="D119" s="96"/>
      <c r="E119" s="96"/>
      <c r="F119" s="96"/>
      <c r="G119" s="96"/>
      <c r="H119" s="96"/>
      <c r="I119" s="96"/>
      <c r="J119" s="96"/>
      <c r="K119" s="96"/>
      <c r="L119" s="96"/>
      <c r="M119" s="96"/>
      <c r="N119" s="96"/>
    </row>
    <row r="120" spans="4:14" x14ac:dyDescent="0.25">
      <c r="D120" s="96"/>
      <c r="E120" s="96"/>
      <c r="F120" s="96"/>
      <c r="G120" s="96"/>
      <c r="H120" s="96"/>
      <c r="I120" s="96"/>
      <c r="J120" s="96"/>
      <c r="K120" s="96"/>
      <c r="L120" s="96"/>
      <c r="M120" s="96"/>
      <c r="N120" s="96"/>
    </row>
    <row r="123" spans="4:14" x14ac:dyDescent="0.25">
      <c r="D123" s="99" t="s">
        <v>323</v>
      </c>
      <c r="E123" s="101">
        <f>+DetailedDataSheet!B34</f>
        <v>43921</v>
      </c>
      <c r="F123" s="101">
        <f>+DetailedDataSheet!C34</f>
        <v>44012</v>
      </c>
      <c r="G123" s="101">
        <f>+DetailedDataSheet!D34</f>
        <v>44104</v>
      </c>
      <c r="H123" s="101">
        <f>+DetailedDataSheet!E34</f>
        <v>44196</v>
      </c>
      <c r="I123" s="101">
        <f>+DetailedDataSheet!F34</f>
        <v>44286</v>
      </c>
      <c r="J123" s="101">
        <f>+DetailedDataSheet!G34</f>
        <v>44377</v>
      </c>
      <c r="K123" s="101">
        <f>+DetailedDataSheet!H34</f>
        <v>44469</v>
      </c>
      <c r="L123" s="101">
        <f>+DetailedDataSheet!I34</f>
        <v>44561</v>
      </c>
      <c r="M123" s="101">
        <f>+DetailedDataSheet!J34</f>
        <v>44651</v>
      </c>
      <c r="N123" s="101">
        <f>+DetailedDataSheet!K34</f>
        <v>44742</v>
      </c>
    </row>
    <row r="124" spans="4:14" x14ac:dyDescent="0.25">
      <c r="D124" s="98" t="str">
        <f>+DetailedDataSheet!B1</f>
        <v>BHARAT DYNAMICS LTD</v>
      </c>
      <c r="E124" s="96">
        <f>+DetailedDataSheet!B35</f>
        <v>1439.39</v>
      </c>
      <c r="F124" s="96">
        <f>+DetailedDataSheet!C35</f>
        <v>31.45</v>
      </c>
      <c r="G124" s="96">
        <f>+DetailedDataSheet!D35</f>
        <v>280.83999999999997</v>
      </c>
      <c r="H124" s="96">
        <f>+DetailedDataSheet!E35</f>
        <v>459.02</v>
      </c>
      <c r="I124" s="96">
        <f>+DetailedDataSheet!F35</f>
        <v>1136.8599999999999</v>
      </c>
      <c r="J124" s="96">
        <f>+DetailedDataSheet!G35</f>
        <v>128.59</v>
      </c>
      <c r="K124" s="96">
        <f>+DetailedDataSheet!H35</f>
        <v>503.83</v>
      </c>
      <c r="L124" s="96">
        <f>+DetailedDataSheet!I35</f>
        <v>803.9</v>
      </c>
      <c r="M124" s="96">
        <f>+DetailedDataSheet!J35</f>
        <v>1381.07</v>
      </c>
      <c r="N124" s="96">
        <f>+DetailedDataSheet!K35</f>
        <v>694.8</v>
      </c>
    </row>
    <row r="125" spans="4:14" x14ac:dyDescent="0.25">
      <c r="D125" s="96" t="s">
        <v>316</v>
      </c>
      <c r="E125" s="96" t="e">
        <v>#DIV/0!</v>
      </c>
      <c r="F125" s="96" t="e">
        <v>#DIV/0!</v>
      </c>
      <c r="G125" s="96" t="e">
        <v>#DIV/0!</v>
      </c>
      <c r="H125" s="96" t="e">
        <v>#DIV/0!</v>
      </c>
      <c r="I125" s="96" t="e">
        <v>#DIV/0!</v>
      </c>
      <c r="J125" s="96" t="e">
        <v>#DIV/0!</v>
      </c>
      <c r="K125" s="96">
        <v>0.62668063558582154</v>
      </c>
      <c r="L125" s="96">
        <v>0.57883708748035612</v>
      </c>
      <c r="M125" s="96">
        <v>0.53081892788545482</v>
      </c>
      <c r="N125" s="96">
        <v>1.2302978723404256</v>
      </c>
    </row>
    <row r="126" spans="4:14" x14ac:dyDescent="0.25">
      <c r="D126" s="96"/>
      <c r="E126" s="96"/>
      <c r="F126" s="96"/>
      <c r="G126" s="96"/>
      <c r="H126" s="96"/>
      <c r="I126" s="96"/>
      <c r="J126" s="96"/>
      <c r="K126" s="96"/>
      <c r="L126" s="96"/>
      <c r="M126" s="96"/>
      <c r="N126" s="96"/>
    </row>
    <row r="127" spans="4:14" x14ac:dyDescent="0.25">
      <c r="D127" s="96"/>
      <c r="E127" s="96"/>
      <c r="F127" s="96"/>
      <c r="G127" s="96"/>
      <c r="H127" s="96"/>
      <c r="I127" s="96"/>
      <c r="J127" s="96"/>
      <c r="K127" s="96"/>
      <c r="L127" s="96"/>
      <c r="M127" s="96"/>
      <c r="N127" s="96"/>
    </row>
    <row r="130" spans="4:14" x14ac:dyDescent="0.25">
      <c r="D130" s="99" t="s">
        <v>324</v>
      </c>
      <c r="E130" s="101">
        <f>+DetailedDataSheet!B34</f>
        <v>43921</v>
      </c>
      <c r="F130" s="101">
        <f>+DetailedDataSheet!C34</f>
        <v>44012</v>
      </c>
      <c r="G130" s="101">
        <f>+DetailedDataSheet!D34</f>
        <v>44104</v>
      </c>
      <c r="H130" s="101">
        <f>+DetailedDataSheet!E34</f>
        <v>44196</v>
      </c>
      <c r="I130" s="101">
        <f>+DetailedDataSheet!F34</f>
        <v>44286</v>
      </c>
      <c r="J130" s="101">
        <f>+DetailedDataSheet!G34</f>
        <v>44377</v>
      </c>
      <c r="K130" s="101">
        <f>+DetailedDataSheet!H34</f>
        <v>44469</v>
      </c>
      <c r="L130" s="101">
        <f>+DetailedDataSheet!I34</f>
        <v>44561</v>
      </c>
      <c r="M130" s="101">
        <f>+DetailedDataSheet!J34</f>
        <v>44651</v>
      </c>
      <c r="N130" s="101">
        <f>+DetailedDataSheet!K34</f>
        <v>44742</v>
      </c>
    </row>
    <row r="131" spans="4:14" x14ac:dyDescent="0.25">
      <c r="D131" s="98" t="str">
        <f>+DetailedDataSheet!B1</f>
        <v>BHARAT DYNAMICS LTD</v>
      </c>
      <c r="E131" s="96">
        <f>+DetailedDataSheet!B40</f>
        <v>400.43</v>
      </c>
      <c r="F131" s="96">
        <f>+DetailedDataSheet!C40</f>
        <v>-106.02</v>
      </c>
      <c r="G131" s="96">
        <f>+DetailedDataSheet!D40</f>
        <v>40.6</v>
      </c>
      <c r="H131" s="96">
        <f>+DetailedDataSheet!E40</f>
        <v>68.540000000000006</v>
      </c>
      <c r="I131" s="96">
        <f>+DetailedDataSheet!F40</f>
        <v>337.76</v>
      </c>
      <c r="J131" s="96">
        <f>+DetailedDataSheet!G40</f>
        <v>-28.18</v>
      </c>
      <c r="K131" s="96">
        <f>+DetailedDataSheet!H40</f>
        <v>61.77</v>
      </c>
      <c r="L131" s="96">
        <f>+DetailedDataSheet!I40</f>
        <v>298.54000000000002</v>
      </c>
      <c r="M131" s="96">
        <f>+DetailedDataSheet!J40</f>
        <v>377.78</v>
      </c>
      <c r="N131" s="96">
        <f>+DetailedDataSheet!K40</f>
        <v>53.34</v>
      </c>
    </row>
    <row r="132" spans="4:14" x14ac:dyDescent="0.25">
      <c r="D132" s="96" t="s">
        <v>316</v>
      </c>
      <c r="E132" s="96">
        <v>0</v>
      </c>
      <c r="F132" s="96">
        <v>0</v>
      </c>
      <c r="G132" s="96">
        <v>0</v>
      </c>
      <c r="H132" s="96">
        <v>0</v>
      </c>
      <c r="I132" s="96">
        <v>5.68</v>
      </c>
      <c r="J132" s="96">
        <v>14.96</v>
      </c>
      <c r="K132" s="96">
        <v>12.05</v>
      </c>
      <c r="L132" s="96">
        <v>30.82</v>
      </c>
      <c r="M132" s="96">
        <v>27.68</v>
      </c>
      <c r="N132" s="96">
        <v>17.309999999999999</v>
      </c>
    </row>
    <row r="133" spans="4:14" x14ac:dyDescent="0.25">
      <c r="D133" s="96"/>
      <c r="E133" s="96"/>
      <c r="F133" s="96"/>
      <c r="G133" s="96"/>
      <c r="H133" s="96"/>
      <c r="I133" s="96"/>
      <c r="J133" s="96"/>
      <c r="K133" s="96"/>
      <c r="L133" s="96"/>
      <c r="M133" s="96"/>
      <c r="N133" s="96"/>
    </row>
    <row r="134" spans="4:14" x14ac:dyDescent="0.25">
      <c r="D134" s="96"/>
      <c r="E134" s="96"/>
      <c r="F134" s="96"/>
      <c r="G134" s="96"/>
      <c r="H134" s="96"/>
      <c r="I134" s="96"/>
      <c r="J134" s="96"/>
      <c r="K134" s="96"/>
      <c r="L134" s="96"/>
      <c r="M134" s="96"/>
      <c r="N134" s="96"/>
    </row>
    <row r="137" spans="4:14" x14ac:dyDescent="0.25">
      <c r="D137" s="99" t="s">
        <v>325</v>
      </c>
      <c r="E137" s="101">
        <f>+DetailedDataSheet!B34</f>
        <v>43921</v>
      </c>
      <c r="F137" s="101">
        <f>+DetailedDataSheet!C34</f>
        <v>44012</v>
      </c>
      <c r="G137" s="101">
        <f>+DetailedDataSheet!D34</f>
        <v>44104</v>
      </c>
      <c r="H137" s="101">
        <f>+DetailedDataSheet!E34</f>
        <v>44196</v>
      </c>
      <c r="I137" s="101">
        <f>+DetailedDataSheet!F34</f>
        <v>44286</v>
      </c>
      <c r="J137" s="101">
        <f>+DetailedDataSheet!G34</f>
        <v>44377</v>
      </c>
      <c r="K137" s="101">
        <f>+DetailedDataSheet!H34</f>
        <v>44469</v>
      </c>
      <c r="L137" s="101">
        <f>+DetailedDataSheet!I34</f>
        <v>44561</v>
      </c>
      <c r="M137" s="101">
        <f>+DetailedDataSheet!J34</f>
        <v>44651</v>
      </c>
      <c r="N137" s="101">
        <f>+DetailedDataSheet!K34</f>
        <v>44742</v>
      </c>
    </row>
    <row r="138" spans="4:14" x14ac:dyDescent="0.25">
      <c r="D138" s="98" t="str">
        <f>+DetailedDataSheet!B1</f>
        <v>BHARAT DYNAMICS LTD</v>
      </c>
      <c r="E138" s="96">
        <f>+DetailedDataSheet!B42</f>
        <v>309.72000000000003</v>
      </c>
      <c r="F138" s="96">
        <f>+DetailedDataSheet!C42</f>
        <v>-78.040000000000006</v>
      </c>
      <c r="G138" s="96">
        <f>+DetailedDataSheet!D42</f>
        <v>26.25</v>
      </c>
      <c r="H138" s="96">
        <f>+DetailedDataSheet!E42</f>
        <v>49.19</v>
      </c>
      <c r="I138" s="96">
        <f>+DetailedDataSheet!F42</f>
        <v>260.37</v>
      </c>
      <c r="J138" s="96">
        <f>+DetailedDataSheet!G42</f>
        <v>-20.95</v>
      </c>
      <c r="K138" s="96">
        <f>+DetailedDataSheet!H42</f>
        <v>43.25</v>
      </c>
      <c r="L138" s="96">
        <f>+DetailedDataSheet!I42</f>
        <v>213.26</v>
      </c>
      <c r="M138" s="96">
        <f>+DetailedDataSheet!J42</f>
        <v>264.36</v>
      </c>
      <c r="N138" s="96">
        <f>+DetailedDataSheet!K42</f>
        <v>39.86</v>
      </c>
    </row>
    <row r="139" spans="4:14" x14ac:dyDescent="0.25">
      <c r="D139" s="96"/>
      <c r="E139" s="96"/>
      <c r="F139" s="96"/>
      <c r="G139" s="96"/>
      <c r="H139" s="96"/>
      <c r="I139" s="96"/>
      <c r="J139" s="96"/>
      <c r="K139" s="96"/>
      <c r="L139" s="96"/>
      <c r="M139" s="96"/>
      <c r="N139" s="96"/>
    </row>
    <row r="140" spans="4:14" x14ac:dyDescent="0.25">
      <c r="D140" s="96"/>
      <c r="E140" s="96"/>
      <c r="F140" s="96"/>
      <c r="G140" s="96"/>
      <c r="H140" s="96"/>
      <c r="I140" s="96"/>
      <c r="J140" s="96"/>
      <c r="K140" s="96"/>
      <c r="L140" s="96"/>
      <c r="M140" s="96"/>
      <c r="N140" s="96"/>
    </row>
    <row r="141" spans="4:14" x14ac:dyDescent="0.25">
      <c r="D141" s="96"/>
      <c r="E141" s="96"/>
      <c r="F141" s="96"/>
      <c r="G141" s="96"/>
      <c r="H141" s="96"/>
      <c r="I141" s="96"/>
      <c r="J141" s="96"/>
      <c r="K141" s="96"/>
      <c r="L141" s="96"/>
      <c r="M141" s="96"/>
      <c r="N141" s="96"/>
    </row>
    <row r="144" spans="4:14" x14ac:dyDescent="0.25">
      <c r="D144" s="99" t="s">
        <v>326</v>
      </c>
      <c r="E144" s="101">
        <f>+DetailedDataSheet!B16</f>
        <v>40999</v>
      </c>
      <c r="F144" s="101">
        <f>+DetailedDataSheet!C16</f>
        <v>41364</v>
      </c>
      <c r="G144" s="101">
        <f>+DetailedDataSheet!D16</f>
        <v>42094</v>
      </c>
      <c r="H144" s="101">
        <f>+DetailedDataSheet!E16</f>
        <v>42460</v>
      </c>
      <c r="I144" s="101">
        <f>+DetailedDataSheet!F16</f>
        <v>42825</v>
      </c>
      <c r="J144" s="101">
        <f>+DetailedDataSheet!G16</f>
        <v>43190</v>
      </c>
      <c r="K144" s="101">
        <f>+DetailedDataSheet!H16</f>
        <v>43555</v>
      </c>
      <c r="L144" s="101">
        <f>+DetailedDataSheet!I16</f>
        <v>43921</v>
      </c>
      <c r="M144" s="101">
        <f>+DetailedDataSheet!J16</f>
        <v>44286</v>
      </c>
      <c r="N144" s="101">
        <f>+DetailedDataSheet!K16</f>
        <v>44651</v>
      </c>
    </row>
    <row r="145" spans="4:14" x14ac:dyDescent="0.25">
      <c r="D145" s="98" t="str">
        <f>+DetailedDataSheet!B1</f>
        <v>BHARAT DYNAMICS LTD</v>
      </c>
      <c r="E145" s="100">
        <f>+DetailedDataSheet!B107</f>
        <v>0</v>
      </c>
      <c r="F145" s="100">
        <f>+DetailedDataSheet!C107</f>
        <v>4.4092333531327439</v>
      </c>
      <c r="G145" s="100">
        <f>+DetailedDataSheet!D107</f>
        <v>7.1533754689900038</v>
      </c>
      <c r="H145" s="100">
        <f>+DetailedDataSheet!E107</f>
        <v>6.7169382529004427</v>
      </c>
      <c r="I145" s="100">
        <f>+DetailedDataSheet!F107</f>
        <v>6.7220854254075242</v>
      </c>
      <c r="J145" s="100">
        <f>+DetailedDataSheet!G107</f>
        <v>5.6445054167615094</v>
      </c>
      <c r="K145" s="100">
        <f>+DetailedDataSheet!H107</f>
        <v>3.3630262689347248</v>
      </c>
      <c r="L145" s="100">
        <f>+DetailedDataSheet!I107</f>
        <v>3.2867244646278593</v>
      </c>
      <c r="M145" s="100">
        <f>+DetailedDataSheet!J107</f>
        <v>2.0718863675731853</v>
      </c>
      <c r="N145" s="100">
        <f>+DetailedDataSheet!K107</f>
        <v>3.1499742850115156</v>
      </c>
    </row>
    <row r="146" spans="4:14" x14ac:dyDescent="0.25">
      <c r="D146" s="96" t="s">
        <v>316</v>
      </c>
      <c r="E146" s="96"/>
      <c r="F146" s="96" t="e">
        <v>#DIV/0!</v>
      </c>
      <c r="G146" s="96" t="e">
        <v>#DIV/0!</v>
      </c>
      <c r="H146" s="96" t="e">
        <v>#DIV/0!</v>
      </c>
      <c r="I146" s="96" t="e">
        <v>#DIV/0!</v>
      </c>
      <c r="J146" s="96" t="e">
        <v>#DIV/0!</v>
      </c>
      <c r="K146" s="96">
        <v>5.2898284313725492</v>
      </c>
      <c r="L146" s="96">
        <v>2.5128501114264181</v>
      </c>
      <c r="M146" s="96">
        <v>2.1278758096939918</v>
      </c>
      <c r="N146" s="96">
        <v>2.4876918948691515</v>
      </c>
    </row>
    <row r="147" spans="4:14" x14ac:dyDescent="0.25">
      <c r="D147" s="96"/>
      <c r="E147" s="96"/>
      <c r="F147" s="96"/>
      <c r="G147" s="96"/>
      <c r="H147" s="96"/>
      <c r="I147" s="96"/>
      <c r="J147" s="96"/>
      <c r="K147" s="96"/>
      <c r="L147" s="96"/>
      <c r="M147" s="96"/>
      <c r="N147" s="96"/>
    </row>
    <row r="148" spans="4:14" x14ac:dyDescent="0.25">
      <c r="D148" s="96"/>
      <c r="E148" s="96"/>
      <c r="F148" s="96"/>
      <c r="G148" s="96"/>
      <c r="H148" s="96"/>
      <c r="I148" s="96"/>
      <c r="J148" s="96"/>
      <c r="K148" s="96"/>
      <c r="L148" s="96"/>
      <c r="M148" s="96"/>
      <c r="N148" s="96"/>
    </row>
    <row r="151" spans="4:14" x14ac:dyDescent="0.25">
      <c r="D151" s="99" t="s">
        <v>327</v>
      </c>
      <c r="E151" s="101">
        <f>+DetailedDataSheet!B16</f>
        <v>40999</v>
      </c>
      <c r="F151" s="101">
        <f>+DetailedDataSheet!C16</f>
        <v>41364</v>
      </c>
      <c r="G151" s="101">
        <f>+DetailedDataSheet!D16</f>
        <v>42094</v>
      </c>
      <c r="H151" s="101">
        <f>+DetailedDataSheet!E16</f>
        <v>42460</v>
      </c>
      <c r="I151" s="101">
        <f>+DetailedDataSheet!F16</f>
        <v>42825</v>
      </c>
      <c r="J151" s="101">
        <f>+DetailedDataSheet!G16</f>
        <v>43190</v>
      </c>
      <c r="K151" s="101">
        <f>+DetailedDataSheet!H16</f>
        <v>43555</v>
      </c>
      <c r="L151" s="101">
        <f>+DetailedDataSheet!I16</f>
        <v>43921</v>
      </c>
      <c r="M151" s="101">
        <f>+DetailedDataSheet!J16</f>
        <v>44286</v>
      </c>
      <c r="N151" s="101">
        <f>+DetailedDataSheet!K16</f>
        <v>44651</v>
      </c>
    </row>
    <row r="152" spans="4:14" x14ac:dyDescent="0.25">
      <c r="D152" s="98" t="str">
        <f>+DetailedDataSheet!B1</f>
        <v>BHARAT DYNAMICS LTD</v>
      </c>
      <c r="E152" s="102">
        <f>+DetailedDataSheet!B111</f>
        <v>0</v>
      </c>
      <c r="F152" s="102">
        <f>+DetailedDataSheet!C111</f>
        <v>273.57705600356758</v>
      </c>
      <c r="G152" s="102">
        <f>+DetailedDataSheet!D111</f>
        <v>159.12747023746664</v>
      </c>
      <c r="H152" s="102">
        <f>+DetailedDataSheet!E111</f>
        <v>158.09528508664397</v>
      </c>
      <c r="I152" s="102">
        <f>+DetailedDataSheet!F111</f>
        <v>161.52375261428148</v>
      </c>
      <c r="J152" s="102">
        <f>+DetailedDataSheet!G111</f>
        <v>169.14387697270905</v>
      </c>
      <c r="K152" s="102">
        <f>+DetailedDataSheet!H111</f>
        <v>220.24209523188946</v>
      </c>
      <c r="L152" s="102">
        <f>+DetailedDataSheet!I111</f>
        <v>155.21084618679686</v>
      </c>
      <c r="M152" s="102">
        <f>+DetailedDataSheet!J111</f>
        <v>227.53566277903184</v>
      </c>
      <c r="N152" s="102">
        <f>+DetailedDataSheet!K111</f>
        <v>206.70809966635903</v>
      </c>
    </row>
    <row r="153" spans="4:14" x14ac:dyDescent="0.25">
      <c r="D153" s="96" t="s">
        <v>316</v>
      </c>
      <c r="E153" s="96"/>
      <c r="F153" s="96">
        <v>0</v>
      </c>
      <c r="G153" s="96">
        <v>0</v>
      </c>
      <c r="H153" s="96">
        <v>0</v>
      </c>
      <c r="I153" s="96">
        <v>0</v>
      </c>
      <c r="J153" s="96">
        <v>0</v>
      </c>
      <c r="K153" s="96">
        <v>9.3411545812579639</v>
      </c>
      <c r="L153" s="96">
        <v>16.448217999923436</v>
      </c>
      <c r="M153" s="96">
        <v>18.833812260536398</v>
      </c>
      <c r="N153" s="96">
        <v>20.779467033029416</v>
      </c>
    </row>
    <row r="154" spans="4:14" x14ac:dyDescent="0.25">
      <c r="D154" s="96"/>
      <c r="E154" s="96"/>
      <c r="F154" s="96"/>
      <c r="G154" s="96"/>
      <c r="H154" s="96"/>
      <c r="I154" s="96"/>
      <c r="J154" s="96"/>
      <c r="K154" s="96"/>
      <c r="L154" s="96"/>
      <c r="M154" s="96"/>
      <c r="N154" s="96"/>
    </row>
    <row r="155" spans="4:14" x14ac:dyDescent="0.25">
      <c r="D155" s="96"/>
      <c r="E155" s="96"/>
      <c r="F155" s="96"/>
      <c r="G155" s="96"/>
      <c r="H155" s="96"/>
      <c r="I155" s="96"/>
      <c r="J155" s="96"/>
      <c r="K155" s="96"/>
      <c r="L155" s="96"/>
      <c r="M155" s="96"/>
      <c r="N155" s="96"/>
    </row>
    <row r="158" spans="4:14" x14ac:dyDescent="0.25">
      <c r="D158" s="99" t="s">
        <v>328</v>
      </c>
      <c r="E158" s="101">
        <f>+DetailedDataSheet!B16</f>
        <v>40999</v>
      </c>
      <c r="F158" s="101">
        <f>+DetailedDataSheet!C16</f>
        <v>41364</v>
      </c>
      <c r="G158" s="101">
        <f>+DetailedDataSheet!D16</f>
        <v>42094</v>
      </c>
      <c r="H158" s="101">
        <f>+DetailedDataSheet!E16</f>
        <v>42460</v>
      </c>
      <c r="I158" s="101">
        <f>+DetailedDataSheet!F16</f>
        <v>42825</v>
      </c>
      <c r="J158" s="101">
        <f>+DetailedDataSheet!G16</f>
        <v>43190</v>
      </c>
      <c r="K158" s="101">
        <f>+DetailedDataSheet!H16</f>
        <v>43555</v>
      </c>
      <c r="L158" s="101">
        <f>+DetailedDataSheet!I16</f>
        <v>43921</v>
      </c>
      <c r="M158" s="101">
        <f>+DetailedDataSheet!J16</f>
        <v>44286</v>
      </c>
      <c r="N158" s="101">
        <f>+DetailedDataSheet!K16</f>
        <v>44651</v>
      </c>
    </row>
    <row r="159" spans="4:14" x14ac:dyDescent="0.25">
      <c r="D159" s="98" t="str">
        <f>+DetailedDataSheet!B1</f>
        <v>BHARAT DYNAMICS LTD</v>
      </c>
      <c r="E159" s="98">
        <f>+DetailedDataSheet!B101</f>
        <v>0</v>
      </c>
      <c r="F159" s="98">
        <f>+DetailedDataSheet!C101</f>
        <v>0</v>
      </c>
      <c r="G159" s="98">
        <f>+DetailedDataSheet!D101</f>
        <v>0</v>
      </c>
      <c r="H159" s="98">
        <f>+DetailedDataSheet!E101</f>
        <v>0.22259999999999999</v>
      </c>
      <c r="I159" s="98">
        <f>+DetailedDataSheet!F101</f>
        <v>0.43740000000000001</v>
      </c>
      <c r="J159" s="98">
        <f>+DetailedDataSheet!G101</f>
        <v>0.43619999999999998</v>
      </c>
      <c r="K159" s="98">
        <f>+DetailedDataSheet!H101</f>
        <v>0.54479999999999995</v>
      </c>
      <c r="L159" s="98">
        <f>+DetailedDataSheet!I101</f>
        <v>1.194</v>
      </c>
      <c r="M159" s="98">
        <f>+DetailedDataSheet!J101</f>
        <v>1.5479999999999998</v>
      </c>
      <c r="N159" s="98">
        <f>+DetailedDataSheet!K101</f>
        <v>1.2839999999999998</v>
      </c>
    </row>
    <row r="160" spans="4:14" x14ac:dyDescent="0.25">
      <c r="D160" s="96" t="s">
        <v>316</v>
      </c>
      <c r="E160" s="96"/>
      <c r="F160" s="96">
        <v>0</v>
      </c>
      <c r="G160" s="96">
        <v>0</v>
      </c>
      <c r="H160" s="96">
        <v>0</v>
      </c>
      <c r="I160" s="96">
        <v>0</v>
      </c>
      <c r="J160" s="96">
        <v>0</v>
      </c>
      <c r="K160" s="96">
        <v>8.3436000000000003</v>
      </c>
      <c r="L160" s="96">
        <v>18.2394</v>
      </c>
      <c r="M160" s="96">
        <v>17.941199999999998</v>
      </c>
      <c r="N160" s="96">
        <v>15.2226</v>
      </c>
    </row>
    <row r="161" spans="4:14" x14ac:dyDescent="0.25">
      <c r="D161" s="96"/>
      <c r="E161" s="96"/>
      <c r="F161" s="96"/>
      <c r="G161" s="96"/>
      <c r="H161" s="96"/>
      <c r="I161" s="96"/>
      <c r="J161" s="96"/>
      <c r="K161" s="96"/>
      <c r="L161" s="96"/>
      <c r="M161" s="96"/>
      <c r="N161" s="96"/>
    </row>
    <row r="162" spans="4:14" x14ac:dyDescent="0.25">
      <c r="D162" s="96"/>
      <c r="E162" s="96"/>
      <c r="F162" s="96"/>
      <c r="G162" s="96"/>
      <c r="H162" s="96"/>
      <c r="I162" s="96"/>
      <c r="J162" s="96"/>
      <c r="K162" s="96"/>
      <c r="L162" s="96"/>
      <c r="M162" s="96"/>
      <c r="N162" s="96"/>
    </row>
    <row r="165" spans="4:14" x14ac:dyDescent="0.25">
      <c r="D165" s="99" t="s">
        <v>329</v>
      </c>
      <c r="E165" s="101">
        <f>+DetailedDataSheet!B16</f>
        <v>40999</v>
      </c>
      <c r="F165" s="101">
        <f>+DetailedDataSheet!C16</f>
        <v>41364</v>
      </c>
      <c r="G165" s="101">
        <f>+DetailedDataSheet!D16</f>
        <v>42094</v>
      </c>
      <c r="H165" s="101">
        <f>+DetailedDataSheet!E16</f>
        <v>42460</v>
      </c>
      <c r="I165" s="101">
        <f>+DetailedDataSheet!F16</f>
        <v>42825</v>
      </c>
      <c r="J165" s="101">
        <f>+DetailedDataSheet!G16</f>
        <v>43190</v>
      </c>
      <c r="K165" s="101">
        <f>+DetailedDataSheet!H16</f>
        <v>43555</v>
      </c>
      <c r="L165" s="101">
        <f>+DetailedDataSheet!I16</f>
        <v>43921</v>
      </c>
      <c r="M165" s="101">
        <f>+DetailedDataSheet!J16</f>
        <v>44286</v>
      </c>
      <c r="N165" s="101">
        <f>+DetailedDataSheet!K16</f>
        <v>44651</v>
      </c>
    </row>
    <row r="166" spans="4:14" x14ac:dyDescent="0.25">
      <c r="D166" s="98" t="str">
        <f>+DetailedDataSheet!B1</f>
        <v>BHARAT DYNAMICS LTD</v>
      </c>
      <c r="E166" s="102">
        <f>+DetailedDataSheet!B112</f>
        <v>0</v>
      </c>
      <c r="F166" s="102">
        <f>+DetailedDataSheet!C112</f>
        <v>5.916666666666667</v>
      </c>
      <c r="G166" s="102">
        <f>+DetailedDataSheet!D112</f>
        <v>9.3105007865757745</v>
      </c>
      <c r="H166" s="102">
        <f>+DetailedDataSheet!E112</f>
        <v>17.007234441780465</v>
      </c>
      <c r="I166" s="102">
        <f>+DetailedDataSheet!F112</f>
        <v>32.641661935139105</v>
      </c>
      <c r="J166" s="102">
        <f>+DetailedDataSheet!G112</f>
        <v>9.9195640892579142</v>
      </c>
      <c r="K166" s="102">
        <f>+DetailedDataSheet!H112</f>
        <v>4.7354089204992516</v>
      </c>
      <c r="L166" s="102">
        <f>+DetailedDataSheet!I112</f>
        <v>7.1847043850514867</v>
      </c>
      <c r="M166" s="102">
        <f>+DetailedDataSheet!J112</f>
        <v>5.7899736786373408</v>
      </c>
      <c r="N166" s="102">
        <f>+DetailedDataSheet!K112</f>
        <v>8.9890723458562647</v>
      </c>
    </row>
    <row r="167" spans="4:14" x14ac:dyDescent="0.25">
      <c r="D167" s="96" t="s">
        <v>316</v>
      </c>
      <c r="E167" s="96"/>
      <c r="F167" s="96"/>
      <c r="G167" s="96"/>
      <c r="H167" s="96"/>
      <c r="I167" s="96"/>
      <c r="J167" s="96"/>
      <c r="K167" s="96"/>
      <c r="L167" s="96"/>
      <c r="M167" s="96"/>
      <c r="N167" s="96"/>
    </row>
    <row r="168" spans="4:14" x14ac:dyDescent="0.25">
      <c r="D168" s="96"/>
      <c r="E168" s="96"/>
      <c r="F168" s="96"/>
      <c r="G168" s="96"/>
      <c r="H168" s="96"/>
      <c r="I168" s="96"/>
      <c r="J168" s="96"/>
      <c r="K168" s="96"/>
      <c r="L168" s="96"/>
      <c r="M168" s="96"/>
      <c r="N168" s="96"/>
    </row>
    <row r="169" spans="4:14" x14ac:dyDescent="0.25">
      <c r="D169" s="96"/>
      <c r="E169" s="96"/>
      <c r="F169" s="96"/>
      <c r="G169" s="96"/>
      <c r="H169" s="96"/>
      <c r="I169" s="96"/>
      <c r="J169" s="96"/>
      <c r="K169" s="96"/>
      <c r="L169" s="96"/>
      <c r="M169" s="96"/>
      <c r="N169" s="96"/>
    </row>
    <row r="170" spans="4:14" x14ac:dyDescent="0.25">
      <c r="E170">
        <v>1</v>
      </c>
      <c r="F170">
        <v>2</v>
      </c>
      <c r="G170">
        <v>3</v>
      </c>
      <c r="H170">
        <v>4</v>
      </c>
      <c r="I170">
        <v>5</v>
      </c>
      <c r="J170">
        <v>6</v>
      </c>
      <c r="K170">
        <v>7</v>
      </c>
      <c r="L170">
        <v>8</v>
      </c>
      <c r="M170">
        <v>9</v>
      </c>
      <c r="N170">
        <v>10</v>
      </c>
    </row>
    <row r="171" spans="4:14" x14ac:dyDescent="0.25">
      <c r="E171">
        <v>40999</v>
      </c>
      <c r="F171">
        <v>41364</v>
      </c>
      <c r="G171">
        <v>41729</v>
      </c>
      <c r="H171">
        <v>42094</v>
      </c>
      <c r="I171">
        <v>42460</v>
      </c>
      <c r="J171">
        <v>42825</v>
      </c>
      <c r="K171">
        <v>43190</v>
      </c>
      <c r="L171">
        <v>43555</v>
      </c>
      <c r="M171">
        <v>43921</v>
      </c>
      <c r="N171">
        <v>44286</v>
      </c>
    </row>
    <row r="172" spans="4:14" x14ac:dyDescent="0.25">
      <c r="D172" s="99" t="s">
        <v>296</v>
      </c>
      <c r="E172" s="101">
        <v>0</v>
      </c>
      <c r="F172" s="101">
        <v>0</v>
      </c>
      <c r="G172" s="101">
        <v>0</v>
      </c>
      <c r="H172" s="101">
        <v>0</v>
      </c>
      <c r="I172" s="101">
        <v>0</v>
      </c>
      <c r="J172" s="101">
        <v>0</v>
      </c>
      <c r="K172" s="101">
        <v>690.64</v>
      </c>
      <c r="L172" s="101">
        <v>783.67</v>
      </c>
      <c r="M172" s="101">
        <v>762.12</v>
      </c>
      <c r="N172" s="101">
        <v>880.73</v>
      </c>
    </row>
    <row r="173" spans="4:14" x14ac:dyDescent="0.25">
      <c r="D173" s="98" t="str">
        <f>+DetailedDataSheet!B1</f>
        <v>BHARAT DYNAMICS LTD</v>
      </c>
      <c r="E173" s="103">
        <v>0</v>
      </c>
      <c r="F173" s="103">
        <v>0</v>
      </c>
      <c r="G173" s="103">
        <v>0</v>
      </c>
      <c r="H173" s="103">
        <v>0</v>
      </c>
      <c r="I173" s="103">
        <v>0</v>
      </c>
      <c r="J173" s="103">
        <v>0</v>
      </c>
      <c r="K173" s="103">
        <v>389.85</v>
      </c>
      <c r="L173" s="103">
        <v>420.25</v>
      </c>
      <c r="M173" s="103">
        <v>411.69</v>
      </c>
      <c r="N173" s="103">
        <v>468.45</v>
      </c>
    </row>
    <row r="174" spans="4:14" x14ac:dyDescent="0.25">
      <c r="D174" s="96" t="s">
        <v>316</v>
      </c>
      <c r="E174" s="96"/>
      <c r="F174" s="96" t="e">
        <v>#DIV/0!</v>
      </c>
      <c r="G174" s="96" t="e">
        <v>#DIV/0!</v>
      </c>
      <c r="H174" s="96" t="e">
        <v>#DIV/0!</v>
      </c>
      <c r="I174" s="96" t="e">
        <v>#DIV/0!</v>
      </c>
      <c r="J174" s="96" t="e">
        <v>#DIV/0!</v>
      </c>
      <c r="K174" s="96">
        <v>0.26922211386992723</v>
      </c>
      <c r="L174" s="96">
        <v>0.11810392432798332</v>
      </c>
      <c r="M174" s="96">
        <v>9.9014738213500528E-2</v>
      </c>
      <c r="N174" s="96">
        <v>0.19260542269002734</v>
      </c>
    </row>
    <row r="175" spans="4:14" x14ac:dyDescent="0.25">
      <c r="D175" s="96"/>
      <c r="E175" s="96"/>
      <c r="F175" s="96" t="e">
        <v>#DIV/0!</v>
      </c>
      <c r="G175" s="96" t="e">
        <v>#DIV/0!</v>
      </c>
      <c r="H175" s="96" t="e">
        <v>#DIV/0!</v>
      </c>
      <c r="I175" s="96" t="e">
        <v>#DIV/0!</v>
      </c>
      <c r="J175" s="96" t="e">
        <v>#DIV/0!</v>
      </c>
      <c r="K175" s="96">
        <v>0.23234062536688452</v>
      </c>
      <c r="L175" s="96">
        <v>0.11736053671537543</v>
      </c>
      <c r="M175" s="96">
        <v>9.5855647730057045E-2</v>
      </c>
      <c r="N175" s="96">
        <v>0.17098678301039391</v>
      </c>
    </row>
    <row r="176" spans="4:14" x14ac:dyDescent="0.25">
      <c r="D176" s="96"/>
      <c r="E176" s="96">
        <v>0</v>
      </c>
      <c r="F176" s="96">
        <v>0</v>
      </c>
      <c r="G176" s="96">
        <v>0</v>
      </c>
      <c r="H176" s="96">
        <v>0</v>
      </c>
      <c r="I176" s="96">
        <v>0</v>
      </c>
      <c r="J176" s="96">
        <v>0</v>
      </c>
      <c r="K176" s="96">
        <v>139.06</v>
      </c>
      <c r="L176" s="96">
        <v>164.93</v>
      </c>
      <c r="M176" s="96">
        <v>134.09</v>
      </c>
      <c r="N176" s="96">
        <v>119.62</v>
      </c>
    </row>
    <row r="177" spans="4:14" x14ac:dyDescent="0.25">
      <c r="F177">
        <v>0</v>
      </c>
      <c r="G177">
        <v>0</v>
      </c>
      <c r="H177">
        <v>0</v>
      </c>
      <c r="I177">
        <v>0</v>
      </c>
      <c r="J177">
        <v>0</v>
      </c>
      <c r="K177">
        <v>8.3436000000000003</v>
      </c>
      <c r="L177">
        <v>18.2394</v>
      </c>
      <c r="M177">
        <v>17.941199999999998</v>
      </c>
      <c r="N177">
        <v>15.2226</v>
      </c>
    </row>
    <row r="178" spans="4:14" x14ac:dyDescent="0.25">
      <c r="F178">
        <v>0</v>
      </c>
      <c r="G178">
        <v>0</v>
      </c>
      <c r="H178">
        <v>0</v>
      </c>
      <c r="I178">
        <v>0</v>
      </c>
      <c r="J178">
        <v>0</v>
      </c>
      <c r="K178">
        <v>10.318088115441769</v>
      </c>
      <c r="L178">
        <v>5.2962268495674181</v>
      </c>
      <c r="M178">
        <v>5.2042226829866456</v>
      </c>
      <c r="N178">
        <v>9.2664853572977055</v>
      </c>
    </row>
    <row r="179" spans="4:14" x14ac:dyDescent="0.25">
      <c r="D179" s="99" t="s">
        <v>299</v>
      </c>
      <c r="E179" s="101" t="e">
        <v>#DIV/0!</v>
      </c>
      <c r="F179" s="101" t="e">
        <v>#DIV/0!</v>
      </c>
      <c r="G179" s="101" t="e">
        <v>#DIV/0!</v>
      </c>
      <c r="H179" s="101" t="e">
        <v>#DIV/0!</v>
      </c>
      <c r="I179" s="101" t="e">
        <v>#DIV/0!</v>
      </c>
      <c r="J179" s="101" t="e">
        <v>#DIV/0!</v>
      </c>
      <c r="K179" s="101">
        <v>0.52156627409796719</v>
      </c>
      <c r="L179" s="101">
        <v>0.55955894826123831</v>
      </c>
      <c r="M179" s="101">
        <v>0.41994989038521774</v>
      </c>
      <c r="N179" s="101">
        <v>0.27737971014492757</v>
      </c>
    </row>
    <row r="180" spans="4:14" x14ac:dyDescent="0.25">
      <c r="D180" s="98" t="str">
        <f>+DetailedDataSheet!B1</f>
        <v>BHARAT DYNAMICS LTD</v>
      </c>
      <c r="E180" s="103" t="e">
        <v>#DIV/0!</v>
      </c>
      <c r="F180" s="103" t="e">
        <v>#DIV/0!</v>
      </c>
      <c r="G180" s="103" t="e">
        <v>#DIV/0!</v>
      </c>
      <c r="H180" s="103" t="e">
        <v>#DIV/0!</v>
      </c>
      <c r="I180" s="103" t="e">
        <v>#DIV/0!</v>
      </c>
      <c r="J180" s="103" t="e">
        <v>#DIV/0!</v>
      </c>
      <c r="K180" s="103">
        <v>0.27210112315579382</v>
      </c>
      <c r="L180" s="103">
        <v>0.2858207403299598</v>
      </c>
      <c r="M180" s="103">
        <v>0.23702538358198402</v>
      </c>
      <c r="N180" s="103">
        <v>0.17561219096834813</v>
      </c>
    </row>
    <row r="181" spans="4:14" x14ac:dyDescent="0.25">
      <c r="D181" s="96" t="s">
        <v>316</v>
      </c>
      <c r="E181" s="96"/>
      <c r="F181" s="96" t="e">
        <v>#DIV/0!</v>
      </c>
      <c r="G181" s="96" t="e">
        <v>#DIV/0!</v>
      </c>
      <c r="H181" s="96" t="e">
        <v>#DIV/0!</v>
      </c>
      <c r="I181" s="96" t="e">
        <v>#DIV/0!</v>
      </c>
      <c r="J181" s="96" t="e">
        <v>#DIV/0!</v>
      </c>
      <c r="K181" s="96">
        <v>0.23234062536688452</v>
      </c>
      <c r="L181" s="96">
        <v>0.11736053671537543</v>
      </c>
      <c r="M181" s="96">
        <v>9.5855647730057045E-2</v>
      </c>
      <c r="N181" s="96">
        <v>0.17098678301039391</v>
      </c>
    </row>
    <row r="182" spans="4:14" x14ac:dyDescent="0.25">
      <c r="D182" s="96"/>
      <c r="E182" s="96"/>
      <c r="F182" s="96"/>
      <c r="G182" s="96"/>
      <c r="H182" s="96"/>
      <c r="I182" s="96"/>
      <c r="J182" s="96"/>
      <c r="K182" s="96"/>
      <c r="L182" s="96"/>
      <c r="M182" s="96"/>
      <c r="N182" s="96"/>
    </row>
    <row r="183" spans="4:14" x14ac:dyDescent="0.25">
      <c r="D183" s="96"/>
      <c r="E183" s="96"/>
      <c r="F183" s="96" t="e">
        <v>#DIV/0!</v>
      </c>
      <c r="G183" s="96" t="e">
        <v>#DIV/0!</v>
      </c>
      <c r="H183" s="96" t="e">
        <v>#DIV/0!</v>
      </c>
      <c r="I183" s="96" t="e">
        <v>#DIV/0!</v>
      </c>
      <c r="J183" s="96" t="e">
        <v>#DIV/0!</v>
      </c>
      <c r="K183" s="96">
        <v>5.2898284313725492</v>
      </c>
      <c r="L183" s="96">
        <v>2.5128501114264181</v>
      </c>
      <c r="M183" s="96">
        <v>2.1278758096939918</v>
      </c>
      <c r="N183" s="96">
        <v>2.4876918948691515</v>
      </c>
    </row>
    <row r="185" spans="4:14" x14ac:dyDescent="0.25">
      <c r="F185" t="e">
        <v>#DIV/0!</v>
      </c>
      <c r="G185" t="e">
        <v>#DIV/0!</v>
      </c>
      <c r="H185" t="e">
        <v>#DIV/0!</v>
      </c>
      <c r="I185" t="e">
        <v>#DIV/0!</v>
      </c>
      <c r="J185" t="e">
        <v>#DIV/0!</v>
      </c>
      <c r="K185">
        <v>0.33690760380385842</v>
      </c>
      <c r="L185">
        <v>0.17755720981527429</v>
      </c>
      <c r="M185">
        <v>0.1634113899681473</v>
      </c>
      <c r="N185">
        <v>0.22626074682407296</v>
      </c>
    </row>
    <row r="186" spans="4:14" x14ac:dyDescent="0.25">
      <c r="D186" s="99" t="s">
        <v>303</v>
      </c>
      <c r="E186" s="101"/>
      <c r="F186" s="101">
        <v>0</v>
      </c>
      <c r="G186" s="101">
        <v>0</v>
      </c>
      <c r="H186" s="101">
        <v>0</v>
      </c>
      <c r="I186" s="101">
        <v>0</v>
      </c>
      <c r="J186" s="101">
        <v>0</v>
      </c>
      <c r="K186" s="101">
        <v>39.074398868458275</v>
      </c>
      <c r="L186" s="101">
        <v>22.190853744867621</v>
      </c>
      <c r="M186" s="101">
        <v>19.380038143674508</v>
      </c>
      <c r="N186" s="101">
        <v>17.565416832867971</v>
      </c>
    </row>
    <row r="187" spans="4:14" x14ac:dyDescent="0.25">
      <c r="D187" s="98" t="str">
        <f>+DetailedDataSheet!B1</f>
        <v>BHARAT DYNAMICS LTD</v>
      </c>
      <c r="E187" s="103"/>
      <c r="F187" s="103">
        <v>0</v>
      </c>
      <c r="G187" s="103">
        <v>0</v>
      </c>
      <c r="H187" s="103">
        <v>0</v>
      </c>
      <c r="I187" s="103">
        <v>0</v>
      </c>
      <c r="J187" s="103">
        <v>0</v>
      </c>
      <c r="K187" s="103">
        <v>9.3411545812579639</v>
      </c>
      <c r="L187" s="103">
        <v>16.448217999923436</v>
      </c>
      <c r="M187" s="103">
        <v>18.833812260536398</v>
      </c>
      <c r="N187" s="103">
        <v>20.779467033029416</v>
      </c>
    </row>
    <row r="188" spans="4:14" x14ac:dyDescent="0.25">
      <c r="D188" s="96" t="s">
        <v>316</v>
      </c>
      <c r="E188" s="96" t="e">
        <v>#DIV/0!</v>
      </c>
      <c r="F188" s="96" t="e">
        <v>#DIV/0!</v>
      </c>
      <c r="G188" s="96" t="e">
        <v>#DIV/0!</v>
      </c>
      <c r="H188" s="96" t="e">
        <v>#DIV/0!</v>
      </c>
      <c r="I188" s="96" t="e">
        <v>#DIV/0!</v>
      </c>
      <c r="J188" s="96" t="e">
        <v>#DIV/0!</v>
      </c>
      <c r="K188" s="96">
        <v>0.52156627409796719</v>
      </c>
      <c r="L188" s="96">
        <v>0.55955894826123831</v>
      </c>
      <c r="M188" s="96">
        <v>0.41994989038521774</v>
      </c>
      <c r="N188" s="96">
        <v>0.27737971014492757</v>
      </c>
    </row>
    <row r="189" spans="4:14" x14ac:dyDescent="0.25">
      <c r="D189" s="96"/>
      <c r="E189" s="96"/>
      <c r="F189" s="96" t="e">
        <v>#DIV/0!</v>
      </c>
      <c r="G189" s="96" t="e">
        <v>#DIV/0!</v>
      </c>
      <c r="H189" s="96" t="e">
        <v>#DIV/0!</v>
      </c>
      <c r="I189" s="96" t="e">
        <v>#DIV/0!</v>
      </c>
      <c r="J189" s="96" t="e">
        <v>#DIV/0!</v>
      </c>
      <c r="K189" s="96">
        <v>18.33350225877447</v>
      </c>
      <c r="L189" s="96">
        <v>39.521833169573924</v>
      </c>
      <c r="M189" s="96">
        <v>41.989942528735632</v>
      </c>
      <c r="N189" s="96">
        <v>30.458454918079322</v>
      </c>
    </row>
    <row r="190" spans="4:14" x14ac:dyDescent="0.25">
      <c r="D190" s="96"/>
      <c r="E190" s="96"/>
      <c r="F190" s="96"/>
      <c r="G190" s="96"/>
      <c r="H190" s="96"/>
      <c r="I190" s="96"/>
      <c r="J190" s="96"/>
      <c r="K190" s="96"/>
      <c r="L190" s="96"/>
      <c r="M190" s="96"/>
      <c r="N190" s="96"/>
    </row>
    <row r="191" spans="4:14" x14ac:dyDescent="0.25">
      <c r="E191" t="e">
        <v>#DIV/0!</v>
      </c>
      <c r="F191" t="e">
        <v>#DIV/0!</v>
      </c>
      <c r="G191" t="e">
        <v>#DIV/0!</v>
      </c>
      <c r="H191" t="e">
        <v>#DIV/0!</v>
      </c>
      <c r="I191" t="e">
        <v>#DIV/0!</v>
      </c>
      <c r="J191" t="e">
        <v>#DIV/0!</v>
      </c>
      <c r="K191">
        <v>0.62668063558582154</v>
      </c>
      <c r="L191">
        <v>0.57883708748035612</v>
      </c>
      <c r="M191">
        <v>0.53081892788545482</v>
      </c>
      <c r="N191">
        <v>1.2302978723404256</v>
      </c>
    </row>
    <row r="192" spans="4:14" x14ac:dyDescent="0.25">
      <c r="E192" t="e">
        <v>#DIV/0!</v>
      </c>
      <c r="F192" t="e">
        <v>#DIV/0!</v>
      </c>
      <c r="G192" t="e">
        <v>#DIV/0!</v>
      </c>
      <c r="H192" t="e">
        <v>#DIV/0!</v>
      </c>
      <c r="I192" t="e">
        <v>#DIV/0!</v>
      </c>
      <c r="J192" t="e">
        <v>#DIV/0!</v>
      </c>
      <c r="K192">
        <v>0.11981053218166619</v>
      </c>
      <c r="L192">
        <v>0.1297134238310709</v>
      </c>
      <c r="M192">
        <v>0.14144736842105263</v>
      </c>
      <c r="N192">
        <v>0.19507470946319866</v>
      </c>
    </row>
    <row r="193" spans="4:14" x14ac:dyDescent="0.25">
      <c r="D193" s="99" t="s">
        <v>304</v>
      </c>
      <c r="E193" s="101"/>
      <c r="F193" s="101"/>
      <c r="G193" s="101"/>
      <c r="H193" s="101"/>
      <c r="I193" s="101"/>
      <c r="J193" s="101"/>
      <c r="K193" s="101"/>
      <c r="L193" s="101"/>
      <c r="M193" s="101"/>
      <c r="N193" s="101"/>
    </row>
    <row r="194" spans="4:14" x14ac:dyDescent="0.25">
      <c r="D194" s="98" t="str">
        <f>+DetailedDataSheet!B1</f>
        <v>BHARAT DYNAMICS LTD</v>
      </c>
      <c r="E194" s="105"/>
      <c r="F194" s="105"/>
      <c r="G194" s="105"/>
      <c r="H194" s="105"/>
      <c r="I194" s="105"/>
      <c r="J194" s="105"/>
      <c r="K194" s="105"/>
      <c r="L194" s="105"/>
      <c r="M194" s="105"/>
      <c r="N194" s="105"/>
    </row>
    <row r="195" spans="4:14" x14ac:dyDescent="0.25">
      <c r="D195" s="96"/>
      <c r="E195" s="96"/>
      <c r="F195" s="96"/>
      <c r="G195" s="96"/>
      <c r="H195" s="96"/>
      <c r="I195" s="96"/>
      <c r="J195" s="96"/>
      <c r="K195" s="96"/>
      <c r="L195" s="96"/>
      <c r="M195" s="96"/>
      <c r="N195" s="96"/>
    </row>
    <row r="196" spans="4:14" x14ac:dyDescent="0.25">
      <c r="D196" s="96"/>
      <c r="E196" s="96"/>
      <c r="F196" s="96"/>
      <c r="G196" s="96"/>
      <c r="H196" s="96"/>
      <c r="I196" s="96"/>
      <c r="J196" s="96"/>
      <c r="K196" s="96"/>
      <c r="L196" s="96"/>
      <c r="M196" s="96"/>
      <c r="N196" s="96"/>
    </row>
    <row r="197" spans="4:14" x14ac:dyDescent="0.25">
      <c r="D197" s="96"/>
      <c r="E197" s="96"/>
      <c r="F197" s="96"/>
      <c r="G197" s="96"/>
      <c r="H197" s="96"/>
      <c r="I197" s="96"/>
      <c r="J197" s="96"/>
      <c r="K197" s="96"/>
      <c r="L197" s="96"/>
      <c r="M197" s="96"/>
      <c r="N197" s="96"/>
    </row>
    <row r="200" spans="4:14" x14ac:dyDescent="0.25">
      <c r="D200" s="99" t="s">
        <v>313</v>
      </c>
      <c r="E200" s="101"/>
      <c r="F200" s="101"/>
      <c r="G200" s="101"/>
      <c r="H200" s="101"/>
      <c r="I200" s="101"/>
      <c r="J200" s="101"/>
      <c r="K200" s="101"/>
      <c r="L200" s="101"/>
      <c r="M200" s="101"/>
      <c r="N200" s="101"/>
    </row>
    <row r="201" spans="4:14" x14ac:dyDescent="0.25">
      <c r="D201" s="98" t="str">
        <f>+DetailedDataSheet!B1</f>
        <v>BHARAT DYNAMICS LTD</v>
      </c>
      <c r="E201" s="103"/>
      <c r="F201" s="103"/>
      <c r="G201" s="103"/>
      <c r="H201" s="103"/>
      <c r="I201" s="103"/>
      <c r="J201" s="103"/>
      <c r="K201" s="103"/>
      <c r="L201" s="103"/>
      <c r="M201" s="103"/>
      <c r="N201" s="103"/>
    </row>
    <row r="202" spans="4:14" x14ac:dyDescent="0.25">
      <c r="D202" s="96" t="s">
        <v>316</v>
      </c>
      <c r="E202" s="96" t="e">
        <v>#DIV/0!</v>
      </c>
      <c r="F202" s="96" t="e">
        <v>#DIV/0!</v>
      </c>
      <c r="G202" s="96" t="e">
        <v>#DIV/0!</v>
      </c>
      <c r="H202" s="96" t="e">
        <v>#DIV/0!</v>
      </c>
      <c r="I202" s="96" t="e">
        <v>#DIV/0!</v>
      </c>
      <c r="J202" s="96" t="e">
        <v>#DIV/0!</v>
      </c>
      <c r="K202" s="96">
        <v>0.27210112315579382</v>
      </c>
      <c r="L202" s="96">
        <v>0.2858207403299598</v>
      </c>
      <c r="M202" s="96">
        <v>0.23702538358198402</v>
      </c>
      <c r="N202" s="96">
        <v>0.17561219096834813</v>
      </c>
    </row>
    <row r="203" spans="4:14" x14ac:dyDescent="0.25">
      <c r="D203" s="96"/>
      <c r="E203" s="96"/>
      <c r="F203" s="96"/>
      <c r="G203" s="96"/>
      <c r="H203" s="96"/>
      <c r="I203" s="96"/>
      <c r="J203" s="96"/>
      <c r="K203" s="96"/>
      <c r="L203" s="96"/>
      <c r="M203" s="96"/>
      <c r="N203" s="96"/>
    </row>
    <row r="204" spans="4:14" x14ac:dyDescent="0.25">
      <c r="D204" s="96"/>
      <c r="E204" s="96"/>
      <c r="F204" s="96"/>
      <c r="G204" s="96"/>
      <c r="H204" s="96"/>
      <c r="I204" s="96"/>
      <c r="J204" s="96"/>
      <c r="K204" s="96"/>
      <c r="L204" s="96"/>
      <c r="M204" s="96"/>
      <c r="N204" s="96"/>
    </row>
    <row r="207" spans="4:14" x14ac:dyDescent="0.25">
      <c r="D207" s="99" t="s">
        <v>330</v>
      </c>
      <c r="E207" s="101"/>
      <c r="F207" s="101"/>
      <c r="G207" s="101"/>
      <c r="H207" s="101"/>
      <c r="I207" s="101"/>
      <c r="J207" s="101"/>
      <c r="K207" s="101"/>
      <c r="L207" s="101"/>
      <c r="M207" s="101"/>
      <c r="N207" s="101"/>
    </row>
    <row r="208" spans="4:14" x14ac:dyDescent="0.25">
      <c r="D208" s="98" t="str">
        <f>+DetailedDataSheet!B1</f>
        <v>BHARAT DYNAMICS LTD</v>
      </c>
      <c r="E208" s="96"/>
      <c r="F208" s="96"/>
      <c r="G208" s="96"/>
      <c r="H208" s="96"/>
      <c r="I208" s="96"/>
      <c r="J208" s="96"/>
      <c r="K208" s="96"/>
      <c r="L208" s="96"/>
      <c r="M208" s="96"/>
      <c r="N208" s="96"/>
    </row>
    <row r="209" spans="4:14" x14ac:dyDescent="0.25">
      <c r="D209" s="96"/>
      <c r="E209" s="96"/>
      <c r="F209" s="96"/>
      <c r="G209" s="96"/>
      <c r="H209" s="96"/>
      <c r="I209" s="96"/>
      <c r="J209" s="96"/>
      <c r="K209" s="96"/>
      <c r="L209" s="96"/>
      <c r="M209" s="96"/>
      <c r="N209" s="96"/>
    </row>
    <row r="210" spans="4:14" x14ac:dyDescent="0.25">
      <c r="D210" s="96"/>
      <c r="E210" s="96"/>
      <c r="F210" s="96"/>
      <c r="G210" s="96"/>
      <c r="H210" s="96"/>
      <c r="I210" s="96"/>
      <c r="J210" s="96"/>
      <c r="K210" s="96"/>
      <c r="L210" s="96"/>
      <c r="M210" s="96"/>
      <c r="N210" s="96"/>
    </row>
    <row r="211" spans="4:14" x14ac:dyDescent="0.25">
      <c r="D211" s="96"/>
      <c r="E211" s="96"/>
      <c r="F211" s="96"/>
      <c r="G211" s="96"/>
      <c r="H211" s="96"/>
      <c r="I211" s="96"/>
      <c r="J211" s="96"/>
      <c r="K211" s="96"/>
      <c r="L211" s="96"/>
      <c r="M211" s="96"/>
      <c r="N211" s="96"/>
    </row>
    <row r="214" spans="4:14" x14ac:dyDescent="0.25">
      <c r="D214" s="99" t="s">
        <v>314</v>
      </c>
      <c r="E214" s="101"/>
      <c r="F214" s="101"/>
      <c r="G214" s="101"/>
      <c r="H214" s="101"/>
      <c r="I214" s="101"/>
      <c r="J214" s="101"/>
      <c r="K214" s="101"/>
      <c r="L214" s="101"/>
      <c r="M214" s="101"/>
      <c r="N214" s="101"/>
    </row>
    <row r="215" spans="4:14" x14ac:dyDescent="0.25">
      <c r="D215" s="98" t="str">
        <f>+DetailedDataSheet!B1</f>
        <v>BHARAT DYNAMICS LTD</v>
      </c>
      <c r="E215" s="102"/>
      <c r="F215" s="102"/>
      <c r="G215" s="102"/>
      <c r="H215" s="102"/>
      <c r="I215" s="102"/>
      <c r="J215" s="102"/>
      <c r="K215" s="102"/>
      <c r="L215" s="102"/>
      <c r="M215" s="102"/>
      <c r="N215" s="102"/>
    </row>
    <row r="216" spans="4:14" x14ac:dyDescent="0.25">
      <c r="D216" s="96" t="s">
        <v>316</v>
      </c>
      <c r="E216" s="96"/>
      <c r="F216" s="96" t="e">
        <v>#DIV/0!</v>
      </c>
      <c r="G216" s="96" t="e">
        <v>#DIV/0!</v>
      </c>
      <c r="H216" s="96" t="e">
        <v>#DIV/0!</v>
      </c>
      <c r="I216" s="96" t="e">
        <v>#DIV/0!</v>
      </c>
      <c r="J216" s="96" t="e">
        <v>#DIV/0!</v>
      </c>
      <c r="K216" s="96">
        <v>18.33350225877447</v>
      </c>
      <c r="L216" s="96">
        <v>39.521833169573924</v>
      </c>
      <c r="M216" s="96">
        <v>41.989942528735632</v>
      </c>
      <c r="N216" s="96">
        <v>30.458454918079322</v>
      </c>
    </row>
    <row r="217" spans="4:14" x14ac:dyDescent="0.25">
      <c r="D217" s="96"/>
      <c r="E217" s="96"/>
      <c r="F217" s="96"/>
      <c r="G217" s="96"/>
      <c r="H217" s="96"/>
      <c r="I217" s="96"/>
      <c r="J217" s="96"/>
      <c r="K217" s="96"/>
      <c r="L217" s="96"/>
      <c r="M217" s="96"/>
      <c r="N217" s="96"/>
    </row>
    <row r="218" spans="4:14" x14ac:dyDescent="0.25">
      <c r="D218" s="96"/>
      <c r="E218" s="96"/>
      <c r="F218" s="96"/>
      <c r="G218" s="96"/>
      <c r="H218" s="96"/>
      <c r="I218" s="96"/>
      <c r="J218" s="96"/>
      <c r="K218" s="96"/>
      <c r="L218" s="96"/>
      <c r="M218" s="96"/>
      <c r="N218" s="96"/>
    </row>
    <row r="221" spans="4:14" x14ac:dyDescent="0.25">
      <c r="D221" s="99" t="s">
        <v>331</v>
      </c>
      <c r="E221" s="101"/>
      <c r="F221" s="101"/>
      <c r="G221" s="101"/>
      <c r="H221" s="101"/>
      <c r="I221" s="101"/>
      <c r="J221" s="101"/>
      <c r="K221" s="101"/>
      <c r="L221" s="101"/>
      <c r="M221" s="101"/>
      <c r="N221" s="101"/>
    </row>
    <row r="222" spans="4:14" x14ac:dyDescent="0.25">
      <c r="D222" s="98" t="str">
        <f>+DetailedDataSheet!B1</f>
        <v>BHARAT DYNAMICS LTD</v>
      </c>
      <c r="E222" s="98"/>
      <c r="F222" s="98"/>
      <c r="G222" s="98"/>
      <c r="H222" s="98"/>
      <c r="I222" s="98"/>
      <c r="J222" s="98"/>
      <c r="K222" s="98"/>
      <c r="L222" s="98"/>
      <c r="M222" s="98"/>
      <c r="N222" s="98"/>
    </row>
    <row r="223" spans="4:14" x14ac:dyDescent="0.25">
      <c r="D223" s="96" t="s">
        <v>316</v>
      </c>
      <c r="E223" s="96">
        <v>0</v>
      </c>
      <c r="F223" s="96">
        <v>0</v>
      </c>
      <c r="G223" s="96">
        <v>0</v>
      </c>
      <c r="H223" s="96">
        <v>0</v>
      </c>
      <c r="I223" s="96">
        <v>0</v>
      </c>
      <c r="J223" s="96">
        <v>0</v>
      </c>
      <c r="K223" s="96">
        <v>261.12</v>
      </c>
      <c r="L223" s="96">
        <v>362.61</v>
      </c>
      <c r="M223" s="96">
        <v>353.71</v>
      </c>
      <c r="N223" s="96">
        <v>354.36</v>
      </c>
    </row>
    <row r="224" spans="4:14" x14ac:dyDescent="0.25">
      <c r="D224" s="96"/>
      <c r="E224" s="96"/>
      <c r="F224" s="96"/>
      <c r="G224" s="96"/>
      <c r="H224" s="96"/>
      <c r="I224" s="96"/>
      <c r="J224" s="96"/>
      <c r="K224" s="96"/>
      <c r="L224" s="96"/>
      <c r="M224" s="96"/>
      <c r="N224" s="96"/>
    </row>
    <row r="225" spans="4:14" x14ac:dyDescent="0.25">
      <c r="D225" s="96"/>
      <c r="E225" s="96"/>
      <c r="F225" s="96"/>
      <c r="G225" s="96"/>
      <c r="H225" s="96"/>
      <c r="I225" s="96"/>
      <c r="J225" s="96"/>
      <c r="K225" s="96"/>
      <c r="L225" s="96"/>
      <c r="M225" s="96"/>
      <c r="N225" s="96"/>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4" r:id="rId4" name="Button 2">
              <controlPr defaultSize="0" print="0" autoFill="0" autoPict="0" macro="[1]!GetDataFromFile">
                <anchor moveWithCells="1" sizeWithCells="1">
                  <from>
                    <xdr:col>0</xdr:col>
                    <xdr:colOff>600075</xdr:colOff>
                    <xdr:row>1</xdr:row>
                    <xdr:rowOff>180975</xdr:rowOff>
                  </from>
                  <to>
                    <xdr:col>3</xdr:col>
                    <xdr:colOff>19050</xdr:colOff>
                    <xdr:row>3</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Instructions</vt:lpstr>
      <vt:lpstr>Description</vt:lpstr>
      <vt:lpstr>Dr Vijay Malik Analysis</vt:lpstr>
      <vt:lpstr>Version History</vt:lpstr>
      <vt:lpstr>Data Sheet</vt:lpstr>
      <vt:lpstr>DetailedDataSheet</vt:lpstr>
      <vt:lpstr>Graphs</vt:lpstr>
      <vt:lpstr>Compare</vt:lpstr>
      <vt:lpstr>DetailedDataSheet!UPDATE</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Vijay Malik</dc:creator>
  <cp:lastModifiedBy>Harsha, Sri</cp:lastModifiedBy>
  <cp:lastPrinted>2012-12-06T18:14:13Z</cp:lastPrinted>
  <dcterms:created xsi:type="dcterms:W3CDTF">2012-08-17T09:55:37Z</dcterms:created>
  <dcterms:modified xsi:type="dcterms:W3CDTF">2022-10-20T12:18:41Z</dcterms:modified>
  <cp:version>1.4</cp:version>
</cp:coreProperties>
</file>