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dfc79da4630876e/Documentos/Cursos/TripleTen Data Science/Other Projects/Loyalty/"/>
    </mc:Choice>
  </mc:AlternateContent>
  <xr:revisionPtr revIDLastSave="169" documentId="14_{4FEFE232-9FEA-4455-A662-D3C8E73F77D1}" xr6:coauthVersionLast="47" xr6:coauthVersionMax="47" xr10:uidLastSave="{9D06ED00-1347-45D0-8213-EA0C602B894A}"/>
  <bookViews>
    <workbookView xWindow="-120" yWindow="-120" windowWidth="29040" windowHeight="15840" tabRatio="845" activeTab="4" xr2:uid="{00000000-000D-0000-FFFF-FFFF00000000}"/>
  </bookViews>
  <sheets>
    <sheet name="Premises" sheetId="5" r:id="rId1"/>
    <sheet name="Model" sheetId="1" r:id="rId2"/>
    <sheet name="Program 1 - Actuals" sheetId="10" r:id="rId3"/>
    <sheet name="Program 1 - Projection" sheetId="12" r:id="rId4"/>
    <sheet name="Program 1 - Growth" sheetId="17" r:id="rId5"/>
    <sheet name="Program 2 - Actuals" sheetId="11" r:id="rId6"/>
    <sheet name="Program 2 - Projection" sheetId="13" r:id="rId7"/>
    <sheet name="Program 2 - Growth" sheetId="15" r:id="rId8"/>
    <sheet name="Waterfall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" l="1"/>
  <c r="Q103" i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O23" i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O97" i="1"/>
  <c r="N97" i="1"/>
  <c r="N96" i="1"/>
  <c r="N95" i="1" s="1"/>
  <c r="O96" i="1"/>
  <c r="O95" i="1" s="1"/>
  <c r="N99" i="1"/>
  <c r="O99" i="1"/>
  <c r="N100" i="1"/>
  <c r="O100" i="1"/>
  <c r="AE98" i="1"/>
  <c r="AE97" i="1" s="1"/>
  <c r="AD98" i="1"/>
  <c r="AD97" i="1" s="1"/>
  <c r="AC98" i="1"/>
  <c r="AC97" i="1" s="1"/>
  <c r="AB98" i="1"/>
  <c r="AB97" i="1" s="1"/>
  <c r="AA98" i="1"/>
  <c r="AA97" i="1" s="1"/>
  <c r="Z98" i="1"/>
  <c r="Z97" i="1" s="1"/>
  <c r="Y98" i="1"/>
  <c r="Y97" i="1" s="1"/>
  <c r="X98" i="1"/>
  <c r="X97" i="1" s="1"/>
  <c r="W98" i="1"/>
  <c r="W97" i="1" s="1"/>
  <c r="V98" i="1"/>
  <c r="V97" i="1" s="1"/>
  <c r="U98" i="1"/>
  <c r="U97" i="1" s="1"/>
  <c r="T98" i="1"/>
  <c r="T97" i="1" s="1"/>
  <c r="S98" i="1"/>
  <c r="S97" i="1" s="1"/>
  <c r="R98" i="1"/>
  <c r="R97" i="1" s="1"/>
  <c r="Q98" i="1"/>
  <c r="Q97" i="1" s="1"/>
  <c r="P98" i="1"/>
  <c r="P97" i="1" s="1"/>
  <c r="AE96" i="1"/>
  <c r="AE95" i="1" s="1"/>
  <c r="AD96" i="1"/>
  <c r="AD95" i="1" s="1"/>
  <c r="AC96" i="1"/>
  <c r="AC95" i="1" s="1"/>
  <c r="AB96" i="1"/>
  <c r="AB95" i="1" s="1"/>
  <c r="AA96" i="1"/>
  <c r="AA95" i="1" s="1"/>
  <c r="Z96" i="1"/>
  <c r="Z95" i="1" s="1"/>
  <c r="Y96" i="1"/>
  <c r="Y95" i="1" s="1"/>
  <c r="X96" i="1"/>
  <c r="X95" i="1" s="1"/>
  <c r="W96" i="1"/>
  <c r="W95" i="1" s="1"/>
  <c r="V96" i="1"/>
  <c r="V95" i="1" s="1"/>
  <c r="U96" i="1"/>
  <c r="U95" i="1" s="1"/>
  <c r="T96" i="1"/>
  <c r="T95" i="1" s="1"/>
  <c r="S96" i="1"/>
  <c r="S95" i="1" s="1"/>
  <c r="R96" i="1"/>
  <c r="R95" i="1" s="1"/>
  <c r="Q96" i="1"/>
  <c r="Q95" i="1" s="1"/>
  <c r="P96" i="1"/>
  <c r="P95" i="1" s="1"/>
  <c r="Y100" i="1" l="1"/>
  <c r="X100" i="1"/>
  <c r="W100" i="1"/>
  <c r="V100" i="1"/>
  <c r="U100" i="1"/>
  <c r="T100" i="1"/>
  <c r="S100" i="1"/>
  <c r="R100" i="1"/>
  <c r="Q100" i="1"/>
  <c r="Y99" i="1"/>
  <c r="X99" i="1"/>
  <c r="W99" i="1"/>
  <c r="V99" i="1"/>
  <c r="U99" i="1"/>
  <c r="T99" i="1"/>
  <c r="S99" i="1"/>
  <c r="R99" i="1"/>
  <c r="Q99" i="1"/>
  <c r="P100" i="1"/>
  <c r="P99" i="1"/>
  <c r="P8" i="5"/>
  <c r="C20" i="5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E39" i="1"/>
  <c r="AD39" i="1"/>
  <c r="AC39" i="1"/>
  <c r="AB39" i="1"/>
  <c r="AB43" i="1" s="1"/>
  <c r="AB44" i="1" l="1"/>
  <c r="Q8" i="5"/>
  <c r="P9" i="5"/>
  <c r="O9" i="5"/>
  <c r="AE13" i="1"/>
  <c r="AD13" i="1"/>
  <c r="AC13" i="1"/>
  <c r="AB13" i="1"/>
  <c r="AA13" i="1"/>
  <c r="Z13" i="1"/>
  <c r="R8" i="5" l="1"/>
  <c r="Q9" i="5"/>
  <c r="Z78" i="1"/>
  <c r="AA78" i="1" s="1"/>
  <c r="AA69" i="1"/>
  <c r="AB69" i="1"/>
  <c r="AC69" i="1"/>
  <c r="AD69" i="1"/>
  <c r="AE69" i="1"/>
  <c r="AA71" i="1"/>
  <c r="AB71" i="1"/>
  <c r="AC71" i="1"/>
  <c r="AD71" i="1"/>
  <c r="AE71" i="1"/>
  <c r="Z71" i="1"/>
  <c r="Z70" i="1"/>
  <c r="Z69" i="1"/>
  <c r="A75" i="1"/>
  <c r="A74" i="1"/>
  <c r="A73" i="1"/>
  <c r="A71" i="1"/>
  <c r="A70" i="1"/>
  <c r="A69" i="1"/>
  <c r="A66" i="1"/>
  <c r="Z66" i="1"/>
  <c r="AA66" i="1" s="1"/>
  <c r="AB66" i="1" s="1"/>
  <c r="AC66" i="1" s="1"/>
  <c r="AD66" i="1" s="1"/>
  <c r="AE66" i="1" s="1"/>
  <c r="AE81" i="1" s="1"/>
  <c r="AE59" i="1"/>
  <c r="AD59" i="1"/>
  <c r="AC59" i="1"/>
  <c r="AB59" i="1"/>
  <c r="AA59" i="1"/>
  <c r="Z59" i="1"/>
  <c r="AE57" i="1"/>
  <c r="AD57" i="1"/>
  <c r="AC57" i="1"/>
  <c r="AB57" i="1"/>
  <c r="AA57" i="1"/>
  <c r="Z57" i="1"/>
  <c r="AA56" i="1"/>
  <c r="AA68" i="1" s="1"/>
  <c r="AB56" i="1"/>
  <c r="AB68" i="1" s="1"/>
  <c r="AC56" i="1"/>
  <c r="AC68" i="1" s="1"/>
  <c r="AD56" i="1"/>
  <c r="AD68" i="1" s="1"/>
  <c r="AE56" i="1"/>
  <c r="AE68" i="1" s="1"/>
  <c r="AF56" i="1"/>
  <c r="AF68" i="1" s="1"/>
  <c r="AG56" i="1"/>
  <c r="AG68" i="1" s="1"/>
  <c r="AH56" i="1"/>
  <c r="AH68" i="1" s="1"/>
  <c r="AI56" i="1"/>
  <c r="AI68" i="1" s="1"/>
  <c r="AJ56" i="1"/>
  <c r="AJ68" i="1" s="1"/>
  <c r="AK56" i="1"/>
  <c r="AK68" i="1" s="1"/>
  <c r="Z58" i="1"/>
  <c r="Z56" i="1"/>
  <c r="Z68" i="1" s="1"/>
  <c r="E8" i="5"/>
  <c r="D8" i="5"/>
  <c r="AC43" i="1" l="1"/>
  <c r="AC44" i="1"/>
  <c r="AD44" i="1"/>
  <c r="AD43" i="1"/>
  <c r="F8" i="5"/>
  <c r="AC81" i="1"/>
  <c r="R9" i="5"/>
  <c r="S8" i="5"/>
  <c r="AA82" i="1"/>
  <c r="AB78" i="1"/>
  <c r="Z82" i="1"/>
  <c r="AD81" i="1"/>
  <c r="AA81" i="1"/>
  <c r="Z81" i="1"/>
  <c r="AB81" i="1"/>
  <c r="AG22" i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G21" i="1"/>
  <c r="AH21" i="1" s="1"/>
  <c r="AI21" i="1" s="1"/>
  <c r="AJ21" i="1" s="1"/>
  <c r="AK21" i="1" s="1"/>
  <c r="AL21" i="1" s="1"/>
  <c r="AG20" i="1"/>
  <c r="AH20" i="1" s="1"/>
  <c r="AF7" i="1"/>
  <c r="AG47" i="1"/>
  <c r="AG46" i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G48" i="1"/>
  <c r="AF31" i="1"/>
  <c r="G8" i="5" l="1"/>
  <c r="H8" i="5" s="1"/>
  <c r="I8" i="5" s="1"/>
  <c r="J8" i="5" s="1"/>
  <c r="K8" i="5" s="1"/>
  <c r="L8" i="5" s="1"/>
  <c r="M8" i="5" s="1"/>
  <c r="N8" i="5" s="1"/>
  <c r="AE44" i="1"/>
  <c r="AE43" i="1"/>
  <c r="AA83" i="1"/>
  <c r="AM21" i="1"/>
  <c r="S9" i="5"/>
  <c r="T8" i="5"/>
  <c r="Z83" i="1"/>
  <c r="AF39" i="1"/>
  <c r="AF71" i="1"/>
  <c r="AC78" i="1"/>
  <c r="AB82" i="1"/>
  <c r="AB83" i="1" s="1"/>
  <c r="AF13" i="1"/>
  <c r="AF59" i="1"/>
  <c r="AG31" i="1"/>
  <c r="AH47" i="1"/>
  <c r="AI47" i="1" s="1"/>
  <c r="AJ47" i="1" s="1"/>
  <c r="AK47" i="1" s="1"/>
  <c r="AL47" i="1" s="1"/>
  <c r="AM47" i="1" s="1"/>
  <c r="AN47" i="1" s="1"/>
  <c r="AO47" i="1" s="1"/>
  <c r="AP47" i="1" s="1"/>
  <c r="AI20" i="1"/>
  <c r="AG7" i="1"/>
  <c r="AH48" i="1"/>
  <c r="AN21" i="1" l="1"/>
  <c r="T9" i="5"/>
  <c r="U8" i="5"/>
  <c r="AD78" i="1"/>
  <c r="AC82" i="1"/>
  <c r="AC83" i="1" s="1"/>
  <c r="AF43" i="1"/>
  <c r="AF44" i="1"/>
  <c r="AG71" i="1"/>
  <c r="AG39" i="1"/>
  <c r="AG59" i="1"/>
  <c r="AG13" i="1"/>
  <c r="AQ47" i="1"/>
  <c r="AH7" i="1"/>
  <c r="AI48" i="1"/>
  <c r="AH31" i="1"/>
  <c r="AJ20" i="1"/>
  <c r="AO21" i="1" l="1"/>
  <c r="AP21" i="1" s="1"/>
  <c r="AQ21" i="1" s="1"/>
  <c r="AR21" i="1" s="1"/>
  <c r="AS21" i="1" s="1"/>
  <c r="AT21" i="1" s="1"/>
  <c r="AU21" i="1" s="1"/>
  <c r="AV21" i="1" s="1"/>
  <c r="AW21" i="1" s="1"/>
  <c r="V8" i="5"/>
  <c r="U9" i="5"/>
  <c r="AH71" i="1"/>
  <c r="AH39" i="1"/>
  <c r="AG43" i="1"/>
  <c r="AG44" i="1"/>
  <c r="AE78" i="1"/>
  <c r="AD82" i="1"/>
  <c r="AD83" i="1" s="1"/>
  <c r="AH59" i="1"/>
  <c r="AH13" i="1"/>
  <c r="AR47" i="1"/>
  <c r="AK20" i="1"/>
  <c r="AL20" i="1" s="1"/>
  <c r="AL7" i="1" s="1"/>
  <c r="AL95" i="1" s="1"/>
  <c r="AI31" i="1"/>
  <c r="AI7" i="1"/>
  <c r="AJ48" i="1"/>
  <c r="C9" i="5"/>
  <c r="D9" i="5"/>
  <c r="E9" i="5"/>
  <c r="F9" i="5"/>
  <c r="G9" i="5"/>
  <c r="H9" i="5"/>
  <c r="I9" i="5"/>
  <c r="Z49" i="1"/>
  <c r="Z100" i="1" s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N9" i="5"/>
  <c r="M9" i="5"/>
  <c r="L9" i="5"/>
  <c r="K9" i="5"/>
  <c r="J9" i="5"/>
  <c r="AA5" i="5"/>
  <c r="AB5" i="5" s="1"/>
  <c r="I5" i="5" s="1"/>
  <c r="AA4" i="5"/>
  <c r="AB4" i="5" s="1"/>
  <c r="V9" i="5" l="1"/>
  <c r="W8" i="5"/>
  <c r="AF78" i="1"/>
  <c r="AE82" i="1"/>
  <c r="AE83" i="1" s="1"/>
  <c r="AI71" i="1"/>
  <c r="AI39" i="1"/>
  <c r="AH44" i="1"/>
  <c r="AH43" i="1"/>
  <c r="AI59" i="1"/>
  <c r="AI13" i="1"/>
  <c r="AM20" i="1"/>
  <c r="AM7" i="1" s="1"/>
  <c r="AM95" i="1" s="1"/>
  <c r="AS47" i="1"/>
  <c r="AJ31" i="1"/>
  <c r="AJ7" i="1"/>
  <c r="AK48" i="1"/>
  <c r="AL48" i="1" s="1"/>
  <c r="AL31" i="1" s="1"/>
  <c r="J5" i="5"/>
  <c r="AF30" i="1"/>
  <c r="AF29" i="1" s="1"/>
  <c r="I4" i="5"/>
  <c r="AF6" i="1" s="1"/>
  <c r="AF5" i="1" s="1"/>
  <c r="AF57" i="1" s="1"/>
  <c r="BH29" i="1"/>
  <c r="BH30" i="1"/>
  <c r="P52" i="1"/>
  <c r="Y13" i="1"/>
  <c r="X13" i="1"/>
  <c r="W13" i="1"/>
  <c r="V13" i="1"/>
  <c r="U13" i="1"/>
  <c r="T13" i="1"/>
  <c r="S13" i="1"/>
  <c r="R13" i="1"/>
  <c r="Q13" i="1"/>
  <c r="P13" i="1"/>
  <c r="O13" i="1"/>
  <c r="N13" i="1"/>
  <c r="Y52" i="1"/>
  <c r="X52" i="1"/>
  <c r="W52" i="1"/>
  <c r="V52" i="1"/>
  <c r="U52" i="1"/>
  <c r="T52" i="1"/>
  <c r="S52" i="1"/>
  <c r="R52" i="1"/>
  <c r="Q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53" i="1" s="1"/>
  <c r="AA35" i="1"/>
  <c r="AA70" i="1" s="1"/>
  <c r="AA8" i="1"/>
  <c r="AB17" i="1" l="1"/>
  <c r="AB18" i="1" s="1"/>
  <c r="AF17" i="1"/>
  <c r="AF18" i="1" s="1"/>
  <c r="AC14" i="1"/>
  <c r="AC17" i="1"/>
  <c r="AC18" i="1" s="1"/>
  <c r="AG14" i="1"/>
  <c r="AG17" i="1"/>
  <c r="AG18" i="1" s="1"/>
  <c r="Z17" i="1"/>
  <c r="AD17" i="1"/>
  <c r="AD18" i="1" s="1"/>
  <c r="AH14" i="1"/>
  <c r="AA17" i="1"/>
  <c r="AA18" i="1" s="1"/>
  <c r="AE17" i="1"/>
  <c r="AE18" i="1" s="1"/>
  <c r="AF69" i="1"/>
  <c r="AH17" i="1"/>
  <c r="AH18" i="1" s="1"/>
  <c r="AA58" i="1"/>
  <c r="AL39" i="1"/>
  <c r="AL97" i="1"/>
  <c r="AI17" i="1"/>
  <c r="AI14" i="1"/>
  <c r="X8" i="5"/>
  <c r="W9" i="5"/>
  <c r="AG78" i="1"/>
  <c r="AF82" i="1"/>
  <c r="Z14" i="1"/>
  <c r="AD14" i="1"/>
  <c r="AA14" i="1"/>
  <c r="AE14" i="1"/>
  <c r="AB14" i="1"/>
  <c r="AF14" i="1"/>
  <c r="AM48" i="1"/>
  <c r="AM31" i="1" s="1"/>
  <c r="AL13" i="1"/>
  <c r="AJ71" i="1"/>
  <c r="AJ39" i="1"/>
  <c r="AI44" i="1"/>
  <c r="AI43" i="1"/>
  <c r="AJ59" i="1"/>
  <c r="AJ13" i="1"/>
  <c r="AN20" i="1"/>
  <c r="AN7" i="1" s="1"/>
  <c r="AN95" i="1" s="1"/>
  <c r="AT47" i="1"/>
  <c r="AK7" i="1"/>
  <c r="AK31" i="1"/>
  <c r="AK39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AE73" i="1"/>
  <c r="AE74" i="1"/>
  <c r="AB35" i="1"/>
  <c r="AA49" i="1"/>
  <c r="AA100" i="1" s="1"/>
  <c r="D13" i="5"/>
  <c r="AB73" i="1"/>
  <c r="AC73" i="1"/>
  <c r="AD73" i="1"/>
  <c r="AD74" i="1"/>
  <c r="AB8" i="1"/>
  <c r="AJ95" i="1"/>
  <c r="AG95" i="1"/>
  <c r="AF95" i="1"/>
  <c r="AH95" i="1"/>
  <c r="K5" i="5"/>
  <c r="AG30" i="1"/>
  <c r="AG29" i="1" s="1"/>
  <c r="J4" i="5"/>
  <c r="AG6" i="1" s="1"/>
  <c r="AG5" i="1" s="1"/>
  <c r="AG57" i="1" s="1"/>
  <c r="AA25" i="1" l="1"/>
  <c r="AG69" i="1"/>
  <c r="AB50" i="1"/>
  <c r="AB49" i="1"/>
  <c r="Z25" i="1"/>
  <c r="Z18" i="1"/>
  <c r="Z24" i="1" s="1"/>
  <c r="AI18" i="1"/>
  <c r="AB58" i="1"/>
  <c r="AB25" i="1"/>
  <c r="AL40" i="1"/>
  <c r="AM97" i="1"/>
  <c r="AM39" i="1"/>
  <c r="AJ17" i="1"/>
  <c r="Y8" i="5"/>
  <c r="X9" i="5"/>
  <c r="AC35" i="1"/>
  <c r="AC50" i="1" s="1"/>
  <c r="AB70" i="1"/>
  <c r="AK43" i="1"/>
  <c r="AK44" i="1"/>
  <c r="AJ43" i="1"/>
  <c r="AJ44" i="1"/>
  <c r="AM13" i="1"/>
  <c r="AN48" i="1"/>
  <c r="AN31" i="1" s="1"/>
  <c r="AJ14" i="1"/>
  <c r="AH78" i="1"/>
  <c r="AH82" i="1" s="1"/>
  <c r="AG82" i="1"/>
  <c r="AO20" i="1"/>
  <c r="AK59" i="1"/>
  <c r="AK13" i="1"/>
  <c r="AU47" i="1"/>
  <c r="AK97" i="1"/>
  <c r="AK71" i="1"/>
  <c r="AD75" i="1"/>
  <c r="AE75" i="1"/>
  <c r="AC74" i="1"/>
  <c r="AC75" i="1" s="1"/>
  <c r="AB100" i="1"/>
  <c r="AB74" i="1"/>
  <c r="AB75" i="1" s="1"/>
  <c r="AK95" i="1"/>
  <c r="E10" i="5"/>
  <c r="G10" i="5"/>
  <c r="H10" i="5"/>
  <c r="F10" i="5"/>
  <c r="AF73" i="1"/>
  <c r="AI95" i="1"/>
  <c r="AC8" i="1"/>
  <c r="AJ97" i="1"/>
  <c r="AF97" i="1"/>
  <c r="AG97" i="1"/>
  <c r="AH97" i="1"/>
  <c r="AI97" i="1"/>
  <c r="L5" i="5"/>
  <c r="AH30" i="1"/>
  <c r="AH29" i="1" s="1"/>
  <c r="K4" i="5"/>
  <c r="AH6" i="1" s="1"/>
  <c r="AH5" i="1" s="1"/>
  <c r="AH57" i="1" s="1"/>
  <c r="Z53" i="1"/>
  <c r="AE30" i="1"/>
  <c r="AD30" i="1"/>
  <c r="AC30" i="1"/>
  <c r="AC49" i="1" l="1"/>
  <c r="AC100" i="1" s="1"/>
  <c r="AH69" i="1"/>
  <c r="AJ18" i="1"/>
  <c r="AC58" i="1"/>
  <c r="AC25" i="1"/>
  <c r="AM17" i="1"/>
  <c r="AM18" i="1" s="1"/>
  <c r="AK17" i="1"/>
  <c r="AK18" i="1" s="1"/>
  <c r="AN97" i="1"/>
  <c r="AN39" i="1"/>
  <c r="AM44" i="1"/>
  <c r="AM43" i="1"/>
  <c r="AM40" i="1"/>
  <c r="AL17" i="1"/>
  <c r="Z8" i="5"/>
  <c r="Z9" i="5" s="1"/>
  <c r="Y9" i="5"/>
  <c r="AL43" i="1"/>
  <c r="AL44" i="1"/>
  <c r="AD35" i="1"/>
  <c r="AD50" i="1" s="1"/>
  <c r="AC70" i="1"/>
  <c r="AM14" i="1"/>
  <c r="AK14" i="1"/>
  <c r="AL14" i="1"/>
  <c r="AN13" i="1"/>
  <c r="AO48" i="1"/>
  <c r="AP20" i="1"/>
  <c r="AV47" i="1"/>
  <c r="AF74" i="1"/>
  <c r="AF75" i="1" s="1"/>
  <c r="AF62" i="1"/>
  <c r="AF61" i="1"/>
  <c r="AB61" i="1"/>
  <c r="AD62" i="1"/>
  <c r="AD61" i="1"/>
  <c r="I10" i="5"/>
  <c r="AG73" i="1"/>
  <c r="AD8" i="1"/>
  <c r="M5" i="5"/>
  <c r="AI30" i="1"/>
  <c r="AI29" i="1" s="1"/>
  <c r="L4" i="5"/>
  <c r="AI6" i="1" s="1"/>
  <c r="AI5" i="1" s="1"/>
  <c r="AI57" i="1" s="1"/>
  <c r="AA53" i="1"/>
  <c r="AB53" i="1" s="1"/>
  <c r="AC53" i="1" s="1"/>
  <c r="AD53" i="1" s="1"/>
  <c r="AE53" i="1" s="1"/>
  <c r="AI69" i="1" l="1"/>
  <c r="AL18" i="1"/>
  <c r="AD58" i="1"/>
  <c r="AD25" i="1"/>
  <c r="AN44" i="1"/>
  <c r="AN43" i="1"/>
  <c r="AN40" i="1"/>
  <c r="AN17" i="1"/>
  <c r="AN14" i="1"/>
  <c r="AO7" i="1"/>
  <c r="AO31" i="1"/>
  <c r="AP48" i="1"/>
  <c r="AE35" i="1"/>
  <c r="AE50" i="1" s="1"/>
  <c r="AD70" i="1"/>
  <c r="AD49" i="1"/>
  <c r="AD100" i="1" s="1"/>
  <c r="AQ20" i="1"/>
  <c r="AD63" i="1"/>
  <c r="AF63" i="1"/>
  <c r="AW47" i="1"/>
  <c r="AG74" i="1"/>
  <c r="AG75" i="1" s="1"/>
  <c r="AG62" i="1"/>
  <c r="AG61" i="1"/>
  <c r="AH62" i="1"/>
  <c r="AH61" i="1"/>
  <c r="AK62" i="1"/>
  <c r="AK61" i="1"/>
  <c r="AJ62" i="1"/>
  <c r="AJ61" i="1"/>
  <c r="AB24" i="1"/>
  <c r="AB99" i="1" s="1"/>
  <c r="AB62" i="1"/>
  <c r="AB63" i="1" s="1"/>
  <c r="Z61" i="1"/>
  <c r="AA61" i="1"/>
  <c r="AI62" i="1"/>
  <c r="AI61" i="1"/>
  <c r="AE62" i="1"/>
  <c r="AE61" i="1"/>
  <c r="AC61" i="1"/>
  <c r="J10" i="5"/>
  <c r="AH73" i="1"/>
  <c r="AE8" i="1"/>
  <c r="AD24" i="1"/>
  <c r="AD99" i="1" s="1"/>
  <c r="N5" i="5"/>
  <c r="AK30" i="1" s="1"/>
  <c r="AJ30" i="1"/>
  <c r="AJ29" i="1" s="1"/>
  <c r="M4" i="5"/>
  <c r="AJ6" i="1" s="1"/>
  <c r="AJ5" i="1" s="1"/>
  <c r="AJ57" i="1" s="1"/>
  <c r="AE6" i="1"/>
  <c r="AD6" i="1"/>
  <c r="AC6" i="1"/>
  <c r="AJ69" i="1" l="1"/>
  <c r="AE58" i="1"/>
  <c r="AE25" i="1"/>
  <c r="AN18" i="1"/>
  <c r="AO39" i="1"/>
  <c r="AO97" i="1"/>
  <c r="AO13" i="1"/>
  <c r="AO14" i="1" s="1"/>
  <c r="AO95" i="1"/>
  <c r="AE63" i="1"/>
  <c r="AP7" i="1"/>
  <c r="AP31" i="1"/>
  <c r="AQ48" i="1"/>
  <c r="AF35" i="1"/>
  <c r="AF50" i="1" s="1"/>
  <c r="AE70" i="1"/>
  <c r="AE49" i="1"/>
  <c r="AE100" i="1" s="1"/>
  <c r="AR20" i="1"/>
  <c r="AK29" i="1"/>
  <c r="AL30" i="1"/>
  <c r="AK63" i="1"/>
  <c r="AG63" i="1"/>
  <c r="AI63" i="1"/>
  <c r="AJ63" i="1"/>
  <c r="AH63" i="1"/>
  <c r="AH74" i="1"/>
  <c r="AH75" i="1" s="1"/>
  <c r="AA24" i="1"/>
  <c r="AA99" i="1" s="1"/>
  <c r="AA62" i="1"/>
  <c r="AA63" i="1" s="1"/>
  <c r="AC24" i="1"/>
  <c r="AC99" i="1" s="1"/>
  <c r="AC62" i="1"/>
  <c r="AC63" i="1" s="1"/>
  <c r="Z99" i="1"/>
  <c r="Z62" i="1"/>
  <c r="Z63" i="1" s="1"/>
  <c r="K10" i="5"/>
  <c r="AI73" i="1"/>
  <c r="AF8" i="1"/>
  <c r="AF25" i="1" s="1"/>
  <c r="AE24" i="1"/>
  <c r="AE99" i="1" s="1"/>
  <c r="N4" i="5"/>
  <c r="AK6" i="1" s="1"/>
  <c r="Z34" i="1"/>
  <c r="Y34" i="1"/>
  <c r="X34" i="1"/>
  <c r="W34" i="1"/>
  <c r="V34" i="1"/>
  <c r="U34" i="1"/>
  <c r="T34" i="1"/>
  <c r="S34" i="1"/>
  <c r="R34" i="1"/>
  <c r="Q34" i="1"/>
  <c r="P34" i="1"/>
  <c r="AK69" i="1" l="1"/>
  <c r="AP97" i="1"/>
  <c r="AP39" i="1"/>
  <c r="AO44" i="1"/>
  <c r="AO43" i="1"/>
  <c r="AO40" i="1"/>
  <c r="AO17" i="1"/>
  <c r="AP13" i="1"/>
  <c r="AP17" i="1" s="1"/>
  <c r="AP95" i="1"/>
  <c r="AQ7" i="1"/>
  <c r="AQ31" i="1"/>
  <c r="AR48" i="1"/>
  <c r="AG35" i="1"/>
  <c r="AG50" i="1" s="1"/>
  <c r="AF70" i="1"/>
  <c r="AF49" i="1"/>
  <c r="AF100" i="1" s="1"/>
  <c r="AS20" i="1"/>
  <c r="AM30" i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L29" i="1"/>
  <c r="AK5" i="1"/>
  <c r="AK57" i="1" s="1"/>
  <c r="AL6" i="1"/>
  <c r="AI74" i="1"/>
  <c r="AI75" i="1" s="1"/>
  <c r="AG8" i="1"/>
  <c r="AG25" i="1" s="1"/>
  <c r="AF58" i="1"/>
  <c r="L10" i="5"/>
  <c r="AJ73" i="1"/>
  <c r="AE33" i="1"/>
  <c r="AA33" i="1"/>
  <c r="Z33" i="1"/>
  <c r="Y33" i="1"/>
  <c r="X33" i="1"/>
  <c r="W33" i="1"/>
  <c r="V33" i="1"/>
  <c r="U33" i="1"/>
  <c r="T33" i="1"/>
  <c r="S33" i="1"/>
  <c r="R33" i="1"/>
  <c r="Q33" i="1"/>
  <c r="P33" i="1"/>
  <c r="AB33" i="1"/>
  <c r="AP18" i="1" l="1"/>
  <c r="AO18" i="1"/>
  <c r="AP14" i="1"/>
  <c r="AP44" i="1"/>
  <c r="AP43" i="1"/>
  <c r="AP40" i="1"/>
  <c r="AQ97" i="1"/>
  <c r="AQ39" i="1"/>
  <c r="AQ13" i="1"/>
  <c r="AQ95" i="1"/>
  <c r="AH35" i="1"/>
  <c r="AH50" i="1" s="1"/>
  <c r="AG70" i="1"/>
  <c r="AG49" i="1"/>
  <c r="AG100" i="1" s="1"/>
  <c r="AR7" i="1"/>
  <c r="AR31" i="1"/>
  <c r="AS48" i="1"/>
  <c r="AT20" i="1"/>
  <c r="AM6" i="1"/>
  <c r="AL5" i="1"/>
  <c r="AJ74" i="1"/>
  <c r="AJ75" i="1" s="1"/>
  <c r="AH8" i="1"/>
  <c r="AH25" i="1" s="1"/>
  <c r="AG58" i="1"/>
  <c r="M10" i="5"/>
  <c r="AK73" i="1"/>
  <c r="AF34" i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F32" i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D33" i="1"/>
  <c r="AC33" i="1"/>
  <c r="AR97" i="1" l="1"/>
  <c r="AR39" i="1"/>
  <c r="AQ44" i="1"/>
  <c r="AQ43" i="1"/>
  <c r="AQ40" i="1"/>
  <c r="AQ17" i="1"/>
  <c r="AQ14" i="1"/>
  <c r="AR13" i="1"/>
  <c r="AR17" i="1" s="1"/>
  <c r="AR95" i="1"/>
  <c r="AS7" i="1"/>
  <c r="AT48" i="1"/>
  <c r="AS31" i="1"/>
  <c r="AI35" i="1"/>
  <c r="AI50" i="1" s="1"/>
  <c r="AH70" i="1"/>
  <c r="AH49" i="1"/>
  <c r="AH100" i="1" s="1"/>
  <c r="AU20" i="1"/>
  <c r="AN6" i="1"/>
  <c r="AM5" i="1"/>
  <c r="AK74" i="1"/>
  <c r="AK75" i="1" s="1"/>
  <c r="N10" i="5"/>
  <c r="AI8" i="1"/>
  <c r="AI25" i="1" s="1"/>
  <c r="AH58" i="1"/>
  <c r="AF33" i="1"/>
  <c r="AG33" i="1"/>
  <c r="AQ18" i="1" l="1"/>
  <c r="AS39" i="1"/>
  <c r="AS97" i="1"/>
  <c r="AR43" i="1"/>
  <c r="AR44" i="1"/>
  <c r="AR40" i="1"/>
  <c r="AR18" i="1"/>
  <c r="AS13" i="1"/>
  <c r="AS17" i="1" s="1"/>
  <c r="AS95" i="1"/>
  <c r="AR14" i="1"/>
  <c r="AJ35" i="1"/>
  <c r="AJ50" i="1" s="1"/>
  <c r="AI70" i="1"/>
  <c r="AI49" i="1"/>
  <c r="AT7" i="1"/>
  <c r="AT31" i="1"/>
  <c r="AU48" i="1"/>
  <c r="AV20" i="1"/>
  <c r="AO6" i="1"/>
  <c r="AN5" i="1"/>
  <c r="AJ8" i="1"/>
  <c r="AJ25" i="1" s="1"/>
  <c r="AI58" i="1"/>
  <c r="AH33" i="1"/>
  <c r="AT39" i="1" l="1"/>
  <c r="AT97" i="1"/>
  <c r="AS44" i="1"/>
  <c r="AS43" i="1"/>
  <c r="AS40" i="1"/>
  <c r="AT13" i="1"/>
  <c r="AT17" i="1" s="1"/>
  <c r="AT95" i="1"/>
  <c r="AS18" i="1"/>
  <c r="AS14" i="1"/>
  <c r="AI77" i="1"/>
  <c r="AI78" i="1" s="1"/>
  <c r="AI82" i="1" s="1"/>
  <c r="AI100" i="1"/>
  <c r="AU7" i="1"/>
  <c r="AU31" i="1"/>
  <c r="AV48" i="1"/>
  <c r="AK35" i="1"/>
  <c r="AK50" i="1" s="1"/>
  <c r="AJ70" i="1"/>
  <c r="AJ49" i="1"/>
  <c r="AW20" i="1"/>
  <c r="AP6" i="1"/>
  <c r="AO5" i="1"/>
  <c r="AK8" i="1"/>
  <c r="AK25" i="1" s="1"/>
  <c r="AJ58" i="1"/>
  <c r="AI33" i="1"/>
  <c r="AU97" i="1" l="1"/>
  <c r="AU39" i="1"/>
  <c r="AT44" i="1"/>
  <c r="AT43" i="1"/>
  <c r="AT40" i="1"/>
  <c r="AT14" i="1"/>
  <c r="AT18" i="1"/>
  <c r="AU13" i="1"/>
  <c r="AU17" i="1" s="1"/>
  <c r="AU95" i="1"/>
  <c r="AJ77" i="1"/>
  <c r="AJ78" i="1" s="1"/>
  <c r="AJ82" i="1" s="1"/>
  <c r="AJ100" i="1"/>
  <c r="AV7" i="1"/>
  <c r="AW48" i="1"/>
  <c r="AV31" i="1"/>
  <c r="AK58" i="1"/>
  <c r="AL8" i="1"/>
  <c r="AL25" i="1" s="1"/>
  <c r="AL35" i="1"/>
  <c r="AL50" i="1" s="1"/>
  <c r="AK70" i="1"/>
  <c r="AK49" i="1"/>
  <c r="AQ6" i="1"/>
  <c r="AP5" i="1"/>
  <c r="AJ33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V97" i="1" l="1"/>
  <c r="AV39" i="1"/>
  <c r="AU44" i="1"/>
  <c r="AU43" i="1"/>
  <c r="AU40" i="1"/>
  <c r="AV13" i="1"/>
  <c r="AV17" i="1" s="1"/>
  <c r="AV95" i="1"/>
  <c r="AU14" i="1"/>
  <c r="AU18" i="1"/>
  <c r="AK77" i="1"/>
  <c r="AK78" i="1" s="1"/>
  <c r="AK82" i="1" s="1"/>
  <c r="AK100" i="1"/>
  <c r="AM35" i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L49" i="1"/>
  <c r="AW7" i="1"/>
  <c r="AW31" i="1"/>
  <c r="AM8" i="1"/>
  <c r="AM25" i="1" s="1"/>
  <c r="AL24" i="1"/>
  <c r="AR6" i="1"/>
  <c r="AQ5" i="1"/>
  <c r="AK33" i="1"/>
  <c r="AB6" i="1"/>
  <c r="AA6" i="1"/>
  <c r="Z6" i="1"/>
  <c r="AL100" i="1" l="1"/>
  <c r="AL99" i="1"/>
  <c r="AW39" i="1"/>
  <c r="AW97" i="1"/>
  <c r="AV44" i="1"/>
  <c r="AV43" i="1"/>
  <c r="AV40" i="1"/>
  <c r="AW13" i="1"/>
  <c r="AW17" i="1" s="1"/>
  <c r="AW95" i="1"/>
  <c r="AV14" i="1"/>
  <c r="AV18" i="1"/>
  <c r="AL52" i="1"/>
  <c r="AL53" i="1" s="1"/>
  <c r="AN8" i="1"/>
  <c r="AN25" i="1" s="1"/>
  <c r="AM24" i="1"/>
  <c r="AM99" i="1" s="1"/>
  <c r="AS6" i="1"/>
  <c r="AR5" i="1"/>
  <c r="AL33" i="1"/>
  <c r="Y6" i="1"/>
  <c r="X6" i="1"/>
  <c r="W6" i="1"/>
  <c r="V6" i="1"/>
  <c r="U6" i="1"/>
  <c r="T6" i="1"/>
  <c r="S6" i="1"/>
  <c r="R6" i="1"/>
  <c r="Q6" i="1"/>
  <c r="P6" i="1"/>
  <c r="O6" i="1"/>
  <c r="N6" i="1"/>
  <c r="AW43" i="1" l="1"/>
  <c r="AW44" i="1"/>
  <c r="AW40" i="1"/>
  <c r="AW14" i="1"/>
  <c r="AW18" i="1"/>
  <c r="AO8" i="1"/>
  <c r="AO25" i="1" s="1"/>
  <c r="AN24" i="1"/>
  <c r="AT6" i="1"/>
  <c r="AS5" i="1"/>
  <c r="AM33" i="1"/>
  <c r="AN99" i="1" l="1"/>
  <c r="AP8" i="1"/>
  <c r="AP25" i="1" s="1"/>
  <c r="AO24" i="1"/>
  <c r="AO99" i="1" s="1"/>
  <c r="AU6" i="1"/>
  <c r="AT5" i="1"/>
  <c r="AN33" i="1"/>
  <c r="AQ8" i="1" l="1"/>
  <c r="AQ25" i="1" s="1"/>
  <c r="AP24" i="1"/>
  <c r="AP99" i="1" s="1"/>
  <c r="AV6" i="1"/>
  <c r="AU5" i="1"/>
  <c r="AF24" i="1"/>
  <c r="AO33" i="1"/>
  <c r="AV5" i="1" l="1"/>
  <c r="AW6" i="1"/>
  <c r="AF65" i="1"/>
  <c r="AF66" i="1" s="1"/>
  <c r="AF81" i="1" s="1"/>
  <c r="AF83" i="1" s="1"/>
  <c r="AF99" i="1"/>
  <c r="AR8" i="1"/>
  <c r="AR25" i="1" s="1"/>
  <c r="AQ24" i="1"/>
  <c r="AG24" i="1"/>
  <c r="AP33" i="1"/>
  <c r="AQ99" i="1" l="1"/>
  <c r="AG65" i="1"/>
  <c r="AG66" i="1" s="1"/>
  <c r="AG81" i="1" s="1"/>
  <c r="AG83" i="1" s="1"/>
  <c r="AG99" i="1"/>
  <c r="AS8" i="1"/>
  <c r="AS25" i="1" s="1"/>
  <c r="AR24" i="1"/>
  <c r="AR99" i="1" s="1"/>
  <c r="AH24" i="1"/>
  <c r="AQ33" i="1"/>
  <c r="AH65" i="1" l="1"/>
  <c r="AH66" i="1" s="1"/>
  <c r="AH81" i="1" s="1"/>
  <c r="AH83" i="1" s="1"/>
  <c r="AH99" i="1"/>
  <c r="AT8" i="1"/>
  <c r="AT25" i="1" s="1"/>
  <c r="AS24" i="1"/>
  <c r="AS99" i="1" s="1"/>
  <c r="AI24" i="1"/>
  <c r="AR33" i="1"/>
  <c r="AI65" i="1" l="1"/>
  <c r="AI66" i="1" s="1"/>
  <c r="AI81" i="1" s="1"/>
  <c r="AI83" i="1" s="1"/>
  <c r="AI99" i="1"/>
  <c r="AU8" i="1"/>
  <c r="AU25" i="1" s="1"/>
  <c r="AT24" i="1"/>
  <c r="AT99" i="1" s="1"/>
  <c r="AJ24" i="1"/>
  <c r="AS33" i="1"/>
  <c r="AJ65" i="1" l="1"/>
  <c r="AJ66" i="1" s="1"/>
  <c r="AJ81" i="1" s="1"/>
  <c r="AJ83" i="1" s="1"/>
  <c r="AJ99" i="1"/>
  <c r="AV8" i="1"/>
  <c r="AV25" i="1" s="1"/>
  <c r="AU24" i="1"/>
  <c r="AU99" i="1" s="1"/>
  <c r="AK24" i="1"/>
  <c r="AT33" i="1"/>
  <c r="AK65" i="1" l="1"/>
  <c r="AK66" i="1" s="1"/>
  <c r="AK81" i="1" s="1"/>
  <c r="AK83" i="1" s="1"/>
  <c r="AK99" i="1"/>
  <c r="AW8" i="1"/>
  <c r="AV24" i="1"/>
  <c r="AV99" i="1" s="1"/>
  <c r="AM29" i="1"/>
  <c r="AU33" i="1"/>
  <c r="AM49" i="1" l="1"/>
  <c r="AM50" i="1"/>
  <c r="AN29" i="1"/>
  <c r="AV33" i="1"/>
  <c r="AN49" i="1" l="1"/>
  <c r="AN50" i="1"/>
  <c r="AM100" i="1"/>
  <c r="AM52" i="1"/>
  <c r="AM53" i="1" s="1"/>
  <c r="AO29" i="1"/>
  <c r="AW33" i="1"/>
  <c r="AO49" i="1" l="1"/>
  <c r="AO50" i="1"/>
  <c r="AN100" i="1"/>
  <c r="AN52" i="1"/>
  <c r="AN53" i="1" s="1"/>
  <c r="AO52" i="1"/>
  <c r="AO100" i="1"/>
  <c r="AP29" i="1"/>
  <c r="AW5" i="1"/>
  <c r="AP49" i="1" l="1"/>
  <c r="AP100" i="1" s="1"/>
  <c r="AP50" i="1"/>
  <c r="AO53" i="1"/>
  <c r="AW24" i="1"/>
  <c r="AW25" i="1"/>
  <c r="AL107" i="1" s="1"/>
  <c r="AP52" i="1"/>
  <c r="AQ29" i="1"/>
  <c r="AP53" i="1" l="1"/>
  <c r="AQ49" i="1"/>
  <c r="AQ52" i="1" s="1"/>
  <c r="AQ53" i="1" s="1"/>
  <c r="AQ50" i="1"/>
  <c r="AW99" i="1"/>
  <c r="AL108" i="1"/>
  <c r="AL109" i="1" s="1"/>
  <c r="AR29" i="1"/>
  <c r="AQ100" i="1" l="1"/>
  <c r="AR49" i="1"/>
  <c r="AR100" i="1" s="1"/>
  <c r="AR50" i="1"/>
  <c r="AS29" i="1"/>
  <c r="AR52" i="1" l="1"/>
  <c r="AR53" i="1" s="1"/>
  <c r="AS49" i="1"/>
  <c r="AS52" i="1" s="1"/>
  <c r="AS50" i="1"/>
  <c r="AT29" i="1"/>
  <c r="AS53" i="1" l="1"/>
  <c r="AT49" i="1"/>
  <c r="AT52" i="1" s="1"/>
  <c r="AT50" i="1"/>
  <c r="AS100" i="1"/>
  <c r="AU29" i="1"/>
  <c r="AT100" i="1" l="1"/>
  <c r="AT53" i="1"/>
  <c r="AU49" i="1"/>
  <c r="AU52" i="1" s="1"/>
  <c r="AU50" i="1"/>
  <c r="AV29" i="1"/>
  <c r="AU53" i="1" l="1"/>
  <c r="AV49" i="1"/>
  <c r="AV52" i="1" s="1"/>
  <c r="AV53" i="1" s="1"/>
  <c r="AV50" i="1"/>
  <c r="AU100" i="1"/>
  <c r="AW29" i="1"/>
  <c r="AW50" i="1" s="1"/>
  <c r="AN107" i="1" l="1"/>
  <c r="AV100" i="1"/>
  <c r="AW49" i="1"/>
  <c r="AN108" i="1" s="1"/>
  <c r="AM108" i="1" l="1"/>
  <c r="AN109" i="1"/>
  <c r="AW52" i="1"/>
  <c r="AW53" i="1" s="1"/>
  <c r="AW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Ribeiro</author>
  </authors>
  <commentList>
    <comment ref="D1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Daniel Ribeiro:</t>
        </r>
        <r>
          <rPr>
            <sz val="9"/>
            <color indexed="81"/>
            <rFont val="Tahoma"/>
            <family val="2"/>
          </rPr>
          <t xml:space="preserve">
Average Monthly growth (current month x same month in previous year)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Ribeiro</author>
  </authors>
  <commentList>
    <comment ref="B1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Daniel Ribeiro:</t>
        </r>
        <r>
          <rPr>
            <sz val="9"/>
            <color indexed="81"/>
            <rFont val="Tahoma"/>
            <family val="2"/>
          </rPr>
          <t xml:space="preserve">
Mês corrente contra mesmo mês  do ano passado =&gt; média menos 1 desvio</t>
        </r>
      </text>
    </comment>
  </commentList>
</comments>
</file>

<file path=xl/sharedStrings.xml><?xml version="1.0" encoding="utf-8"?>
<sst xmlns="http://schemas.openxmlformats.org/spreadsheetml/2006/main" count="112" uniqueCount="92">
  <si>
    <t>Fiéis</t>
  </si>
  <si>
    <t>Frequência</t>
  </si>
  <si>
    <t>% Fiéis</t>
  </si>
  <si>
    <t>CELX</t>
  </si>
  <si>
    <t>PA+</t>
  </si>
  <si>
    <t>CAGR</t>
  </si>
  <si>
    <t>CAMGR</t>
  </si>
  <si>
    <t/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</si>
  <si>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</si>
  <si>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</si>
  <si>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</si>
  <si>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</si>
  <si>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</si>
  <si>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</si>
  <si>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</si>
  <si>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</si>
  <si>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</si>
  <si>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</si>
  <si>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</si>
  <si>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</si>
  <si>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</si>
  <si>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</si>
  <si>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</si>
  <si>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</si>
  <si>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</si>
  <si>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</si>
  <si>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</si>
  <si>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</si>
  <si>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</si>
  <si>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</si>
  <si>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Clube Extra</t>
  </si>
  <si>
    <t>Parâmetro 1 - coef do X</t>
  </si>
  <si>
    <t>Parâmetro 2 - expoente</t>
  </si>
  <si>
    <t>Parâmetro 3 - período (x)</t>
  </si>
  <si>
    <t>Programa Mais</t>
  </si>
  <si>
    <t>Uplift Orgânico Histórico</t>
  </si>
  <si>
    <t>EBITDA da Bandeira</t>
  </si>
  <si>
    <t>(+) Uplift Adicional 2015 (Projeto)</t>
  </si>
  <si>
    <t>(=) Uplift Total</t>
  </si>
  <si>
    <t>Base Ativa do Programa (MM)</t>
  </si>
  <si>
    <t>Saving Programa Mais (MBRL)</t>
  </si>
  <si>
    <t>Saving Clube Extra (MBRL)</t>
  </si>
  <si>
    <t>Saving Clube Extra</t>
  </si>
  <si>
    <t>Saving PA+</t>
  </si>
  <si>
    <t>Saving Total</t>
  </si>
  <si>
    <t>Venda Identificada (MBRL)</t>
  </si>
  <si>
    <t>Saving</t>
  </si>
  <si>
    <t>Saldo</t>
  </si>
  <si>
    <t>Total</t>
  </si>
  <si>
    <t>Active Customers Program 1 (projected)</t>
  </si>
  <si>
    <t>Active Customers Program 1 (actual)</t>
  </si>
  <si>
    <t>Active Customers Program 2 (projected)</t>
  </si>
  <si>
    <t>Active Customers Program 2 (actual)</t>
  </si>
  <si>
    <t>Program 1</t>
  </si>
  <si>
    <t>Regular Revenue</t>
  </si>
  <si>
    <t>Revenue from Loyalty</t>
  </si>
  <si>
    <t>% Revenue from Loyalty</t>
  </si>
  <si>
    <t>Active Customers</t>
  </si>
  <si>
    <t>EBITDA %</t>
  </si>
  <si>
    <t>Growth of Active Customer Base</t>
  </si>
  <si>
    <t>Average Growth of Active Customer Base last 12 months</t>
  </si>
  <si>
    <t>Saving Parameters - Program 1 (R² = 81%)</t>
  </si>
  <si>
    <t>Historical Organic Uplift</t>
  </si>
  <si>
    <t>Regressão Type - Exponential (R²= 81%)</t>
  </si>
  <si>
    <t>Parameter 1 - const. Euller</t>
  </si>
  <si>
    <t>Parameter 2 - Expoent</t>
  </si>
  <si>
    <t>Parameter 3 - Euller coefficient</t>
  </si>
  <si>
    <t>Parameter 4 - month (x)</t>
  </si>
  <si>
    <t>Expected Saving from Loyalty</t>
  </si>
  <si>
    <t>Historical Saving from organic uplift</t>
  </si>
  <si>
    <t>Program 2</t>
  </si>
  <si>
    <t>Saving Parameters - Program 2 (R²= 99%)</t>
  </si>
  <si>
    <t>Additional Uplift (due to project)</t>
  </si>
  <si>
    <t>Regression Type - Power (R² = 99%)</t>
  </si>
  <si>
    <t>Total Expected Savings</t>
  </si>
  <si>
    <t>Active customers</t>
  </si>
  <si>
    <t>Historical Saving</t>
  </si>
  <si>
    <t>Additional Saving</t>
  </si>
  <si>
    <t>Cummulative Expected Savings</t>
  </si>
  <si>
    <t>Waterfall</t>
  </si>
  <si>
    <t>Ramp up Loyalty</t>
  </si>
  <si>
    <t>Growth Split - Program 2</t>
  </si>
  <si>
    <t>Growth Split - Program 1</t>
  </si>
  <si>
    <t>Organic Growth %</t>
  </si>
  <si>
    <t>Additional Growth %</t>
  </si>
  <si>
    <t>Inflation 2016</t>
  </si>
  <si>
    <t>Yearly</t>
  </si>
  <si>
    <t>Monthly</t>
  </si>
  <si>
    <t>Average monthly growth 2013-2014</t>
  </si>
  <si>
    <t>Additional Growth comes from the difference between average growth last 12 months and growth current month x same month last year</t>
  </si>
  <si>
    <t>Average Ticket - Not Loyalty</t>
  </si>
  <si>
    <t>Average Ticket - 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</si>
</sst>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  <numFmt numFmtId="167" formatCode="#,##0.0"/>
    <numFmt numFmtId="168" formatCode="#,##0_ ;[Red]\-#,##0\ "/>
    <numFmt numFmtId="169" formatCode="_-* #,##0.0000_-;\-* #,##0.0000_-;_-* &quot;-&quot;??_-;_-@_-"/>
    <numFmt numFmtId="170" formatCode="#,##0.00_ ;[Red]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0" applyNumberFormat="1"/>
    <xf numFmtId="17" fontId="0" fillId="0" borderId="0" xfId="0" applyNumberFormat="1"/>
    <xf numFmtId="3" fontId="6" fillId="0" borderId="1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1" applyNumberFormat="1" applyFont="1"/>
    <xf numFmtId="9" fontId="3" fillId="0" borderId="0" xfId="0" applyNumberFormat="1" applyFont="1"/>
    <xf numFmtId="9" fontId="3" fillId="0" borderId="3" xfId="0" applyNumberFormat="1" applyFont="1" applyBorder="1"/>
    <xf numFmtId="0" fontId="6" fillId="0" borderId="0" xfId="0" applyFont="1"/>
    <xf numFmtId="3" fontId="6" fillId="0" borderId="0" xfId="0" applyNumberFormat="1" applyFont="1"/>
    <xf numFmtId="166" fontId="6" fillId="3" borderId="0" xfId="2" applyNumberFormat="1" applyFont="1" applyFill="1"/>
    <xf numFmtId="3" fontId="6" fillId="3" borderId="0" xfId="0" applyNumberFormat="1" applyFont="1" applyFill="1"/>
    <xf numFmtId="164" fontId="6" fillId="3" borderId="0" xfId="1" applyNumberFormat="1" applyFont="1" applyFill="1"/>
    <xf numFmtId="3" fontId="3" fillId="0" borderId="0" xfId="0" applyNumberFormat="1" applyFont="1"/>
    <xf numFmtId="3" fontId="3" fillId="3" borderId="0" xfId="0" applyNumberFormat="1" applyFont="1" applyFill="1"/>
    <xf numFmtId="164" fontId="3" fillId="3" borderId="0" xfId="1" applyNumberFormat="1" applyFont="1" applyFill="1"/>
    <xf numFmtId="2" fontId="3" fillId="3" borderId="0" xfId="0" applyNumberFormat="1" applyFont="1" applyFill="1"/>
    <xf numFmtId="166" fontId="3" fillId="0" borderId="0" xfId="2" applyNumberFormat="1" applyFont="1"/>
    <xf numFmtId="9" fontId="3" fillId="0" borderId="0" xfId="1" applyFont="1"/>
    <xf numFmtId="0" fontId="7" fillId="4" borderId="0" xfId="0" applyFont="1" applyFill="1"/>
    <xf numFmtId="164" fontId="6" fillId="0" borderId="0" xfId="0" applyNumberFormat="1" applyFont="1"/>
    <xf numFmtId="164" fontId="3" fillId="0" borderId="0" xfId="1" applyNumberFormat="1" applyFont="1" applyFill="1"/>
    <xf numFmtId="2" fontId="3" fillId="0" borderId="0" xfId="0" applyNumberFormat="1" applyFont="1"/>
    <xf numFmtId="167" fontId="3" fillId="0" borderId="0" xfId="0" applyNumberFormat="1" applyFont="1"/>
    <xf numFmtId="10" fontId="3" fillId="0" borderId="0" xfId="0" applyNumberFormat="1" applyFont="1"/>
    <xf numFmtId="168" fontId="6" fillId="0" borderId="0" xfId="0" applyNumberFormat="1" applyFont="1"/>
    <xf numFmtId="43" fontId="3" fillId="0" borderId="0" xfId="2" applyFont="1"/>
    <xf numFmtId="166" fontId="6" fillId="0" borderId="0" xfId="2" applyNumberFormat="1" applyFont="1"/>
    <xf numFmtId="0" fontId="0" fillId="0" borderId="0" xfId="0" applyAlignment="1">
      <alignment horizontal="left" indent="1"/>
    </xf>
    <xf numFmtId="0" fontId="3" fillId="0" borderId="0" xfId="0" quotePrefix="1" applyFont="1"/>
    <xf numFmtId="0" fontId="6" fillId="0" borderId="2" xfId="0" applyFont="1" applyBorder="1"/>
    <xf numFmtId="0" fontId="6" fillId="3" borderId="2" xfId="0" applyFont="1" applyFill="1" applyBorder="1"/>
    <xf numFmtId="164" fontId="6" fillId="0" borderId="0" xfId="1" applyNumberFormat="1" applyFont="1"/>
    <xf numFmtId="164" fontId="6" fillId="0" borderId="0" xfId="1" applyNumberFormat="1" applyFont="1" applyBorder="1" applyAlignment="1">
      <alignment horizontal="center"/>
    </xf>
    <xf numFmtId="168" fontId="6" fillId="0" borderId="0" xfId="2" applyNumberFormat="1" applyFont="1" applyBorder="1"/>
    <xf numFmtId="166" fontId="6" fillId="0" borderId="0" xfId="2" applyNumberFormat="1" applyFont="1" applyBorder="1"/>
    <xf numFmtId="10" fontId="3" fillId="0" borderId="0" xfId="1" applyNumberFormat="1" applyFont="1" applyBorder="1"/>
    <xf numFmtId="10" fontId="3" fillId="0" borderId="0" xfId="1" applyNumberFormat="1" applyFont="1" applyFill="1" applyBorder="1"/>
    <xf numFmtId="166" fontId="8" fillId="5" borderId="0" xfId="2" applyNumberFormat="1" applyFont="1" applyFill="1"/>
    <xf numFmtId="0" fontId="8" fillId="5" borderId="0" xfId="0" applyFont="1" applyFill="1"/>
    <xf numFmtId="166" fontId="8" fillId="5" borderId="0" xfId="0" applyNumberFormat="1" applyFont="1" applyFill="1"/>
    <xf numFmtId="166" fontId="9" fillId="5" borderId="0" xfId="0" applyNumberFormat="1" applyFont="1" applyFill="1"/>
    <xf numFmtId="164" fontId="10" fillId="0" borderId="0" xfId="1" applyNumberFormat="1" applyFont="1" applyBorder="1" applyAlignment="1">
      <alignment horizontal="center"/>
    </xf>
    <xf numFmtId="164" fontId="10" fillId="0" borderId="0" xfId="1" applyNumberFormat="1" applyFont="1" applyFill="1"/>
    <xf numFmtId="164" fontId="10" fillId="3" borderId="0" xfId="1" applyNumberFormat="1" applyFont="1" applyFill="1"/>
    <xf numFmtId="164" fontId="6" fillId="0" borderId="0" xfId="1" applyNumberFormat="1" applyFont="1" applyFill="1" applyBorder="1" applyAlignment="1">
      <alignment horizontal="center"/>
    </xf>
    <xf numFmtId="43" fontId="3" fillId="0" borderId="0" xfId="2" applyFont="1" applyFill="1" applyBorder="1"/>
    <xf numFmtId="166" fontId="3" fillId="0" borderId="0" xfId="2" applyNumberFormat="1" applyFont="1" applyFill="1" applyBorder="1"/>
    <xf numFmtId="169" fontId="3" fillId="0" borderId="0" xfId="2" applyNumberFormat="1" applyFont="1" applyFill="1" applyBorder="1"/>
    <xf numFmtId="10" fontId="0" fillId="0" borderId="0" xfId="0" applyNumberForma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6" fillId="0" borderId="4" xfId="0" applyFont="1" applyBorder="1"/>
    <xf numFmtId="0" fontId="3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4" xfId="0" applyFont="1" applyBorder="1"/>
    <xf numFmtId="3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6" fillId="2" borderId="4" xfId="0" applyFont="1" applyFill="1" applyBorder="1"/>
    <xf numFmtId="0" fontId="6" fillId="2" borderId="5" xfId="0" applyFont="1" applyFill="1" applyBorder="1"/>
    <xf numFmtId="167" fontId="3" fillId="0" borderId="5" xfId="0" applyNumberFormat="1" applyFont="1" applyBorder="1" applyAlignment="1">
      <alignment horizontal="center"/>
    </xf>
    <xf numFmtId="167" fontId="3" fillId="0" borderId="6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70" fontId="6" fillId="2" borderId="5" xfId="0" applyNumberFormat="1" applyFont="1" applyFill="1" applyBorder="1" applyAlignment="1">
      <alignment horizontal="center"/>
    </xf>
    <xf numFmtId="170" fontId="6" fillId="2" borderId="6" xfId="0" applyNumberFormat="1" applyFont="1" applyFill="1" applyBorder="1" applyAlignment="1">
      <alignment horizontal="center"/>
    </xf>
    <xf numFmtId="17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8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166" fontId="6" fillId="0" borderId="0" xfId="2" applyNumberFormat="1" applyFont="1" applyFill="1"/>
    <xf numFmtId="166" fontId="8" fillId="5" borderId="0" xfId="2" applyNumberFormat="1" applyFont="1" applyFill="1" applyBorder="1"/>
    <xf numFmtId="17" fontId="3" fillId="0" borderId="0" xfId="0" applyNumberFormat="1" applyFont="1"/>
    <xf numFmtId="168" fontId="3" fillId="0" borderId="0" xfId="0" applyNumberFormat="1" applyFont="1"/>
    <xf numFmtId="0" fontId="6" fillId="4" borderId="0" xfId="0" applyFont="1" applyFill="1"/>
    <xf numFmtId="0" fontId="6" fillId="4" borderId="2" xfId="0" applyFont="1" applyFill="1" applyBorder="1"/>
    <xf numFmtId="0" fontId="11" fillId="0" borderId="0" xfId="0" applyFont="1"/>
    <xf numFmtId="166" fontId="6" fillId="0" borderId="0" xfId="2" applyNumberFormat="1" applyFont="1" applyBorder="1" applyAlignment="1">
      <alignment horizontal="center"/>
    </xf>
    <xf numFmtId="167" fontId="3" fillId="0" borderId="0" xfId="2" applyNumberFormat="1" applyFont="1"/>
    <xf numFmtId="0" fontId="7" fillId="6" borderId="0" xfId="0" applyFont="1" applyFill="1"/>
    <xf numFmtId="0" fontId="11" fillId="6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3" fontId="6" fillId="0" borderId="0" xfId="2" applyFont="1" applyBorder="1" applyAlignment="1">
      <alignment horizontal="center"/>
    </xf>
    <xf numFmtId="43" fontId="6" fillId="3" borderId="0" xfId="2" applyFont="1" applyFill="1"/>
    <xf numFmtId="43" fontId="12" fillId="0" borderId="0" xfId="2" applyFont="1" applyFill="1" applyBorder="1" applyAlignment="1">
      <alignment horizontal="center"/>
    </xf>
    <xf numFmtId="43" fontId="12" fillId="0" borderId="0" xfId="2" applyFont="1" applyBorder="1" applyAlignment="1">
      <alignment horizontal="center"/>
    </xf>
    <xf numFmtId="43" fontId="12" fillId="0" borderId="0" xfId="2" applyFont="1" applyFill="1"/>
    <xf numFmtId="43" fontId="12" fillId="3" borderId="0" xfId="2" applyFont="1" applyFill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4F81BD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microsoft.com/office/2017/10/relationships/person" Target="persons/perso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Active Customers</a:t>
            </a:r>
            <a:r>
              <a:rPr lang="pt-BR" baseline="0"/>
              <a:t> Program 1</a:t>
            </a:r>
            <a:r>
              <a:rPr lang="pt-BR"/>
              <a:t> (Actuals jan/14 - jun/15)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Model!$B$96</c:f>
              <c:strCache>
                <c:ptCount val="1"/>
                <c:pt idx="0">
                  <c:v>Active Customers Program 1 (actual)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1"/>
                </a:solidFill>
                <a:prstDash val="dash"/>
              </a:ln>
            </c:spPr>
            <c:trendlineType val="exp"/>
            <c:dispRSqr val="1"/>
            <c:dispEq val="1"/>
            <c:trendlineLbl>
              <c:layout>
                <c:manualLayout>
                  <c:x val="1.0985482688306607E-2"/>
                  <c:y val="-5.730603009013730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 b="1"/>
                  </a:pPr>
                  <a:endParaRPr lang="pt-BR"/>
                </a:p>
              </c:txPr>
            </c:trendlineLbl>
          </c:trendline>
          <c:val>
            <c:numRef>
              <c:f>Model!$C$96:$AE$96</c:f>
              <c:numCache>
                <c:formatCode>#,##0</c:formatCode>
                <c:ptCount val="6"/>
                <c:pt idx="0">
                  <c:v>998591</c:v>
                </c:pt>
                <c:pt idx="1">
                  <c:v>980979</c:v>
                </c:pt>
                <c:pt idx="2">
                  <c:v>1033455</c:v>
                </c:pt>
                <c:pt idx="3">
                  <c:v>1068078</c:v>
                </c:pt>
                <c:pt idx="4">
                  <c:v>1068380</c:v>
                </c:pt>
                <c:pt idx="5">
                  <c:v>1060780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C-4AB2-B96D-70D84865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2912"/>
        <c:axId val="75093120"/>
      </c:lineChart>
      <c:catAx>
        <c:axId val="7490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5093120"/>
        <c:crosses val="autoZero"/>
        <c:auto val="1"/>
        <c:lblAlgn val="ctr"/>
        <c:lblOffset val="100"/>
        <c:noMultiLvlLbl val="0"/>
      </c:catAx>
      <c:valAx>
        <c:axId val="75093120"/>
        <c:scaling>
          <c:orientation val="minMax"/>
          <c:min val="8000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49029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Actual Customers Program</a:t>
            </a:r>
            <a:r>
              <a:rPr lang="pt-BR" baseline="0"/>
              <a:t> 1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Model!$B$95</c:f>
              <c:strCache>
                <c:ptCount val="1"/>
                <c:pt idx="0">
                  <c:v>Active Customers Program 1 (projected)</c:v>
                </c:pt>
              </c:strCache>
            </c:strRef>
          </c:tx>
          <c:marker>
            <c:symbol val="none"/>
          </c:marker>
          <c:val>
            <c:numRef>
              <c:f>Model!$N$95:$AW$95</c:f>
              <c:numCache>
                <c:formatCode>#,##0</c:formatCode>
                <c:ptCount val="24"/>
                <c:pt idx="0">
                  <c:v>998591</c:v>
                </c:pt>
                <c:pt idx="1">
                  <c:v>980979</c:v>
                </c:pt>
                <c:pt idx="2">
                  <c:v>1033455</c:v>
                </c:pt>
                <c:pt idx="3">
                  <c:v>1068078</c:v>
                </c:pt>
                <c:pt idx="4">
                  <c:v>1068380</c:v>
                </c:pt>
                <c:pt idx="5">
                  <c:v>1060780</c:v>
                </c:pt>
                <c:pt idx="6">
                  <c:v>1093799.1944002886</c:v>
                </c:pt>
                <c:pt idx="7">
                  <c:v>1107889.8116556779</c:v>
                </c:pt>
                <c:pt idx="8">
                  <c:v>1122161.9480561297</c:v>
                </c:pt>
                <c:pt idx="9">
                  <c:v>1136617.9419803987</c:v>
                </c:pt>
                <c:pt idx="10">
                  <c:v>1151260.161930867</c:v>
                </c:pt>
                <c:pt idx="11">
                  <c:v>1166091.0069216054</c:v>
                </c:pt>
                <c:pt idx="12">
                  <c:v>1181112.9068714336</c:v>
                </c:pt>
                <c:pt idx="13">
                  <c:v>1196328.3230020429</c:v>
                </c:pt>
                <c:pt idx="14">
                  <c:v>1211739.7482412485</c:v>
                </c:pt>
                <c:pt idx="15">
                  <c:v>1227349.7076314366</c:v>
                </c:pt>
                <c:pt idx="16">
                  <c:v>1243160.7587432733</c:v>
                </c:pt>
                <c:pt idx="17">
                  <c:v>1259175.492094741</c:v>
                </c:pt>
                <c:pt idx="18">
                  <c:v>1275396.5315755766</c:v>
                </c:pt>
                <c:pt idx="19">
                  <c:v>1291826.534877175</c:v>
                </c:pt>
                <c:pt idx="20">
                  <c:v>1308468.1939280303</c:v>
                </c:pt>
                <c:pt idx="21">
                  <c:v>1325324.2353347889</c:v>
                </c:pt>
                <c:pt idx="22">
                  <c:v>1342397.4208289809</c:v>
                </c:pt>
                <c:pt idx="23">
                  <c:v>1359690.54771951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8-4C39-B9E5-C11F36A8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90048"/>
        <c:axId val="77491584"/>
      </c:lineChart>
      <c:catAx>
        <c:axId val="7749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7491584"/>
        <c:crosses val="autoZero"/>
        <c:auto val="1"/>
        <c:lblAlgn val="ctr"/>
        <c:lblOffset val="100"/>
        <c:noMultiLvlLbl val="0"/>
      </c:catAx>
      <c:valAx>
        <c:axId val="77491584"/>
        <c:scaling>
          <c:orientation val="minMax"/>
          <c:min val="8000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74900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zero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Program 1 - Historical Growth</a:t>
            </a:r>
            <a:r>
              <a:rPr lang="pt-BR" baseline="0"/>
              <a:t> x Additonal Growth </a:t>
            </a:r>
            <a:r>
              <a:rPr lang="pt-BR"/>
              <a:t>- 2015 Projection</a:t>
            </a:r>
          </a:p>
        </c:rich>
      </c:tx>
      <c:layout>
        <c:manualLayout>
          <c:xMode val="edge"/>
          <c:yMode val="edge"/>
          <c:x val="0.16657610219860669"/>
          <c:y val="1.2676432399430724E-2"/>
        </c:manualLayout>
      </c:layout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Historic Growth</c:v>
          </c:tx>
          <c:spPr>
            <a:solidFill>
              <a:schemeClr val="bg1">
                <a:lumMod val="65000"/>
              </a:schemeClr>
            </a:solidFill>
          </c:spPr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05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Model!$AB$2:$AK$2</c:f>
              <c:strCache>
                <c:ptCount val="10"/>
                <c:pt idx="0">
                  <c:v>1503</c:v>
                </c:pt>
                <c:pt idx="1">
                  <c:v>1504</c:v>
                </c:pt>
                <c:pt idx="2">
                  <c:v>1505</c:v>
                </c:pt>
                <c:pt idx="3">
                  <c:v>1506</c:v>
                </c:pt>
                <c:pt idx="4">
                  <c:v>1507</c:v>
                </c:pt>
                <c:pt idx="5">
                  <c:v>1508</c:v>
                </c:pt>
                <c:pt idx="6">
                  <c:v>1509</c:v>
                </c:pt>
                <c:pt idx="7">
                  <c:v>1510</c:v>
                </c:pt>
                <c:pt idx="8">
                  <c:v>1511</c:v>
                </c:pt>
                <c:pt idx="9">
                  <c:v>1512</c:v>
                </c:pt>
              </c:strCache>
            </c:strRef>
          </c:cat>
          <c:val>
            <c:numRef>
              <c:f>Model!$AB$17:$AK$17</c:f>
              <c:numCache>
                <c:formatCode>0.00%</c:formatCode>
                <c:ptCount val="10"/>
                <c:pt idx="0">
                  <c:v>0.13923148438781383</c:v>
                </c:pt>
                <c:pt idx="1">
                  <c:v>0.14156795517283371</c:v>
                </c:pt>
                <c:pt idx="2">
                  <c:v>0.14807990491601244</c:v>
                </c:pt>
                <c:pt idx="3">
                  <c:v>0.15549165515856067</c:v>
                </c:pt>
                <c:pt idx="4">
                  <c:v>0.16609493884521537</c:v>
                </c:pt>
                <c:pt idx="5">
                  <c:v>0.17228767748859056</c:v>
                </c:pt>
                <c:pt idx="6">
                  <c:v>0.17878972950546324</c:v>
                </c:pt>
                <c:pt idx="7">
                  <c:v>0.17387665745558847</c:v>
                </c:pt>
                <c:pt idx="8">
                  <c:v>0.16757762175277058</c:v>
                </c:pt>
                <c:pt idx="9">
                  <c:v>0.15347813642007127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7-41DD-9C42-300F198D5DD2}"/>
            </c:ext>
          </c:extLst>
        </c:ser>
        <c:ser>
          <c:idx val="1"/>
          <c:order val="1"/>
          <c:tx>
            <c:v>Additional Growth</c:v>
          </c:tx>
          <c:spPr>
            <a:solidFill>
              <a:schemeClr val="accent1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3.1589338598223098E-2"/>
                  <c:y val="-2.5356576862123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97-41DD-9C42-300F198D5DD2}"/>
                </c:ext>
              </c:extLst>
            </c:dLbl>
            <c:dLbl>
              <c:idx val="1"/>
              <c:layout>
                <c:manualLayout>
                  <c:x val="2.7640671273445213E-2"/>
                  <c:y val="-3.8034865293185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97-41DD-9C42-300F198D5DD2}"/>
                </c:ext>
              </c:extLst>
            </c:dLbl>
            <c:dLbl>
              <c:idx val="2"/>
              <c:layout>
                <c:manualLayout>
                  <c:x val="4.3435340572556762E-2"/>
                  <c:y val="-5.0713153724247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97-41DD-9C42-300F198D5DD2}"/>
                </c:ext>
              </c:extLst>
            </c:dLbl>
            <c:dLbl>
              <c:idx val="3"/>
              <c:layout>
                <c:manualLayout>
                  <c:x val="2.1059559065482018E-2"/>
                  <c:y val="-3.1695721077654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97-41DD-9C42-300F198D5DD2}"/>
                </c:ext>
              </c:extLst>
            </c:dLbl>
            <c:dLbl>
              <c:idx val="4"/>
              <c:layout>
                <c:manualLayout>
                  <c:x val="2.6324448831852584E-2"/>
                  <c:y val="-3.1695721077654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97-41DD-9C42-300F198D5DD2}"/>
                </c:ext>
              </c:extLst>
            </c:dLbl>
            <c:dLbl>
              <c:idx val="5"/>
              <c:layout>
                <c:manualLayout>
                  <c:x val="2.5008226390259954E-2"/>
                  <c:y val="-4.0147913365028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97-41DD-9C42-300F198D5DD2}"/>
                </c:ext>
              </c:extLst>
            </c:dLbl>
            <c:dLbl>
              <c:idx val="6"/>
              <c:layout>
                <c:manualLayout>
                  <c:x val="2.3692003948667325E-2"/>
                  <c:y val="-2.7469624933967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97-41DD-9C42-300F198D5DD2}"/>
                </c:ext>
              </c:extLst>
            </c:dLbl>
            <c:dLbl>
              <c:idx val="7"/>
              <c:layout>
                <c:manualLayout>
                  <c:x val="2.7640671273445213E-2"/>
                  <c:y val="-2.5356576862123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97-41DD-9C42-300F198D5DD2}"/>
                </c:ext>
              </c:extLst>
            </c:dLbl>
            <c:dLbl>
              <c:idx val="8"/>
              <c:layout>
                <c:manualLayout>
                  <c:x val="1.5794669299111549E-2"/>
                  <c:y val="-3.8034865293185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97-41DD-9C42-300F198D5DD2}"/>
                </c:ext>
              </c:extLst>
            </c:dLbl>
            <c:dLbl>
              <c:idx val="9"/>
              <c:layout>
                <c:manualLayout>
                  <c:x val="1.3162224415926291E-3"/>
                  <c:y val="-3.1695721077654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97-41DD-9C42-300F198D5D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Model!$AB$2:$AK$2</c:f>
              <c:strCache>
                <c:ptCount val="10"/>
                <c:pt idx="0">
                  <c:v>1503</c:v>
                </c:pt>
                <c:pt idx="1">
                  <c:v>1504</c:v>
                </c:pt>
                <c:pt idx="2">
                  <c:v>1505</c:v>
                </c:pt>
                <c:pt idx="3">
                  <c:v>1506</c:v>
                </c:pt>
                <c:pt idx="4">
                  <c:v>1507</c:v>
                </c:pt>
                <c:pt idx="5">
                  <c:v>1508</c:v>
                </c:pt>
                <c:pt idx="6">
                  <c:v>1509</c:v>
                </c:pt>
                <c:pt idx="7">
                  <c:v>1510</c:v>
                </c:pt>
                <c:pt idx="8">
                  <c:v>1511</c:v>
                </c:pt>
                <c:pt idx="9">
                  <c:v>1512</c:v>
                </c:pt>
              </c:strCache>
            </c:strRef>
          </c:cat>
          <c:val>
            <c:numRef>
              <c:f>Model!$AB$18:$AK$18</c:f>
              <c:numCache>
                <c:formatCode>0.00%</c:formatCode>
                <c:ptCount val="10"/>
                <c:pt idx="0">
                  <c:v>-2.2797698097750396E-3</c:v>
                </c:pt>
                <c:pt idx="1">
                  <c:v>3.13398530992961E-2</c:v>
                </c:pt>
                <c:pt idx="2">
                  <c:v>3.7771745417694874E-2</c:v>
                </c:pt>
                <c:pt idx="3">
                  <c:v>3.088267715777604E-2</c:v>
                </c:pt>
                <c:pt idx="4">
                  <c:v>5.3824396076633751E-2</c:v>
                </c:pt>
                <c:pt idx="5">
                  <c:v>5.7470329664205122E-3</c:v>
                </c:pt>
                <c:pt idx="6">
                  <c:v>1.7274644064827704E-2</c:v>
                </c:pt>
                <c:pt idx="7">
                  <c:v>-4.4233134585390271E-2</c:v>
                </c:pt>
                <c:pt idx="8">
                  <c:v>-4.4119673663274406E-2</c:v>
                </c:pt>
                <c:pt idx="9">
                  <c:v>-9.0726931192394639E-2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97-41DD-9C42-300F198D5D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2052096"/>
        <c:axId val="92238208"/>
      </c:areaChart>
      <c:catAx>
        <c:axId val="9205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92238208"/>
        <c:crosses val="autoZero"/>
        <c:auto val="1"/>
        <c:lblAlgn val="ctr"/>
        <c:lblOffset val="100"/>
        <c:noMultiLvlLbl val="0"/>
      </c:catAx>
      <c:valAx>
        <c:axId val="9223820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9205209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zero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Active Customers Program 2 </a:t>
            </a:r>
            <a:r>
              <a:rPr lang="pt-BR" baseline="0"/>
              <a:t>(Actuals Mar/14-jun/15)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Model!$B$98</c:f>
              <c:strCache>
                <c:ptCount val="1"/>
                <c:pt idx="0">
                  <c:v>Active Customers Program 2 (actual)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C00000"/>
                </a:solidFill>
                <a:prstDash val="dash"/>
              </a:ln>
            </c:spPr>
            <c:trendlineType val="power"/>
            <c:dispRSqr val="1"/>
            <c:dispEq val="1"/>
            <c:trendlineLbl>
              <c:layout>
                <c:manualLayout>
                  <c:x val="-3.1942376119200162E-4"/>
                  <c:y val="-5.056872072565481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 b="1"/>
                  </a:pPr>
                  <a:endParaRPr lang="pt-BR"/>
                </a:p>
              </c:txPr>
            </c:trendlineLbl>
          </c:trendline>
          <c:val>
            <c:numRef>
              <c:f>Model!$P$98:$AE$98</c:f>
              <c:numCache>
                <c:formatCode>#,##0</c:formatCode>
                <c:ptCount val="6"/>
                <c:pt idx="0">
                  <c:v>1850454</c:v>
                </c:pt>
                <c:pt idx="1">
                  <c:v>1868596</c:v>
                </c:pt>
                <c:pt idx="2">
                  <c:v>1952728</c:v>
                </c:pt>
                <c:pt idx="3">
                  <c:v>2036478</c:v>
                </c:pt>
                <c:pt idx="4">
                  <c:v>2022291</c:v>
                </c:pt>
                <c:pt idx="5">
                  <c:v>1979058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2-4DC3-ADA9-3C2692595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20256"/>
        <c:axId val="91415680"/>
      </c:lineChart>
      <c:catAx>
        <c:axId val="775202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91415680"/>
        <c:crosses val="autoZero"/>
        <c:auto val="1"/>
        <c:lblAlgn val="ctr"/>
        <c:lblOffset val="100"/>
        <c:noMultiLvlLbl val="0"/>
      </c:catAx>
      <c:valAx>
        <c:axId val="91415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752025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zero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Active Customers</a:t>
            </a:r>
            <a:r>
              <a:rPr lang="pt-BR" baseline="0"/>
              <a:t> Program 2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Model!$B$97</c:f>
              <c:strCache>
                <c:ptCount val="1"/>
                <c:pt idx="0">
                  <c:v>Active Customers Program 2 (projected)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Model!$P$97:$AW$97</c:f>
              <c:numCache>
                <c:formatCode>#,##0</c:formatCode>
                <c:ptCount val="24"/>
                <c:pt idx="0">
                  <c:v>1850454</c:v>
                </c:pt>
                <c:pt idx="1">
                  <c:v>1868596</c:v>
                </c:pt>
                <c:pt idx="2">
                  <c:v>1952728</c:v>
                </c:pt>
                <c:pt idx="3">
                  <c:v>2036478</c:v>
                </c:pt>
                <c:pt idx="4">
                  <c:v>2022291</c:v>
                </c:pt>
                <c:pt idx="5">
                  <c:v>1979058</c:v>
                </c:pt>
                <c:pt idx="6">
                  <c:v>2179930.6325818538</c:v>
                </c:pt>
                <c:pt idx="7">
                  <c:v>2234530.6765364767</c:v>
                </c:pt>
                <c:pt idx="8">
                  <c:v>2287435.9350820878</c:v>
                </c:pt>
                <c:pt idx="9">
                  <c:v>2338784.2640111051</c:v>
                </c:pt>
                <c:pt idx="10">
                  <c:v>2388696.051992252</c:v>
                </c:pt>
                <c:pt idx="11">
                  <c:v>2437277.1519859922</c:v>
                </c:pt>
                <c:pt idx="12">
                  <c:v>2484621.2109401538</c:v>
                </c:pt>
                <c:pt idx="13">
                  <c:v>2530811.5418779538</c:v>
                </c:pt>
                <c:pt idx="14">
                  <c:v>2575922.6434473936</c:v>
                </c:pt>
                <c:pt idx="15">
                  <c:v>2620021.444665445</c:v>
                </c:pt>
                <c:pt idx="16">
                  <c:v>2663168.333138668</c:v>
                </c:pt>
                <c:pt idx="17">
                  <c:v>2705418.0109939543</c:v>
                </c:pt>
                <c:pt idx="18">
                  <c:v>2746820.2124691447</c:v>
                </c:pt>
                <c:pt idx="19">
                  <c:v>2787420.3094905363</c:v>
                </c:pt>
                <c:pt idx="20">
                  <c:v>2827259.8258487764</c:v>
                </c:pt>
                <c:pt idx="21">
                  <c:v>2866376.8762532393</c:v>
                </c:pt>
                <c:pt idx="22">
                  <c:v>2904806.5432300805</c:v>
                </c:pt>
                <c:pt idx="23">
                  <c:v>2942581.2022686275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D-48D6-863F-F7896B4F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3040"/>
        <c:axId val="91544576"/>
      </c:lineChart>
      <c:catAx>
        <c:axId val="91543040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91544576"/>
        <c:crosses val="autoZero"/>
        <c:auto val="1"/>
        <c:lblAlgn val="ctr"/>
        <c:lblOffset val="100"/>
        <c:noMultiLvlLbl val="0"/>
      </c:catAx>
      <c:valAx>
        <c:axId val="915445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915430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zero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Program 2 - Historical Growth</a:t>
            </a:r>
            <a:r>
              <a:rPr lang="pt-BR" baseline="0"/>
              <a:t> x Additonal Growth </a:t>
            </a:r>
            <a:r>
              <a:rPr lang="pt-BR"/>
              <a:t>- 2015 Projection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Historic Growth</c:v>
          </c:tx>
          <c:spPr>
            <a:solidFill>
              <a:schemeClr val="bg1">
                <a:lumMod val="65000"/>
              </a:schemeClr>
            </a:solidFill>
          </c:spPr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05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Model!$AB$2:$AK$2</c:f>
              <c:strCache>
                <c:ptCount val="10"/>
                <c:pt idx="0">
                  <c:v>1503</c:v>
                </c:pt>
                <c:pt idx="1">
                  <c:v>1504</c:v>
                </c:pt>
                <c:pt idx="2">
                  <c:v>1505</c:v>
                </c:pt>
                <c:pt idx="3">
                  <c:v>1506</c:v>
                </c:pt>
                <c:pt idx="4">
                  <c:v>1507</c:v>
                </c:pt>
                <c:pt idx="5">
                  <c:v>1508</c:v>
                </c:pt>
                <c:pt idx="6">
                  <c:v>1509</c:v>
                </c:pt>
                <c:pt idx="7">
                  <c:v>1510</c:v>
                </c:pt>
                <c:pt idx="8">
                  <c:v>1511</c:v>
                </c:pt>
                <c:pt idx="9">
                  <c:v>1512</c:v>
                </c:pt>
              </c:strCache>
            </c:strRef>
          </c:cat>
          <c:val>
            <c:numRef>
              <c:f>Model!$AB$43:$AK$43</c:f>
              <c:numCache>
                <c:formatCode>0.00%</c:formatCode>
                <c:ptCount val="10"/>
                <c:pt idx="0">
                  <c:v>1.9524899161057547</c:v>
                </c:pt>
                <c:pt idx="1">
                  <c:v>1.190442680645279</c:v>
                </c:pt>
                <c:pt idx="2">
                  <c:v>0.95069644579654211</c:v>
                </c:pt>
                <c:pt idx="3">
                  <c:v>0.76834837565748271</c:v>
                </c:pt>
                <c:pt idx="4">
                  <c:v>0.70642659657311224</c:v>
                </c:pt>
                <c:pt idx="5">
                  <c:v>0.59445849309342391</c:v>
                </c:pt>
                <c:pt idx="6">
                  <c:v>0.55555308794026137</c:v>
                </c:pt>
                <c:pt idx="7">
                  <c:v>0.446368090456365</c:v>
                </c:pt>
                <c:pt idx="8">
                  <c:v>0.35092903351506755</c:v>
                </c:pt>
                <c:pt idx="9">
                  <c:v>0.27539890828597174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C-4C25-8412-B9DDC005B783}"/>
            </c:ext>
          </c:extLst>
        </c:ser>
        <c:ser>
          <c:idx val="1"/>
          <c:order val="1"/>
          <c:tx>
            <c:v>Additional Growth</c:v>
          </c:tx>
          <c:spPr>
            <a:ln w="25400">
              <a:noFill/>
            </a:ln>
          </c:spPr>
          <c:dLbls>
            <c:dLbl>
              <c:idx val="0"/>
              <c:layout>
                <c:manualLayout>
                  <c:x val="3.1589338598223098E-2"/>
                  <c:y val="-2.5356576862123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C-4C25-8412-B9DDC005B783}"/>
                </c:ext>
              </c:extLst>
            </c:dLbl>
            <c:dLbl>
              <c:idx val="1"/>
              <c:layout>
                <c:manualLayout>
                  <c:x val="2.7640671273445213E-2"/>
                  <c:y val="-3.8034865293185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C-4C25-8412-B9DDC005B783}"/>
                </c:ext>
              </c:extLst>
            </c:dLbl>
            <c:dLbl>
              <c:idx val="2"/>
              <c:layout>
                <c:manualLayout>
                  <c:x val="4.3435340572556762E-2"/>
                  <c:y val="-5.0713153724247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C-4C25-8412-B9DDC005B783}"/>
                </c:ext>
              </c:extLst>
            </c:dLbl>
            <c:dLbl>
              <c:idx val="3"/>
              <c:layout>
                <c:manualLayout>
                  <c:x val="2.1059559065482018E-2"/>
                  <c:y val="-3.1695721077654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C-4C25-8412-B9DDC005B783}"/>
                </c:ext>
              </c:extLst>
            </c:dLbl>
            <c:dLbl>
              <c:idx val="4"/>
              <c:layout>
                <c:manualLayout>
                  <c:x val="2.6324448831852584E-2"/>
                  <c:y val="-3.1695721077654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C-4C25-8412-B9DDC005B783}"/>
                </c:ext>
              </c:extLst>
            </c:dLbl>
            <c:dLbl>
              <c:idx val="5"/>
              <c:layout>
                <c:manualLayout>
                  <c:x val="2.5008226390259954E-2"/>
                  <c:y val="-4.0147913365028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C-4C25-8412-B9DDC005B783}"/>
                </c:ext>
              </c:extLst>
            </c:dLbl>
            <c:dLbl>
              <c:idx val="6"/>
              <c:layout>
                <c:manualLayout>
                  <c:x val="2.3692003948667325E-2"/>
                  <c:y val="-2.7469624933967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C-4C25-8412-B9DDC005B783}"/>
                </c:ext>
              </c:extLst>
            </c:dLbl>
            <c:dLbl>
              <c:idx val="7"/>
              <c:layout>
                <c:manualLayout>
                  <c:x val="2.7640671273445213E-2"/>
                  <c:y val="-2.5356576862123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C-4C25-8412-B9DDC005B783}"/>
                </c:ext>
              </c:extLst>
            </c:dLbl>
            <c:dLbl>
              <c:idx val="8"/>
              <c:layout>
                <c:manualLayout>
                  <c:x val="1.5794669299111549E-2"/>
                  <c:y val="-3.8034865293185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C-4C25-8412-B9DDC005B783}"/>
                </c:ext>
              </c:extLst>
            </c:dLbl>
            <c:dLbl>
              <c:idx val="9"/>
              <c:layout>
                <c:manualLayout>
                  <c:x val="1.3162224415926291E-3"/>
                  <c:y val="-3.1695721077654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C-4C25-8412-B9DDC005B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Model!$AB$2:$AK$2</c:f>
              <c:strCache>
                <c:ptCount val="10"/>
                <c:pt idx="0">
                  <c:v>1503</c:v>
                </c:pt>
                <c:pt idx="1">
                  <c:v>1504</c:v>
                </c:pt>
                <c:pt idx="2">
                  <c:v>1505</c:v>
                </c:pt>
                <c:pt idx="3">
                  <c:v>1506</c:v>
                </c:pt>
                <c:pt idx="4">
                  <c:v>1507</c:v>
                </c:pt>
                <c:pt idx="5">
                  <c:v>1508</c:v>
                </c:pt>
                <c:pt idx="6">
                  <c:v>1509</c:v>
                </c:pt>
                <c:pt idx="7">
                  <c:v>1510</c:v>
                </c:pt>
                <c:pt idx="8">
                  <c:v>1511</c:v>
                </c:pt>
                <c:pt idx="9">
                  <c:v>1512</c:v>
                </c:pt>
              </c:strCache>
            </c:strRef>
          </c:cat>
          <c:val>
            <c:numRef>
              <c:f>Model!$AB$44:$AK$44</c:f>
              <c:numCache>
                <c:formatCode>0.00%</c:formatCode>
                <c:ptCount val="10"/>
                <c:pt idx="0">
                  <c:v>0.10276262716346088</c:v>
                </c:pt>
                <c:pt idx="1">
                  <c:v>6.2654877928698963E-2</c:v>
                </c:pt>
                <c:pt idx="2">
                  <c:v>5.0036655041923318E-2</c:v>
                </c:pt>
                <c:pt idx="3">
                  <c:v>4.0439388192499127E-2</c:v>
                </c:pt>
                <c:pt idx="4">
                  <c:v>3.7180347188058571E-2</c:v>
                </c:pt>
                <c:pt idx="5">
                  <c:v>3.1287289110180236E-2</c:v>
                </c:pt>
                <c:pt idx="6">
                  <c:v>2.9239636207382205E-2</c:v>
                </c:pt>
                <c:pt idx="7">
                  <c:v>2.3493057392440286E-2</c:v>
                </c:pt>
                <c:pt idx="8">
                  <c:v>1.8469949132371995E-2</c:v>
                </c:pt>
                <c:pt idx="9">
                  <c:v>1.449467938347221E-2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8C-4C25-8412-B9DDC005B7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2052096"/>
        <c:axId val="92238208"/>
      </c:areaChart>
      <c:catAx>
        <c:axId val="9205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92238208"/>
        <c:crosses val="autoZero"/>
        <c:auto val="1"/>
        <c:lblAlgn val="ctr"/>
        <c:lblOffset val="100"/>
        <c:noMultiLvlLbl val="0"/>
      </c:catAx>
      <c:valAx>
        <c:axId val="9223820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9205209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zero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Saving Composition 2016 (MM)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Model!$AM$106</c:f>
              <c:strCache>
                <c:ptCount val="1"/>
                <c:pt idx="0">
                  <c:v>Saldo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Model!$AK$107:$AK$109</c:f>
              <c:strCache>
                <c:ptCount val="3"/>
                <c:pt idx="0">
                  <c:v>Historical Saving</c:v>
                </c:pt>
                <c:pt idx="1">
                  <c:v>Additional Saving</c:v>
                </c:pt>
                <c:pt idx="2">
                  <c:v>Total</c:v>
                </c:pt>
              </c:strCache>
            </c:strRef>
          </c:cat>
          <c:val>
            <c:numRef>
              <c:f>Model!$AM$107:$AM$109</c:f>
              <c:numCache>
                <c:formatCode>#,##0.0</c:formatCode>
                <c:ptCount val="3"/>
                <c:pt idx="0">
                  <c:v>0</c:v>
                </c:pt>
                <c:pt idx="1">
                  <c:v>361.79680912906565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3-4282-AFD6-32091A2F2DDC}"/>
            </c:ext>
          </c:extLst>
        </c:ser>
        <c:ser>
          <c:idx val="0"/>
          <c:order val="1"/>
          <c:tx>
            <c:strRef>
              <c:f>Model!$AL$106</c:f>
              <c:strCache>
                <c:ptCount val="1"/>
                <c:pt idx="0">
                  <c:v>Program 1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4.437400950871632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A3-4282-AFD6-32091A2F2DDC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Model!$AK$107:$AK$109</c:f>
              <c:strCache>
                <c:ptCount val="3"/>
                <c:pt idx="0">
                  <c:v>Historical Saving</c:v>
                </c:pt>
                <c:pt idx="1">
                  <c:v>Additional Saving</c:v>
                </c:pt>
                <c:pt idx="2">
                  <c:v>Total</c:v>
                </c:pt>
              </c:strCache>
            </c:strRef>
          </c:cat>
          <c:val>
            <c:numRef>
              <c:f>Model!$AL$107:$AL$109</c:f>
              <c:numCache>
                <c:formatCode>#,##0.0</c:formatCode>
                <c:ptCount val="3"/>
                <c:pt idx="0">
                  <c:v>114.04838254995255</c:v>
                </c:pt>
                <c:pt idx="1">
                  <c:v>5.9476669006125151</c:v>
                </c:pt>
                <c:pt idx="2">
                  <c:v>119.99604945056507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3-4282-AFD6-32091A2F2DDC}"/>
            </c:ext>
          </c:extLst>
        </c:ser>
        <c:ser>
          <c:idx val="2"/>
          <c:order val="2"/>
          <c:tx>
            <c:strRef>
              <c:f>Model!$AN$106</c:f>
              <c:strCache>
                <c:ptCount val="1"/>
                <c:pt idx="0">
                  <c:v>Program 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-3.80348652931854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A3-4282-AFD6-32091A2F2DDC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Model!$AN$107:$AN$109</c:f>
              <c:numCache>
                <c:formatCode>#,##0.0</c:formatCode>
                <c:ptCount val="3"/>
                <c:pt idx="0">
                  <c:v>247.74842657911307</c:v>
                </c:pt>
                <c:pt idx="1">
                  <c:v>4.5772067056025438</c:v>
                </c:pt>
                <c:pt idx="2">
                  <c:v>252.32563328471562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A3-4282-AFD6-32091A2F2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261376"/>
        <c:axId val="92263168"/>
      </c:barChart>
      <c:catAx>
        <c:axId val="9226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92263168"/>
        <c:crosses val="autoZero"/>
        <c:auto val="1"/>
        <c:lblAlgn val="ctr"/>
        <c:lblOffset val="100"/>
        <c:noMultiLvlLbl val="0"/>
      </c:catAx>
      <c:valAx>
        <c:axId val="92263168"/>
        <c:scaling>
          <c:orientation val="minMax"/>
          <c:max val="400"/>
        </c:scaling>
        <c:delete val="1"/>
        <c:axPos val="l"/>
        <c:numFmt formatCode="#,##0.0" sourceLinked="1"/>
        <c:majorTickMark val="out"/>
        <c:minorTickMark val="none"/>
        <c:tickLblPos val="nextTo"/>
        <c:crossAx val="922613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4AD699-11CA-4CD9-8532-048B06D11A1A}">
  <sheetPr/>
  <sheetViews>
    <sheetView tabSelected="1"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0.40079</cdr:x>
      <cdr:y>0.94612</cdr:y>
    </cdr:from>
    <cdr:to>
      <cdr:x>0.45706</cdr:x>
      <cdr:y>0.97464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867150" y="5686425"/>
          <a:ext cx="542925" cy="1714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0.07399</cdr:x>
      <cdr:y>0.09022</cdr:y>
    </cdr:from>
    <cdr:to>
      <cdr:x>0.5209</cdr:x>
      <cdr:y>0.89899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714374" y="542925"/>
          <a:ext cx="4314826" cy="4867275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1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0.52188</cdr:x>
      <cdr:y>0.09151</cdr:y>
    </cdr:from>
    <cdr:to>
      <cdr:x>0.98717</cdr:x>
      <cdr:y>0.90029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5038725" y="550718"/>
          <a:ext cx="4492335" cy="486727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1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0.2348</cdr:x>
      <cdr:y>0.10921</cdr:y>
    </cdr:from>
    <cdr:to>
      <cdr:x>0.39462</cdr:x>
      <cdr:y>0.17727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2266950" y="657225"/>
          <a:ext cx="15430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400" b="1"/>
            <a:t>Actual (jan/14-jun/15)</a:t>
          </a:r>
        </a:p>
      </cdr:txBody>
    </cdr:sp>
  </cdr:relSizeAnchor>
  <cdr:relSizeAnchor xmlns:cdr="http://schemas.openxmlformats.org/drawingml/2006/chartDrawing">
    <cdr:from>
      <cdr:x>0.73037</cdr:x>
      <cdr:y>0.10341</cdr:y>
    </cdr:from>
    <cdr:to>
      <cdr:x>0.89019</cdr:x>
      <cdr:y>0.17146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7051675" y="622300"/>
          <a:ext cx="15430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400" b="1"/>
            <a:t>Projected (jul/15-dec/16)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3F3FD5-D9E1-C630-03D8-6B8D592C7B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0.07235</cdr:x>
      <cdr:y>0.08283</cdr:y>
    </cdr:from>
    <cdr:to>
      <cdr:x>0.4913</cdr:x>
      <cdr:y>0.89161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698501" y="498475"/>
          <a:ext cx="4044950" cy="4867275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1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0.49525</cdr:x>
      <cdr:y>0.08412</cdr:y>
    </cdr:from>
    <cdr:to>
      <cdr:x>0.98553</cdr:x>
      <cdr:y>0.8929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4781551" y="506268"/>
          <a:ext cx="4733636" cy="486727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1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0.18679</cdr:x>
      <cdr:y>0.10763</cdr:y>
    </cdr:from>
    <cdr:to>
      <cdr:x>0.34661</cdr:x>
      <cdr:y>0.17568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1803400" y="647700"/>
          <a:ext cx="15430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400" b="1"/>
            <a:t>Actual (mar/14-jun/15)</a:t>
          </a:r>
        </a:p>
      </cdr:txBody>
    </cdr:sp>
  </cdr:relSizeAnchor>
  <cdr:relSizeAnchor xmlns:cdr="http://schemas.openxmlformats.org/drawingml/2006/chartDrawing">
    <cdr:from>
      <cdr:x>0.67348</cdr:x>
      <cdr:y>0.1129</cdr:y>
    </cdr:from>
    <cdr:to>
      <cdr:x>0.8333</cdr:x>
      <cdr:y>0.18096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6502400" y="679450"/>
          <a:ext cx="15430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400" b="1"/>
            <a:t>Projected (jul/15-dec/16)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AB20"/>
  <sheetViews>
    <sheetView workbookViewId="0">
      <selection activeCell="H25" sqref="H25"/>
    </sheetView>
  </sheetViews>
  <sheetFormatPr defaultRowHeight="15" x14ac:dyDescent="0.25"/>
  <cols>
    <col min="2" max="2" width="48.28515625" bestFit="1" customWidth="1"/>
  </cols>
  <sheetData>
    <row r="3" spans="2:28" x14ac:dyDescent="0.25">
      <c r="B3" s="2" t="s">
        <v>80</v>
      </c>
      <c r="C3" s="4">
        <v>42005</v>
      </c>
      <c r="D3" s="4">
        <v>42036</v>
      </c>
      <c r="E3" s="4">
        <v>42064</v>
      </c>
      <c r="F3" s="4">
        <v>42095</v>
      </c>
      <c r="G3" s="4">
        <v>42125</v>
      </c>
      <c r="H3" s="4">
        <v>42156</v>
      </c>
      <c r="I3" s="4">
        <v>42186</v>
      </c>
      <c r="J3" s="4">
        <v>42217</v>
      </c>
      <c r="K3" s="4">
        <v>42248</v>
      </c>
      <c r="L3" s="4">
        <v>42278</v>
      </c>
      <c r="M3" s="4">
        <v>42309</v>
      </c>
      <c r="N3" s="4">
        <v>42339</v>
      </c>
      <c r="O3" s="4">
        <v>42370</v>
      </c>
      <c r="P3" s="4">
        <v>42401</v>
      </c>
      <c r="Q3" s="4">
        <v>42430</v>
      </c>
      <c r="R3" s="4">
        <v>42461</v>
      </c>
      <c r="S3" s="4">
        <v>42491</v>
      </c>
      <c r="T3" s="4">
        <v>42522</v>
      </c>
      <c r="U3" s="4">
        <v>42552</v>
      </c>
      <c r="V3" s="4">
        <v>42583</v>
      </c>
      <c r="W3" s="4">
        <v>42614</v>
      </c>
      <c r="X3" s="4">
        <v>42644</v>
      </c>
      <c r="Y3" s="4">
        <v>42675</v>
      </c>
      <c r="Z3" s="4">
        <v>42705</v>
      </c>
      <c r="AA3" t="s">
        <v>5</v>
      </c>
      <c r="AB3" t="s">
        <v>6</v>
      </c>
    </row>
    <row r="4" spans="2:28" x14ac:dyDescent="0.25">
      <c r="B4" t="s">
        <v>53</v>
      </c>
      <c r="C4" s="12"/>
      <c r="D4" s="12"/>
      <c r="E4" s="12"/>
      <c r="F4" s="12"/>
      <c r="G4" s="12"/>
      <c r="H4" s="12">
        <v>0.62383701297149707</v>
      </c>
      <c r="I4" s="12">
        <f t="shared" ref="I4:N4" si="0">+H4*(1+$AB$4)</f>
        <v>0.62619751080958086</v>
      </c>
      <c r="J4" s="12">
        <f t="shared" si="0"/>
        <v>0.62856694038773098</v>
      </c>
      <c r="K4" s="12">
        <f t="shared" si="0"/>
        <v>0.63094533550219967</v>
      </c>
      <c r="L4" s="12">
        <f t="shared" si="0"/>
        <v>0.63333273007711888</v>
      </c>
      <c r="M4" s="12">
        <f t="shared" si="0"/>
        <v>0.63572915816498388</v>
      </c>
      <c r="N4" s="12">
        <f t="shared" si="0"/>
        <v>0.63813465394713909</v>
      </c>
      <c r="AA4" s="3">
        <f>0.638/H4-1</f>
        <v>2.2703024562523044E-2</v>
      </c>
      <c r="AB4" s="12">
        <f>AA4/6</f>
        <v>3.7838374270871742E-3</v>
      </c>
    </row>
    <row r="5" spans="2:28" x14ac:dyDescent="0.25">
      <c r="B5" t="s">
        <v>70</v>
      </c>
      <c r="C5" s="3"/>
      <c r="D5" s="3"/>
      <c r="E5" s="3"/>
      <c r="F5" s="3"/>
      <c r="G5" s="3"/>
      <c r="H5" s="3">
        <v>0.35647151416885536</v>
      </c>
      <c r="I5" s="12">
        <f t="shared" ref="I5:N5" si="1">+H5*(1+$AB$5)</f>
        <v>0.36872626180737944</v>
      </c>
      <c r="J5" s="12">
        <f t="shared" si="1"/>
        <v>0.38140230212628518</v>
      </c>
      <c r="K5" s="12">
        <f t="shared" si="1"/>
        <v>0.39451411828979421</v>
      </c>
      <c r="L5" s="12">
        <f t="shared" si="1"/>
        <v>0.4080766913631258</v>
      </c>
      <c r="M5" s="12">
        <f t="shared" si="1"/>
        <v>0.42210551742929542</v>
      </c>
      <c r="N5" s="12">
        <f t="shared" si="1"/>
        <v>0.43661662529435291</v>
      </c>
      <c r="AA5" s="3">
        <f>0.43/H5-1</f>
        <v>0.20626749377880227</v>
      </c>
      <c r="AB5" s="12">
        <f>AA5/6</f>
        <v>3.437791562980038E-2</v>
      </c>
    </row>
    <row r="7" spans="2:28" x14ac:dyDescent="0.25">
      <c r="B7" s="2" t="s">
        <v>81</v>
      </c>
    </row>
    <row r="8" spans="2:28" x14ac:dyDescent="0.25">
      <c r="B8" s="35" t="s">
        <v>83</v>
      </c>
      <c r="C8" s="3">
        <v>0.95</v>
      </c>
      <c r="D8" s="3">
        <f>C8</f>
        <v>0.95</v>
      </c>
      <c r="E8" s="3">
        <f t="shared" ref="E8:N8" si="2">D8</f>
        <v>0.95</v>
      </c>
      <c r="F8" s="3">
        <f t="shared" si="2"/>
        <v>0.95</v>
      </c>
      <c r="G8" s="3">
        <f t="shared" si="2"/>
        <v>0.95</v>
      </c>
      <c r="H8" s="3">
        <f t="shared" si="2"/>
        <v>0.95</v>
      </c>
      <c r="I8" s="3">
        <f t="shared" si="2"/>
        <v>0.95</v>
      </c>
      <c r="J8" s="3">
        <f t="shared" si="2"/>
        <v>0.95</v>
      </c>
      <c r="K8" s="3">
        <f t="shared" si="2"/>
        <v>0.95</v>
      </c>
      <c r="L8" s="3">
        <f t="shared" si="2"/>
        <v>0.95</v>
      </c>
      <c r="M8" s="3">
        <f t="shared" si="2"/>
        <v>0.95</v>
      </c>
      <c r="N8" s="3">
        <f t="shared" si="2"/>
        <v>0.95</v>
      </c>
      <c r="O8" s="3">
        <v>0.99</v>
      </c>
      <c r="P8" s="3">
        <f t="shared" ref="P8" si="3">O8</f>
        <v>0.99</v>
      </c>
      <c r="Q8" s="3">
        <f t="shared" ref="Q8" si="4">P8</f>
        <v>0.99</v>
      </c>
      <c r="R8" s="3">
        <f t="shared" ref="R8" si="5">Q8</f>
        <v>0.99</v>
      </c>
      <c r="S8" s="3">
        <f t="shared" ref="S8" si="6">R8</f>
        <v>0.99</v>
      </c>
      <c r="T8" s="3">
        <f t="shared" ref="T8" si="7">S8</f>
        <v>0.99</v>
      </c>
      <c r="U8" s="3">
        <f t="shared" ref="U8" si="8">T8</f>
        <v>0.99</v>
      </c>
      <c r="V8" s="3">
        <f t="shared" ref="V8" si="9">U8</f>
        <v>0.99</v>
      </c>
      <c r="W8" s="3">
        <f t="shared" ref="W8" si="10">V8</f>
        <v>0.99</v>
      </c>
      <c r="X8" s="3">
        <f t="shared" ref="X8" si="11">W8</f>
        <v>0.99</v>
      </c>
      <c r="Y8" s="3">
        <f t="shared" ref="Y8" si="12">X8</f>
        <v>0.99</v>
      </c>
      <c r="Z8" s="3">
        <f t="shared" ref="Z8" si="13">Y8</f>
        <v>0.99</v>
      </c>
    </row>
    <row r="9" spans="2:28" x14ac:dyDescent="0.25">
      <c r="B9" s="35" t="s">
        <v>84</v>
      </c>
      <c r="C9" s="3">
        <f t="shared" ref="C9:N9" si="14">1-C8</f>
        <v>5.0000000000000044E-2</v>
      </c>
      <c r="D9" s="3">
        <f t="shared" si="14"/>
        <v>5.0000000000000044E-2</v>
      </c>
      <c r="E9" s="3">
        <f t="shared" si="14"/>
        <v>5.0000000000000044E-2</v>
      </c>
      <c r="F9" s="3">
        <f t="shared" si="14"/>
        <v>5.0000000000000044E-2</v>
      </c>
      <c r="G9" s="3">
        <f t="shared" si="14"/>
        <v>5.0000000000000044E-2</v>
      </c>
      <c r="H9" s="3">
        <f t="shared" si="14"/>
        <v>5.0000000000000044E-2</v>
      </c>
      <c r="I9" s="3">
        <f t="shared" si="14"/>
        <v>5.0000000000000044E-2</v>
      </c>
      <c r="J9" s="3">
        <f t="shared" si="14"/>
        <v>5.0000000000000044E-2</v>
      </c>
      <c r="K9" s="3">
        <f t="shared" si="14"/>
        <v>5.0000000000000044E-2</v>
      </c>
      <c r="L9" s="3">
        <f t="shared" si="14"/>
        <v>5.0000000000000044E-2</v>
      </c>
      <c r="M9" s="3">
        <f t="shared" si="14"/>
        <v>5.0000000000000044E-2</v>
      </c>
      <c r="N9" s="3">
        <f t="shared" si="14"/>
        <v>5.0000000000000044E-2</v>
      </c>
      <c r="O9" s="3">
        <f t="shared" ref="O9:Z9" si="15">1-O8</f>
        <v>1.0000000000000009E-2</v>
      </c>
      <c r="P9" s="3">
        <f t="shared" si="15"/>
        <v>1.0000000000000009E-2</v>
      </c>
      <c r="Q9" s="3">
        <f t="shared" si="15"/>
        <v>1.0000000000000009E-2</v>
      </c>
      <c r="R9" s="3">
        <f t="shared" si="15"/>
        <v>1.0000000000000009E-2</v>
      </c>
      <c r="S9" s="3">
        <f t="shared" si="15"/>
        <v>1.0000000000000009E-2</v>
      </c>
      <c r="T9" s="3">
        <f t="shared" si="15"/>
        <v>1.0000000000000009E-2</v>
      </c>
      <c r="U9" s="3">
        <f t="shared" si="15"/>
        <v>1.0000000000000009E-2</v>
      </c>
      <c r="V9" s="3">
        <f t="shared" si="15"/>
        <v>1.0000000000000009E-2</v>
      </c>
      <c r="W9" s="3">
        <f t="shared" si="15"/>
        <v>1.0000000000000009E-2</v>
      </c>
      <c r="X9" s="3">
        <f t="shared" si="15"/>
        <v>1.0000000000000009E-2</v>
      </c>
      <c r="Y9" s="3">
        <f t="shared" si="15"/>
        <v>1.0000000000000009E-2</v>
      </c>
      <c r="Z9" s="3">
        <f t="shared" si="15"/>
        <v>1.0000000000000009E-2</v>
      </c>
    </row>
    <row r="10" spans="2:28" x14ac:dyDescent="0.25">
      <c r="C10" s="56"/>
      <c r="E10" s="56">
        <f>Model!AB43+Model!AB44</f>
        <v>2.0552525432692157</v>
      </c>
      <c r="F10" s="56">
        <f>Model!AC43+Model!AC44</f>
        <v>1.2530975585739781</v>
      </c>
      <c r="G10" s="56">
        <f>Model!AD43+Model!AD44</f>
        <v>1.0007331008384655</v>
      </c>
      <c r="H10" s="56">
        <f>Model!AE43+Model!AE44</f>
        <v>0.80878776384998186</v>
      </c>
      <c r="I10" s="56">
        <f>Model!AF43+Model!AF44</f>
        <v>0.74360694376117076</v>
      </c>
      <c r="J10" s="56">
        <f>Model!AG43+Model!AG44</f>
        <v>0.62574578220360411</v>
      </c>
      <c r="K10" s="56">
        <f>Model!AH43+Model!AH44</f>
        <v>0.58479272414764361</v>
      </c>
      <c r="L10" s="56">
        <f>Model!AI43+Model!AI44</f>
        <v>0.46986114784880528</v>
      </c>
      <c r="M10" s="56">
        <f>Model!AJ43+Model!AJ44</f>
        <v>0.36939898264743953</v>
      </c>
      <c r="N10" s="56">
        <f>Model!AK43+Model!AK44</f>
        <v>0.28989358766944395</v>
      </c>
    </row>
    <row r="12" spans="2:28" x14ac:dyDescent="0.25">
      <c r="B12" s="2" t="s">
        <v>82</v>
      </c>
    </row>
    <row r="13" spans="2:28" x14ac:dyDescent="0.25">
      <c r="B13" t="s">
        <v>88</v>
      </c>
      <c r="D13" s="3">
        <f>AVERAGE(Model!N13:Y13)</f>
        <v>0.13695898552250677</v>
      </c>
    </row>
    <row r="14" spans="2:28" x14ac:dyDescent="0.25">
      <c r="B14" t="s">
        <v>89</v>
      </c>
    </row>
    <row r="19" spans="2:4" x14ac:dyDescent="0.25">
      <c r="B19" s="93" t="s">
        <v>85</v>
      </c>
      <c r="C19" s="56">
        <v>6.5000000000000002E-2</v>
      </c>
      <c r="D19" t="s">
        <v>86</v>
      </c>
    </row>
    <row r="20" spans="2:4" x14ac:dyDescent="0.25">
      <c r="B20" s="93"/>
      <c r="C20" s="56">
        <f>(1+C19)^(1/12)-1</f>
        <v>5.2616942768477504E-3</v>
      </c>
      <c r="D20" t="s">
        <v>87</v>
      </c>
    </row>
  </sheetData>
  <mergeCells count="1">
    <mergeCell ref="B19:B20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109"/>
  <sheetViews>
    <sheetView showGridLines="0" zoomScale="90" zoomScaleNormal="9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B14" sqref="AB14"/>
    </sheetView>
  </sheetViews>
  <sheetFormatPr defaultRowHeight="12.75" x14ac:dyDescent="0.2"/>
  <cols>
    <col min="1" max="1" width="35.42578125" style="1" bestFit="1" customWidth="1"/>
    <col min="2" max="13" width="14.140625" style="1" hidden="1" customWidth="1"/>
    <col min="14" max="14" width="12.7109375" style="1" hidden="1" customWidth="1"/>
    <col min="15" max="15" width="14.28515625" style="1" hidden="1" customWidth="1"/>
    <col min="16" max="25" width="13.42578125" style="1" hidden="1" customWidth="1"/>
    <col min="26" max="26" width="12.28515625" style="1" customWidth="1"/>
    <col min="27" max="27" width="14" style="1" customWidth="1"/>
    <col min="28" max="37" width="12.28515625" style="1" customWidth="1"/>
    <col min="38" max="48" width="12.7109375" style="1" customWidth="1"/>
    <col min="49" max="49" width="12.7109375" style="1" bestFit="1" customWidth="1"/>
    <col min="50" max="16384" width="9.140625" style="1"/>
  </cols>
  <sheetData>
    <row r="1" spans="1:49" x14ac:dyDescent="0.2">
      <c r="B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f>U1+1</f>
        <v>10</v>
      </c>
      <c r="W1" s="1">
        <f t="shared" ref="W1:AW1" si="0">V1+1</f>
        <v>11</v>
      </c>
      <c r="X1" s="1">
        <f t="shared" si="0"/>
        <v>12</v>
      </c>
      <c r="Y1" s="1">
        <f t="shared" si="0"/>
        <v>13</v>
      </c>
      <c r="Z1" s="1">
        <f t="shared" si="0"/>
        <v>14</v>
      </c>
      <c r="AA1" s="1">
        <f t="shared" si="0"/>
        <v>15</v>
      </c>
      <c r="AB1" s="1">
        <f t="shared" si="0"/>
        <v>16</v>
      </c>
      <c r="AC1" s="1">
        <f t="shared" si="0"/>
        <v>17</v>
      </c>
      <c r="AD1" s="1">
        <f t="shared" si="0"/>
        <v>18</v>
      </c>
      <c r="AE1" s="1">
        <f t="shared" si="0"/>
        <v>19</v>
      </c>
      <c r="AF1" s="1">
        <f t="shared" si="0"/>
        <v>20</v>
      </c>
      <c r="AG1" s="1">
        <f t="shared" si="0"/>
        <v>21</v>
      </c>
      <c r="AH1" s="1">
        <f t="shared" si="0"/>
        <v>22</v>
      </c>
      <c r="AI1" s="1">
        <f t="shared" si="0"/>
        <v>23</v>
      </c>
      <c r="AJ1" s="1">
        <f t="shared" si="0"/>
        <v>24</v>
      </c>
      <c r="AK1" s="1">
        <f t="shared" si="0"/>
        <v>25</v>
      </c>
      <c r="AL1" s="1">
        <f t="shared" si="0"/>
        <v>26</v>
      </c>
      <c r="AM1" s="1">
        <f t="shared" si="0"/>
        <v>27</v>
      </c>
      <c r="AN1" s="1">
        <f t="shared" si="0"/>
        <v>28</v>
      </c>
      <c r="AO1" s="1">
        <f t="shared" si="0"/>
        <v>29</v>
      </c>
      <c r="AP1" s="1">
        <f t="shared" si="0"/>
        <v>30</v>
      </c>
      <c r="AQ1" s="1">
        <f t="shared" si="0"/>
        <v>31</v>
      </c>
      <c r="AR1" s="1">
        <f t="shared" si="0"/>
        <v>32</v>
      </c>
      <c r="AS1" s="1">
        <f t="shared" si="0"/>
        <v>33</v>
      </c>
      <c r="AT1" s="1">
        <f t="shared" si="0"/>
        <v>34</v>
      </c>
      <c r="AU1" s="1">
        <f t="shared" si="0"/>
        <v>35</v>
      </c>
      <c r="AV1" s="1">
        <f t="shared" si="0"/>
        <v>36</v>
      </c>
      <c r="AW1" s="1">
        <f t="shared" si="0"/>
        <v>37</v>
      </c>
    </row>
    <row r="2" spans="1:49" s="15" customFormat="1" x14ac:dyDescent="0.2">
      <c r="B2" s="15">
        <v>1301</v>
      </c>
      <c r="C2" s="15">
        <v>1302</v>
      </c>
      <c r="D2" s="15">
        <v>1303</v>
      </c>
      <c r="E2" s="15">
        <v>1304</v>
      </c>
      <c r="F2" s="15">
        <v>1305</v>
      </c>
      <c r="G2" s="15">
        <v>1306</v>
      </c>
      <c r="H2" s="15">
        <v>1307</v>
      </c>
      <c r="I2" s="15">
        <v>1308</v>
      </c>
      <c r="J2" s="15">
        <v>1309</v>
      </c>
      <c r="K2" s="15">
        <v>1310</v>
      </c>
      <c r="L2" s="15">
        <v>1311</v>
      </c>
      <c r="M2" s="15">
        <v>1312</v>
      </c>
      <c r="N2" s="15">
        <v>1401</v>
      </c>
      <c r="O2" s="15">
        <v>1402</v>
      </c>
      <c r="P2" s="15" t="s">
        <v>8</v>
      </c>
      <c r="Q2" s="15" t="s">
        <v>9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14</v>
      </c>
      <c r="W2" s="15" t="s">
        <v>15</v>
      </c>
      <c r="X2" s="15" t="s">
        <v>16</v>
      </c>
      <c r="Y2" s="15" t="s">
        <v>17</v>
      </c>
      <c r="Z2" s="15" t="s">
        <v>18</v>
      </c>
      <c r="AA2" s="15" t="s">
        <v>19</v>
      </c>
      <c r="AB2" s="15" t="s">
        <v>20</v>
      </c>
      <c r="AC2" s="37" t="s">
        <v>21</v>
      </c>
      <c r="AD2" s="37" t="s">
        <v>22</v>
      </c>
      <c r="AE2" s="37" t="s">
        <v>23</v>
      </c>
      <c r="AF2" s="38" t="s">
        <v>24</v>
      </c>
      <c r="AG2" s="38" t="s">
        <v>25</v>
      </c>
      <c r="AH2" s="38" t="s">
        <v>26</v>
      </c>
      <c r="AI2" s="38" t="s">
        <v>27</v>
      </c>
      <c r="AJ2" s="38" t="s">
        <v>28</v>
      </c>
      <c r="AK2" s="38" t="s">
        <v>29</v>
      </c>
      <c r="AL2" s="38">
        <v>1601</v>
      </c>
      <c r="AM2" s="38">
        <v>1602</v>
      </c>
      <c r="AN2" s="38">
        <v>1603</v>
      </c>
      <c r="AO2" s="38">
        <v>1604</v>
      </c>
      <c r="AP2" s="38">
        <v>1605</v>
      </c>
      <c r="AQ2" s="38">
        <v>1606</v>
      </c>
      <c r="AR2" s="38">
        <v>1607</v>
      </c>
      <c r="AS2" s="38">
        <v>1608</v>
      </c>
      <c r="AT2" s="38">
        <v>1609</v>
      </c>
      <c r="AU2" s="38">
        <v>1610</v>
      </c>
      <c r="AV2" s="38">
        <v>1611</v>
      </c>
      <c r="AW2" s="38">
        <v>1612</v>
      </c>
    </row>
    <row r="3" spans="1:49" s="88" customFormat="1" x14ac:dyDescent="0.2">
      <c r="A3" s="91" t="s">
        <v>53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</row>
    <row r="4" spans="1:49" s="15" customFormat="1" x14ac:dyDescent="0.2">
      <c r="A4" s="15" t="s">
        <v>54</v>
      </c>
      <c r="B4" s="5">
        <v>481034834.75776935</v>
      </c>
      <c r="C4" s="5">
        <v>459821310.07810187</v>
      </c>
      <c r="D4" s="5">
        <v>551784133.85299838</v>
      </c>
      <c r="E4" s="5">
        <v>478147113.92001766</v>
      </c>
      <c r="F4" s="5">
        <v>512959002.43516421</v>
      </c>
      <c r="G4" s="5">
        <v>490414643.89606488</v>
      </c>
      <c r="H4" s="5">
        <v>499025247.51986665</v>
      </c>
      <c r="I4" s="5">
        <v>536365870.86624104</v>
      </c>
      <c r="J4" s="5">
        <v>510823808.09487748</v>
      </c>
      <c r="K4" s="5">
        <v>534492771.13258183</v>
      </c>
      <c r="L4" s="5">
        <v>557092733.85415673</v>
      </c>
      <c r="M4" s="5">
        <v>674353303.34281754</v>
      </c>
      <c r="N4" s="5">
        <v>541279735.25466573</v>
      </c>
      <c r="O4" s="5">
        <v>514091037.59912544</v>
      </c>
      <c r="P4" s="5">
        <v>561885419.31270432</v>
      </c>
      <c r="Q4" s="5">
        <v>578470829.77503824</v>
      </c>
      <c r="R4" s="5">
        <v>554114813.61699867</v>
      </c>
      <c r="S4" s="5">
        <v>547197286.29447484</v>
      </c>
      <c r="T4" s="5">
        <v>536889869.63564289</v>
      </c>
      <c r="U4" s="5">
        <v>565382949.72203588</v>
      </c>
      <c r="V4" s="5">
        <v>532899334.93915892</v>
      </c>
      <c r="W4" s="5">
        <v>567055478.13085473</v>
      </c>
      <c r="X4" s="5">
        <v>599192823.50515032</v>
      </c>
      <c r="Y4" s="5">
        <v>702748652.78904951</v>
      </c>
      <c r="Z4" s="5">
        <v>595300957.29350829</v>
      </c>
      <c r="AA4" s="5">
        <v>548984863.17397833</v>
      </c>
      <c r="AB4" s="5">
        <v>613562119.38541436</v>
      </c>
      <c r="AC4" s="16">
        <v>622008157.31498337</v>
      </c>
      <c r="AD4" s="16">
        <v>607405696.88108134</v>
      </c>
      <c r="AE4" s="16">
        <v>581812601.48656034</v>
      </c>
      <c r="AF4" s="17">
        <v>605180913.34000003</v>
      </c>
      <c r="AG4" s="17">
        <v>644251205.26999998</v>
      </c>
      <c r="AH4" s="17">
        <v>613656957.64999998</v>
      </c>
      <c r="AI4" s="17">
        <v>646441739.36999989</v>
      </c>
      <c r="AJ4" s="17">
        <v>674476264.64999998</v>
      </c>
      <c r="AK4" s="17">
        <v>798378076.81999993</v>
      </c>
      <c r="AL4" s="18">
        <f>798378076.82*(1+Premises!$C$20)</f>
        <v>802578898.1775645</v>
      </c>
      <c r="AM4" s="18">
        <f>AL4*(1+Premises!$C$20)</f>
        <v>806801822.97282422</v>
      </c>
      <c r="AN4" s="18">
        <f>AM4*(1+Premises!$C$20)</f>
        <v>811046967.50731063</v>
      </c>
      <c r="AO4" s="18">
        <f>AN4*(1+Premises!$C$20)</f>
        <v>815314448.69449854</v>
      </c>
      <c r="AP4" s="18">
        <f>AO4*(1+Premises!$C$20)</f>
        <v>819604384.06302571</v>
      </c>
      <c r="AQ4" s="18">
        <f>AP4*(1+Premises!$C$20)</f>
        <v>823916891.75992942</v>
      </c>
      <c r="AR4" s="18">
        <f>AQ4*(1+Premises!$C$20)</f>
        <v>828252090.55390084</v>
      </c>
      <c r="AS4" s="18">
        <f>AR4*(1+Premises!$C$20)</f>
        <v>832610099.83855546</v>
      </c>
      <c r="AT4" s="18">
        <f>AS4*(1+Premises!$C$20)</f>
        <v>836991039.63572156</v>
      </c>
      <c r="AU4" s="18">
        <f>AT4*(1+Premises!$C$20)</f>
        <v>841395030.5987457</v>
      </c>
      <c r="AV4" s="18">
        <f>AU4*(1+Premises!$C$20)</f>
        <v>845822194.01581526</v>
      </c>
      <c r="AW4" s="18">
        <f>AV4*(1+Premises!$C$20)</f>
        <v>850272651.81329906</v>
      </c>
    </row>
    <row r="5" spans="1:49" s="15" customFormat="1" x14ac:dyDescent="0.2">
      <c r="A5" s="15" t="s">
        <v>55</v>
      </c>
      <c r="B5" s="6">
        <v>258021224.81051096</v>
      </c>
      <c r="C5" s="6">
        <v>249966511.61241776</v>
      </c>
      <c r="D5" s="6">
        <v>301578951.56282586</v>
      </c>
      <c r="E5" s="6">
        <v>265317589.80019385</v>
      </c>
      <c r="F5" s="6">
        <v>283909479.13637388</v>
      </c>
      <c r="G5" s="6">
        <v>273637587.090132</v>
      </c>
      <c r="H5" s="6">
        <v>275138489.55032867</v>
      </c>
      <c r="I5" s="6">
        <v>303578967.14606661</v>
      </c>
      <c r="J5" s="6">
        <v>287891268.51397812</v>
      </c>
      <c r="K5" s="6">
        <v>299522918.89836359</v>
      </c>
      <c r="L5" s="6">
        <v>311521559.38405412</v>
      </c>
      <c r="M5" s="6">
        <v>372135980.42538214</v>
      </c>
      <c r="N5" s="6">
        <v>300408000.29838258</v>
      </c>
      <c r="O5" s="6">
        <v>292265567.54880512</v>
      </c>
      <c r="P5" s="6">
        <v>319861614.80089551</v>
      </c>
      <c r="Q5" s="6">
        <v>330149023.33917922</v>
      </c>
      <c r="R5" s="6">
        <v>322568714.1992597</v>
      </c>
      <c r="S5" s="6">
        <v>320999474.41083425</v>
      </c>
      <c r="T5" s="6">
        <v>315340700.32681501</v>
      </c>
      <c r="U5" s="6">
        <v>343923664.89153469</v>
      </c>
      <c r="V5" s="6">
        <v>322453614.46255308</v>
      </c>
      <c r="W5" s="6">
        <v>341735501.44047672</v>
      </c>
      <c r="X5" s="6">
        <v>364847662.55402362</v>
      </c>
      <c r="Y5" s="6">
        <v>421715773.30957109</v>
      </c>
      <c r="Z5" s="6">
        <v>350580286.39745474</v>
      </c>
      <c r="AA5" s="6">
        <v>328125771.68773079</v>
      </c>
      <c r="AB5" s="6">
        <v>375329877.83001089</v>
      </c>
      <c r="AC5" s="16">
        <v>381594664.70248842</v>
      </c>
      <c r="AD5" s="16">
        <v>377807154.13666338</v>
      </c>
      <c r="AE5" s="16">
        <v>362956235.42055178</v>
      </c>
      <c r="AF5" s="82">
        <f>+AF4*AF6</f>
        <v>378962781.5229767</v>
      </c>
      <c r="AG5" s="82">
        <f t="shared" ref="AG5:AK5" si="1">+AG4*AG6</f>
        <v>404955008.9376719</v>
      </c>
      <c r="AH5" s="82">
        <f t="shared" si="1"/>
        <v>387183995.02773839</v>
      </c>
      <c r="AI5" s="82">
        <f t="shared" si="1"/>
        <v>409412711.63100338</v>
      </c>
      <c r="AJ5" s="82">
        <f t="shared" si="1"/>
        <v>428784227.92820734</v>
      </c>
      <c r="AK5" s="82">
        <f t="shared" si="1"/>
        <v>509472717.77051306</v>
      </c>
      <c r="AL5" s="16">
        <f>+AL4*AL6</f>
        <v>512153407.45381629</v>
      </c>
      <c r="AM5" s="16">
        <f t="shared" ref="AM5:AW5" si="2">+AM4*AM6</f>
        <v>514848202.10668415</v>
      </c>
      <c r="AN5" s="16">
        <f t="shared" si="2"/>
        <v>517557175.94515425</v>
      </c>
      <c r="AO5" s="16">
        <f t="shared" si="2"/>
        <v>520280403.57576632</v>
      </c>
      <c r="AP5" s="16">
        <f t="shared" si="2"/>
        <v>523017959.99761701</v>
      </c>
      <c r="AQ5" s="16">
        <f t="shared" si="2"/>
        <v>525769920.60442501</v>
      </c>
      <c r="AR5" s="16">
        <f t="shared" si="2"/>
        <v>528536361.18660802</v>
      </c>
      <c r="AS5" s="16">
        <f t="shared" si="2"/>
        <v>531317357.93336952</v>
      </c>
      <c r="AT5" s="16">
        <f t="shared" si="2"/>
        <v>534112987.43479735</v>
      </c>
      <c r="AU5" s="16">
        <f t="shared" si="2"/>
        <v>536923326.68397307</v>
      </c>
      <c r="AV5" s="16">
        <f t="shared" si="2"/>
        <v>539748453.07909226</v>
      </c>
      <c r="AW5" s="16">
        <f t="shared" si="2"/>
        <v>542588444.42559588</v>
      </c>
    </row>
    <row r="6" spans="1:49" s="15" customFormat="1" x14ac:dyDescent="0.2">
      <c r="A6" s="15" t="s">
        <v>56</v>
      </c>
      <c r="B6" s="11">
        <v>0.53638781677929948</v>
      </c>
      <c r="C6" s="11">
        <v>0.54361663136047411</v>
      </c>
      <c r="D6" s="11">
        <v>0.54655241617217276</v>
      </c>
      <c r="E6" s="11">
        <v>0.55488694185567122</v>
      </c>
      <c r="F6" s="11">
        <v>0.55347401602969004</v>
      </c>
      <c r="G6" s="11">
        <v>0.55797189275637715</v>
      </c>
      <c r="H6" s="11">
        <v>0.55135184225197975</v>
      </c>
      <c r="I6" s="11">
        <v>0.56599232657324161</v>
      </c>
      <c r="J6" s="11">
        <v>0.56358232320390766</v>
      </c>
      <c r="K6" s="11">
        <v>0.56038722144675446</v>
      </c>
      <c r="L6" s="11">
        <v>0.55919156803364167</v>
      </c>
      <c r="M6" s="11">
        <v>0.55184126566990543</v>
      </c>
      <c r="N6" s="11">
        <f>N5/N4</f>
        <v>0.55499583807076047</v>
      </c>
      <c r="O6" s="11">
        <f t="shared" ref="O6:Y6" si="3">O5/O4</f>
        <v>0.5685093615203346</v>
      </c>
      <c r="P6" s="11">
        <f t="shared" si="3"/>
        <v>0.56926484262956811</v>
      </c>
      <c r="Q6" s="11">
        <f t="shared" si="3"/>
        <v>0.5707271764551568</v>
      </c>
      <c r="R6" s="11">
        <f t="shared" si="3"/>
        <v>0.58213335264163779</v>
      </c>
      <c r="S6" s="11">
        <f t="shared" si="3"/>
        <v>0.58662475573405537</v>
      </c>
      <c r="T6" s="11">
        <f t="shared" si="3"/>
        <v>0.58734708580144956</v>
      </c>
      <c r="U6" s="11">
        <f t="shared" si="3"/>
        <v>0.60830215177274249</v>
      </c>
      <c r="V6" s="11">
        <f t="shared" si="3"/>
        <v>0.60509291965877121</v>
      </c>
      <c r="W6" s="11">
        <f t="shared" si="3"/>
        <v>0.6026491491924485</v>
      </c>
      <c r="X6" s="11">
        <f t="shared" si="3"/>
        <v>0.60889858529970797</v>
      </c>
      <c r="Y6" s="11">
        <f t="shared" si="3"/>
        <v>0.60009474459449641</v>
      </c>
      <c r="Z6" s="11">
        <f t="shared" ref="Z6" si="4">Z5/Z4</f>
        <v>0.58891268710761369</v>
      </c>
      <c r="AA6" s="11">
        <f t="shared" ref="AA6" si="5">AA5/AA4</f>
        <v>0.59769548069259737</v>
      </c>
      <c r="AB6" s="11">
        <f t="shared" ref="AB6:AE6" si="6">AB5/AB4</f>
        <v>0.61172270251293692</v>
      </c>
      <c r="AC6" s="11">
        <f t="shared" si="6"/>
        <v>0.61348819981672664</v>
      </c>
      <c r="AD6" s="11">
        <f t="shared" si="6"/>
        <v>0.62200133465430918</v>
      </c>
      <c r="AE6" s="11">
        <f t="shared" si="6"/>
        <v>0.62383701297149707</v>
      </c>
      <c r="AF6" s="19">
        <f>Premises!I4</f>
        <v>0.62619751080958086</v>
      </c>
      <c r="AG6" s="19">
        <f>Premises!J4</f>
        <v>0.62856694038773098</v>
      </c>
      <c r="AH6" s="19">
        <f>Premises!K4</f>
        <v>0.63094533550219967</v>
      </c>
      <c r="AI6" s="19">
        <f>Premises!L4</f>
        <v>0.63333273007711888</v>
      </c>
      <c r="AJ6" s="19">
        <f>Premises!M4</f>
        <v>0.63572915816498388</v>
      </c>
      <c r="AK6" s="19">
        <f>Premises!N4</f>
        <v>0.63813465394713909</v>
      </c>
      <c r="AL6" s="19">
        <f>AK6</f>
        <v>0.63813465394713909</v>
      </c>
      <c r="AM6" s="19">
        <f t="shared" ref="AM6:AW6" si="7">AL6</f>
        <v>0.63813465394713909</v>
      </c>
      <c r="AN6" s="19">
        <f t="shared" si="7"/>
        <v>0.63813465394713909</v>
      </c>
      <c r="AO6" s="19">
        <f t="shared" si="7"/>
        <v>0.63813465394713909</v>
      </c>
      <c r="AP6" s="19">
        <f t="shared" si="7"/>
        <v>0.63813465394713909</v>
      </c>
      <c r="AQ6" s="19">
        <f t="shared" si="7"/>
        <v>0.63813465394713909</v>
      </c>
      <c r="AR6" s="19">
        <f t="shared" si="7"/>
        <v>0.63813465394713909</v>
      </c>
      <c r="AS6" s="19">
        <f t="shared" si="7"/>
        <v>0.63813465394713909</v>
      </c>
      <c r="AT6" s="19">
        <f t="shared" si="7"/>
        <v>0.63813465394713909</v>
      </c>
      <c r="AU6" s="19">
        <f t="shared" si="7"/>
        <v>0.63813465394713909</v>
      </c>
      <c r="AV6" s="19">
        <f t="shared" si="7"/>
        <v>0.63813465394713909</v>
      </c>
      <c r="AW6" s="19">
        <f t="shared" si="7"/>
        <v>0.63813465394713909</v>
      </c>
    </row>
    <row r="7" spans="1:49" s="15" customFormat="1" x14ac:dyDescent="0.2">
      <c r="A7" s="15" t="s">
        <v>57</v>
      </c>
      <c r="B7" s="6">
        <v>783361</v>
      </c>
      <c r="C7" s="6">
        <v>777524</v>
      </c>
      <c r="D7" s="6">
        <v>822855</v>
      </c>
      <c r="E7" s="6">
        <v>795395</v>
      </c>
      <c r="F7" s="6">
        <v>813336</v>
      </c>
      <c r="G7" s="6">
        <v>814752</v>
      </c>
      <c r="H7" s="6">
        <v>820566</v>
      </c>
      <c r="I7" s="6">
        <v>852077</v>
      </c>
      <c r="J7" s="6">
        <v>839158</v>
      </c>
      <c r="K7" s="6">
        <v>846520</v>
      </c>
      <c r="L7" s="6">
        <v>854635</v>
      </c>
      <c r="M7" s="6">
        <v>890655</v>
      </c>
      <c r="N7" s="6">
        <v>886969</v>
      </c>
      <c r="O7" s="6">
        <v>872808</v>
      </c>
      <c r="P7" s="6">
        <v>908970</v>
      </c>
      <c r="Q7" s="6">
        <v>910624</v>
      </c>
      <c r="R7" s="6">
        <v>900939</v>
      </c>
      <c r="S7" s="6">
        <v>894136</v>
      </c>
      <c r="T7" s="6">
        <v>896616</v>
      </c>
      <c r="U7" s="6">
        <v>940456</v>
      </c>
      <c r="V7" s="6">
        <v>938212</v>
      </c>
      <c r="W7" s="6">
        <v>1006174</v>
      </c>
      <c r="X7" s="6">
        <v>1024747</v>
      </c>
      <c r="Y7" s="6">
        <v>1097238</v>
      </c>
      <c r="Z7" s="6">
        <v>998591</v>
      </c>
      <c r="AA7" s="6">
        <v>980979</v>
      </c>
      <c r="AB7" s="6">
        <v>1033455</v>
      </c>
      <c r="AC7" s="16">
        <v>1068078</v>
      </c>
      <c r="AD7" s="16">
        <v>1068380</v>
      </c>
      <c r="AE7" s="16">
        <v>1060780</v>
      </c>
      <c r="AF7" s="18">
        <f t="shared" ref="AF7:AW7" si="8">(AF20^(AF21*AF23))*AF22</f>
        <v>1093799.1944002886</v>
      </c>
      <c r="AG7" s="18">
        <f t="shared" si="8"/>
        <v>1107889.8116556779</v>
      </c>
      <c r="AH7" s="18">
        <f t="shared" si="8"/>
        <v>1122161.9480561297</v>
      </c>
      <c r="AI7" s="18">
        <f t="shared" si="8"/>
        <v>1136617.9419803987</v>
      </c>
      <c r="AJ7" s="18">
        <f t="shared" si="8"/>
        <v>1151260.161930867</v>
      </c>
      <c r="AK7" s="18">
        <f t="shared" si="8"/>
        <v>1166091.0069216054</v>
      </c>
      <c r="AL7" s="18">
        <f>(AL20^(AL21*AL23))*AL22</f>
        <v>1181112.9068714336</v>
      </c>
      <c r="AM7" s="18">
        <f>(AM20^(AM21*AM23))*AM22</f>
        <v>1196328.3230020429</v>
      </c>
      <c r="AN7" s="18">
        <f>(AN20^(AN21*AN23))*AN22</f>
        <v>1211739.7482412485</v>
      </c>
      <c r="AO7" s="18">
        <f t="shared" si="8"/>
        <v>1227349.7076314366</v>
      </c>
      <c r="AP7" s="18">
        <f t="shared" si="8"/>
        <v>1243160.7587432733</v>
      </c>
      <c r="AQ7" s="18">
        <f t="shared" si="8"/>
        <v>1259175.492094741</v>
      </c>
      <c r="AR7" s="18">
        <f t="shared" si="8"/>
        <v>1275396.5315755766</v>
      </c>
      <c r="AS7" s="18">
        <f t="shared" si="8"/>
        <v>1291826.534877175</v>
      </c>
      <c r="AT7" s="18">
        <f t="shared" si="8"/>
        <v>1308468.1939280303</v>
      </c>
      <c r="AU7" s="18">
        <f t="shared" si="8"/>
        <v>1325324.2353347889</v>
      </c>
      <c r="AV7" s="18">
        <f t="shared" si="8"/>
        <v>1342397.4208289809</v>
      </c>
      <c r="AW7" s="18">
        <f t="shared" si="8"/>
        <v>1359690.54771951</v>
      </c>
    </row>
    <row r="8" spans="1:49" s="39" customFormat="1" x14ac:dyDescent="0.2">
      <c r="A8" s="39" t="s">
        <v>58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9">
        <v>0.11</v>
      </c>
      <c r="AA8" s="49">
        <f>Z8</f>
        <v>0.11</v>
      </c>
      <c r="AB8" s="49">
        <f t="shared" ref="AB8:AK8" si="9">AA8</f>
        <v>0.11</v>
      </c>
      <c r="AC8" s="50">
        <f t="shared" si="9"/>
        <v>0.11</v>
      </c>
      <c r="AD8" s="50">
        <f t="shared" si="9"/>
        <v>0.11</v>
      </c>
      <c r="AE8" s="50">
        <f t="shared" si="9"/>
        <v>0.11</v>
      </c>
      <c r="AF8" s="51">
        <f t="shared" si="9"/>
        <v>0.11</v>
      </c>
      <c r="AG8" s="51">
        <f t="shared" si="9"/>
        <v>0.11</v>
      </c>
      <c r="AH8" s="51">
        <f t="shared" si="9"/>
        <v>0.11</v>
      </c>
      <c r="AI8" s="51">
        <f t="shared" si="9"/>
        <v>0.11</v>
      </c>
      <c r="AJ8" s="51">
        <f t="shared" si="9"/>
        <v>0.11</v>
      </c>
      <c r="AK8" s="51">
        <f t="shared" si="9"/>
        <v>0.11</v>
      </c>
      <c r="AL8" s="19">
        <f t="shared" ref="AL8" si="10">AK8</f>
        <v>0.11</v>
      </c>
      <c r="AM8" s="19">
        <f t="shared" ref="AM8" si="11">AL8</f>
        <v>0.11</v>
      </c>
      <c r="AN8" s="19">
        <f t="shared" ref="AN8" si="12">AM8</f>
        <v>0.11</v>
      </c>
      <c r="AO8" s="19">
        <f t="shared" ref="AO8" si="13">AN8</f>
        <v>0.11</v>
      </c>
      <c r="AP8" s="19">
        <f t="shared" ref="AP8" si="14">AO8</f>
        <v>0.11</v>
      </c>
      <c r="AQ8" s="19">
        <f t="shared" ref="AQ8" si="15">AP8</f>
        <v>0.11</v>
      </c>
      <c r="AR8" s="19">
        <f t="shared" ref="AR8" si="16">AQ8</f>
        <v>0.11</v>
      </c>
      <c r="AS8" s="19">
        <f t="shared" ref="AS8" si="17">AR8</f>
        <v>0.11</v>
      </c>
      <c r="AT8" s="19">
        <f t="shared" ref="AT8" si="18">AS8</f>
        <v>0.11</v>
      </c>
      <c r="AU8" s="19">
        <f t="shared" ref="AU8" si="19">AT8</f>
        <v>0.11</v>
      </c>
      <c r="AV8" s="19">
        <f t="shared" ref="AV8" si="20">AU8</f>
        <v>0.11</v>
      </c>
      <c r="AW8" s="19">
        <f t="shared" ref="AW8" si="21">AV8</f>
        <v>0.11</v>
      </c>
    </row>
    <row r="9" spans="1:49" s="39" customFormat="1" x14ac:dyDescent="0.2">
      <c r="A9" s="39" t="s">
        <v>90</v>
      </c>
      <c r="B9" s="96">
        <v>32.950000000000003</v>
      </c>
      <c r="C9" s="96">
        <v>33.06</v>
      </c>
      <c r="D9" s="96">
        <v>34.92</v>
      </c>
      <c r="E9" s="96">
        <v>31.78</v>
      </c>
      <c r="F9" s="96">
        <v>33.130000000000003</v>
      </c>
      <c r="G9" s="96">
        <v>33.26</v>
      </c>
      <c r="H9" s="96">
        <v>33.130000000000003</v>
      </c>
      <c r="I9" s="96">
        <v>33.42</v>
      </c>
      <c r="J9" s="96">
        <v>33.21</v>
      </c>
      <c r="K9" s="96">
        <v>33.450000000000003</v>
      </c>
      <c r="L9" s="96">
        <v>35.68</v>
      </c>
      <c r="M9" s="96">
        <v>41.77</v>
      </c>
      <c r="N9" s="96">
        <v>36.313976967133598</v>
      </c>
      <c r="O9" s="96">
        <v>35.614675165842151</v>
      </c>
      <c r="P9" s="96">
        <v>36.596974107739186</v>
      </c>
      <c r="Q9" s="96">
        <v>37.930836365781083</v>
      </c>
      <c r="R9" s="96">
        <v>36.503324517694594</v>
      </c>
      <c r="S9" s="96">
        <v>38.066757467415428</v>
      </c>
      <c r="T9" s="96">
        <v>36.658701052479785</v>
      </c>
      <c r="U9" s="96">
        <v>36.517102846862677</v>
      </c>
      <c r="V9" s="96">
        <v>35.260083881433538</v>
      </c>
      <c r="W9" s="96">
        <v>35.623452650048399</v>
      </c>
      <c r="X9" s="96">
        <v>38.070949884716917</v>
      </c>
      <c r="Y9" s="96">
        <v>43.013165000544632</v>
      </c>
      <c r="Z9" s="99">
        <v>38.038420206200492</v>
      </c>
      <c r="AA9" s="99">
        <v>38.041053621682622</v>
      </c>
      <c r="AB9" s="99">
        <v>36.766600806780851</v>
      </c>
      <c r="AC9" s="100">
        <v>37.98034463372035</v>
      </c>
      <c r="AD9" s="100">
        <v>36.620777597450882</v>
      </c>
      <c r="AE9" s="100">
        <v>36.461676879472478</v>
      </c>
      <c r="AF9" s="101">
        <v>36.641741374836805</v>
      </c>
      <c r="AG9" s="101">
        <v>36.821805870201132</v>
      </c>
      <c r="AH9" s="101">
        <v>37.001870365565459</v>
      </c>
      <c r="AI9" s="101">
        <v>37.181934860929786</v>
      </c>
      <c r="AJ9" s="101">
        <v>37.361999356294113</v>
      </c>
      <c r="AK9" s="101">
        <v>37.54206385165844</v>
      </c>
      <c r="AL9" s="97">
        <v>37.722128347022768</v>
      </c>
      <c r="AM9" s="97">
        <v>37.902192842387095</v>
      </c>
      <c r="AN9" s="97">
        <v>38.082257337751422</v>
      </c>
      <c r="AO9" s="97">
        <v>38.262321833115749</v>
      </c>
      <c r="AP9" s="97">
        <v>38.442386328480076</v>
      </c>
      <c r="AQ9" s="97">
        <v>38.622450823844403</v>
      </c>
      <c r="AR9" s="97">
        <v>38.80251531920873</v>
      </c>
      <c r="AS9" s="97">
        <v>38.982579814573057</v>
      </c>
      <c r="AT9" s="97">
        <v>39.162644309937384</v>
      </c>
      <c r="AU9" s="97">
        <v>39.342708805301712</v>
      </c>
      <c r="AV9" s="97">
        <v>39.522773300666039</v>
      </c>
      <c r="AW9" s="97">
        <v>39.702837796030366</v>
      </c>
    </row>
    <row r="10" spans="1:49" s="39" customFormat="1" x14ac:dyDescent="0.2">
      <c r="A10" s="39" t="s">
        <v>91</v>
      </c>
      <c r="B10" s="96">
        <v>68.930000000000007</v>
      </c>
      <c r="C10" s="96">
        <v>70.569999999999993</v>
      </c>
      <c r="D10" s="96">
        <v>73.02</v>
      </c>
      <c r="E10" s="96">
        <v>68.38</v>
      </c>
      <c r="F10" s="96">
        <v>70.540000000000006</v>
      </c>
      <c r="G10" s="96">
        <v>70.12</v>
      </c>
      <c r="H10" s="96">
        <v>69.680000000000007</v>
      </c>
      <c r="I10" s="96">
        <v>71.849999999999994</v>
      </c>
      <c r="J10" s="96">
        <v>71.099999999999994</v>
      </c>
      <c r="K10" s="96">
        <v>71.44</v>
      </c>
      <c r="L10" s="96">
        <v>75.03</v>
      </c>
      <c r="M10" s="96">
        <v>84.07</v>
      </c>
      <c r="N10" s="96">
        <v>74.626980685785455</v>
      </c>
      <c r="O10" s="96">
        <v>75.700347632914728</v>
      </c>
      <c r="P10" s="96">
        <v>76.408310323501183</v>
      </c>
      <c r="Q10" s="96">
        <v>78.87680043768313</v>
      </c>
      <c r="R10" s="96">
        <v>77.416986876538331</v>
      </c>
      <c r="S10" s="96">
        <v>79.244708903795598</v>
      </c>
      <c r="T10" s="96">
        <v>77.538841952520542</v>
      </c>
      <c r="U10" s="96">
        <v>78.385266336935146</v>
      </c>
      <c r="V10" s="96">
        <v>76.255461199672865</v>
      </c>
      <c r="W10" s="96">
        <v>76.621742807839468</v>
      </c>
      <c r="X10" s="96">
        <v>80.678188169678833</v>
      </c>
      <c r="Y10" s="96">
        <v>88.062822613731086</v>
      </c>
      <c r="Z10" s="99">
        <v>78.18686516098785</v>
      </c>
      <c r="AA10" s="99">
        <v>78.582232970172896</v>
      </c>
      <c r="AB10" s="99">
        <v>77.628941652008223</v>
      </c>
      <c r="AC10" s="100">
        <v>78.205483826852856</v>
      </c>
      <c r="AD10" s="100">
        <v>76.743932029617838</v>
      </c>
      <c r="AE10" s="100">
        <v>76.502901647677419</v>
      </c>
      <c r="AF10" s="101">
        <v>76.815320941818854</v>
      </c>
      <c r="AG10" s="101">
        <v>77.127740235960289</v>
      </c>
      <c r="AH10" s="101">
        <v>77.440159530101724</v>
      </c>
      <c r="AI10" s="101">
        <v>77.752578824243159</v>
      </c>
      <c r="AJ10" s="101">
        <v>78.064998118384594</v>
      </c>
      <c r="AK10" s="101">
        <v>78.377417412526029</v>
      </c>
      <c r="AL10" s="97">
        <v>78.689836706667464</v>
      </c>
      <c r="AM10" s="97">
        <v>79.002256000808899</v>
      </c>
      <c r="AN10" s="97">
        <v>79.314675294950334</v>
      </c>
      <c r="AO10" s="97">
        <v>79.627094589091769</v>
      </c>
      <c r="AP10" s="97">
        <v>79.939513883233204</v>
      </c>
      <c r="AQ10" s="97">
        <v>80.251933177374639</v>
      </c>
      <c r="AR10" s="97">
        <v>80.564352471516074</v>
      </c>
      <c r="AS10" s="97">
        <v>80.876771765657509</v>
      </c>
      <c r="AT10" s="97">
        <v>81.189191059798944</v>
      </c>
      <c r="AU10" s="97">
        <v>81.501610353940379</v>
      </c>
      <c r="AV10" s="97">
        <v>81.814029648081814</v>
      </c>
      <c r="AW10" s="97">
        <v>82.126448942223249</v>
      </c>
    </row>
    <row r="11" spans="1:49" s="39" customFormat="1" x14ac:dyDescent="0.2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9"/>
      <c r="AA11" s="49"/>
      <c r="AB11" s="49"/>
      <c r="AC11" s="50"/>
      <c r="AD11" s="50"/>
      <c r="AE11" s="50"/>
      <c r="AF11" s="51"/>
      <c r="AG11" s="51"/>
      <c r="AH11" s="51"/>
      <c r="AI11" s="51"/>
      <c r="AJ11" s="51"/>
      <c r="AK11" s="51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spans="1:49" x14ac:dyDescent="0.2">
      <c r="O12" s="36" t="s">
        <v>7</v>
      </c>
      <c r="P12" s="1" t="str">
        <f>$O$12&amp;P2</f>
        <v>1403</v>
      </c>
      <c r="Q12" s="1" t="str">
        <f>$O$12&amp;Q2</f>
        <v>1404</v>
      </c>
      <c r="R12" s="1" t="str">
        <f>$O$12&amp;R2</f>
        <v>1405</v>
      </c>
      <c r="S12" s="1" t="str">
        <f>$O$12&amp;S2</f>
        <v>1406</v>
      </c>
      <c r="T12" s="1" t="str">
        <f>$O$12&amp;T2</f>
        <v>1407</v>
      </c>
      <c r="U12" s="1" t="str">
        <f>$O$12&amp;U2</f>
        <v>1408</v>
      </c>
      <c r="V12" s="1" t="str">
        <f>$O$12&amp;V2</f>
        <v>1409</v>
      </c>
      <c r="W12" s="1" t="str">
        <f>$O$12&amp;W2</f>
        <v>1410</v>
      </c>
      <c r="X12" s="1" t="str">
        <f>$O$12&amp;X2</f>
        <v>1411</v>
      </c>
      <c r="Y12" s="1" t="str">
        <f>$O$12&amp;Y2</f>
        <v>1412</v>
      </c>
      <c r="Z12" s="1" t="str">
        <f>$O$12&amp;Z2</f>
        <v>1501</v>
      </c>
      <c r="AA12" s="1" t="str">
        <f>$O$12&amp;AA2</f>
        <v>1502</v>
      </c>
      <c r="AB12" s="1" t="str">
        <f>$O$12&amp;AB2</f>
        <v>1503</v>
      </c>
      <c r="AC12" s="1" t="str">
        <f>$O$12&amp;AC2</f>
        <v>1504</v>
      </c>
      <c r="AD12" s="1" t="str">
        <f>$O$12&amp;AD2</f>
        <v>1505</v>
      </c>
      <c r="AE12" s="1" t="str">
        <f>$O$12&amp;AE2</f>
        <v>1506</v>
      </c>
      <c r="AF12" s="1" t="str">
        <f>$O$12&amp;AF2</f>
        <v>1507</v>
      </c>
      <c r="AG12" s="1" t="str">
        <f>$O$12&amp;AG2</f>
        <v>1508</v>
      </c>
      <c r="AH12" s="1" t="str">
        <f>$O$12&amp;AH2</f>
        <v>1509</v>
      </c>
      <c r="AI12" s="1" t="str">
        <f>$O$12&amp;AI2</f>
        <v>1510</v>
      </c>
      <c r="AJ12" s="1" t="str">
        <f>$O$12&amp;AJ2</f>
        <v>1511</v>
      </c>
      <c r="AK12" s="1" t="str">
        <f>$O$12&amp;AK2</f>
        <v>1512</v>
      </c>
    </row>
    <row r="13" spans="1:49" x14ac:dyDescent="0.2">
      <c r="A13" s="15" t="s">
        <v>59</v>
      </c>
      <c r="N13" s="13">
        <f>N7/B7-1</f>
        <v>0.13226086057386066</v>
      </c>
      <c r="O13" s="13">
        <f>O7/C7-1</f>
        <v>0.1225479856570344</v>
      </c>
      <c r="P13" s="13">
        <f>P7/D7-1</f>
        <v>0.10465391836957916</v>
      </c>
      <c r="Q13" s="13">
        <f>Q7/E7-1</f>
        <v>0.14487015885189125</v>
      </c>
      <c r="R13" s="13">
        <f>R7/F7-1</f>
        <v>0.10770825341556267</v>
      </c>
      <c r="S13" s="13">
        <f>S7/G7-1</f>
        <v>9.7433329405757885E-2</v>
      </c>
      <c r="T13" s="13">
        <f>T7/H7-1</f>
        <v>9.2679930681992762E-2</v>
      </c>
      <c r="U13" s="13">
        <f>U7/I7-1</f>
        <v>0.10372184673450868</v>
      </c>
      <c r="V13" s="13">
        <f>V7/J7-1</f>
        <v>0.11803974936781869</v>
      </c>
      <c r="W13" s="13">
        <f>W7/K7-1</f>
        <v>0.18860038746869545</v>
      </c>
      <c r="X13" s="13">
        <f>X7/L7-1</f>
        <v>0.19904637652331103</v>
      </c>
      <c r="Y13" s="13">
        <f>Y7/M7-1</f>
        <v>0.23194502922006843</v>
      </c>
      <c r="Z13" s="13">
        <f>Z7/N7-1</f>
        <v>0.12584656284492479</v>
      </c>
      <c r="AA13" s="13">
        <f>AA7/O7-1</f>
        <v>0.12393447356119558</v>
      </c>
      <c r="AB13" s="13">
        <f>AB7/P7-1</f>
        <v>0.13695171457803879</v>
      </c>
      <c r="AC13" s="13">
        <f>AC7/Q7-1</f>
        <v>0.17290780827212981</v>
      </c>
      <c r="AD13" s="13">
        <f>AD7/R7-1</f>
        <v>0.18585165033370732</v>
      </c>
      <c r="AE13" s="13">
        <f>AE7/S7-1</f>
        <v>0.18637433231633671</v>
      </c>
      <c r="AF13" s="13">
        <f>AF7/T7-1</f>
        <v>0.21991933492184912</v>
      </c>
      <c r="AG13" s="13">
        <f>AG7/U7-1</f>
        <v>0.17803471045501107</v>
      </c>
      <c r="AH13" s="13">
        <f>AH7/V7-1</f>
        <v>0.19606437357029094</v>
      </c>
      <c r="AI13" s="13">
        <f>AI7/W7-1</f>
        <v>0.1296435228701982</v>
      </c>
      <c r="AJ13" s="13">
        <f>AJ7/X7-1</f>
        <v>0.12345794808949617</v>
      </c>
      <c r="AK13" s="13">
        <f>AK7/Y7-1</f>
        <v>6.2751205227676632E-2</v>
      </c>
      <c r="AL13" s="13">
        <f>AL7/Z7-1</f>
        <v>0.18277944310677108</v>
      </c>
      <c r="AM13" s="13">
        <f>AM7/AA7-1</f>
        <v>0.21952490624370435</v>
      </c>
      <c r="AN13" s="13">
        <f>AN7/AB7-1</f>
        <v>0.17251331527860292</v>
      </c>
      <c r="AO13" s="13">
        <f>AO7/AC7-1</f>
        <v>0.14911992160819398</v>
      </c>
      <c r="AP13" s="13">
        <f>AP7/AD7-1</f>
        <v>0.16359418815709148</v>
      </c>
      <c r="AQ13" s="13">
        <f>AQ7/AE7-1</f>
        <v>0.18702793425096709</v>
      </c>
      <c r="AR13" s="13">
        <f>AR7/AF7-1</f>
        <v>0.16602438373055728</v>
      </c>
      <c r="AS13" s="13">
        <f>AS7/AG7-1</f>
        <v>0.16602438373055728</v>
      </c>
      <c r="AT13" s="13">
        <f>AT7/AH7-1</f>
        <v>0.16602438373055728</v>
      </c>
      <c r="AU13" s="13">
        <f>AU7/AI7-1</f>
        <v>0.1660243837305575</v>
      </c>
      <c r="AV13" s="13">
        <f>AV7/AJ7-1</f>
        <v>0.16602438373055728</v>
      </c>
      <c r="AW13" s="13">
        <f>AW7/AK7-1</f>
        <v>0.16602438373055728</v>
      </c>
    </row>
    <row r="14" spans="1:49" x14ac:dyDescent="0.2">
      <c r="A14" s="15" t="s">
        <v>60</v>
      </c>
      <c r="O14" s="36"/>
      <c r="Z14" s="13">
        <f>AVERAGE(O13:Z13)</f>
        <v>0.13642446071176209</v>
      </c>
      <c r="AA14" s="13">
        <f t="shared" ref="AA14:AW14" si="22">AVERAGE(P13:AA13)</f>
        <v>0.1365400013704422</v>
      </c>
      <c r="AB14" s="13">
        <f t="shared" si="22"/>
        <v>0.13923148438781383</v>
      </c>
      <c r="AC14" s="13">
        <f t="shared" si="22"/>
        <v>0.14156795517283371</v>
      </c>
      <c r="AD14" s="13">
        <f t="shared" si="22"/>
        <v>0.14807990491601244</v>
      </c>
      <c r="AE14" s="13">
        <f t="shared" si="22"/>
        <v>0.15549165515856067</v>
      </c>
      <c r="AF14" s="13">
        <f t="shared" si="22"/>
        <v>0.16609493884521537</v>
      </c>
      <c r="AG14" s="13">
        <f t="shared" si="22"/>
        <v>0.17228767748859056</v>
      </c>
      <c r="AH14" s="13">
        <f t="shared" si="22"/>
        <v>0.17878972950546324</v>
      </c>
      <c r="AI14" s="13">
        <f t="shared" si="22"/>
        <v>0.17387665745558847</v>
      </c>
      <c r="AJ14" s="13">
        <f t="shared" si="22"/>
        <v>0.16757762175277058</v>
      </c>
      <c r="AK14" s="13">
        <f t="shared" si="22"/>
        <v>0.15347813642007127</v>
      </c>
      <c r="AL14" s="31">
        <f t="shared" si="22"/>
        <v>0.15822254310855846</v>
      </c>
      <c r="AM14" s="31">
        <f t="shared" si="22"/>
        <v>0.16618841249876751</v>
      </c>
      <c r="AN14" s="31">
        <f t="shared" si="22"/>
        <v>0.16915187922381456</v>
      </c>
      <c r="AO14" s="31">
        <f t="shared" si="22"/>
        <v>0.16716955533515321</v>
      </c>
      <c r="AP14" s="31">
        <f t="shared" si="22"/>
        <v>0.16531476682043522</v>
      </c>
      <c r="AQ14" s="31">
        <f t="shared" si="22"/>
        <v>0.1653692336483211</v>
      </c>
      <c r="AR14" s="31">
        <f t="shared" si="22"/>
        <v>0.16087798771571343</v>
      </c>
      <c r="AS14" s="31">
        <f t="shared" si="22"/>
        <v>0.15987712715534227</v>
      </c>
      <c r="AT14" s="31">
        <f t="shared" si="22"/>
        <v>0.1573737946686978</v>
      </c>
      <c r="AU14" s="31">
        <f t="shared" si="22"/>
        <v>0.16040553307372776</v>
      </c>
      <c r="AV14" s="31">
        <f t="shared" si="22"/>
        <v>0.16395273604381619</v>
      </c>
      <c r="AW14" s="31">
        <f t="shared" si="22"/>
        <v>0.17255883425238958</v>
      </c>
    </row>
    <row r="15" spans="1:49" x14ac:dyDescent="0.2">
      <c r="O15" s="36"/>
      <c r="Z15" s="40"/>
      <c r="AL15" s="25"/>
    </row>
    <row r="16" spans="1:49" x14ac:dyDescent="0.2">
      <c r="A16" s="91" t="s">
        <v>61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</row>
    <row r="17" spans="1:60" x14ac:dyDescent="0.2">
      <c r="A17" s="1" t="s">
        <v>62</v>
      </c>
      <c r="B17" s="31"/>
      <c r="C17" s="14"/>
      <c r="D17" s="14"/>
      <c r="N17" s="31"/>
      <c r="Z17" s="31">
        <f t="shared" ref="Z17:AI17" si="23">AVERAGE(O13:Z13)</f>
        <v>0.13642446071176209</v>
      </c>
      <c r="AA17" s="31">
        <f t="shared" si="23"/>
        <v>0.1365400013704422</v>
      </c>
      <c r="AB17" s="31">
        <f t="shared" si="23"/>
        <v>0.13923148438781383</v>
      </c>
      <c r="AC17" s="31">
        <f t="shared" si="23"/>
        <v>0.14156795517283371</v>
      </c>
      <c r="AD17" s="31">
        <f t="shared" si="23"/>
        <v>0.14807990491601244</v>
      </c>
      <c r="AE17" s="31">
        <f t="shared" si="23"/>
        <v>0.15549165515856067</v>
      </c>
      <c r="AF17" s="31">
        <f t="shared" si="23"/>
        <v>0.16609493884521537</v>
      </c>
      <c r="AG17" s="31">
        <f t="shared" si="23"/>
        <v>0.17228767748859056</v>
      </c>
      <c r="AH17" s="31">
        <f t="shared" si="23"/>
        <v>0.17878972950546324</v>
      </c>
      <c r="AI17" s="31">
        <f t="shared" si="23"/>
        <v>0.17387665745558847</v>
      </c>
      <c r="AJ17" s="31">
        <f>AVERAGE(Y13:AJ13)</f>
        <v>0.16757762175277058</v>
      </c>
      <c r="AK17" s="31">
        <f>AVERAGE(Z13:AK13)</f>
        <v>0.15347813642007127</v>
      </c>
      <c r="AL17" s="31">
        <f>AVERAGE(AA13:AL13)</f>
        <v>0.15822254310855846</v>
      </c>
      <c r="AM17" s="31">
        <f t="shared" ref="AM17:AW17" si="24">AVERAGE(AB13:AM13)</f>
        <v>0.16618841249876751</v>
      </c>
      <c r="AN17" s="31">
        <f t="shared" si="24"/>
        <v>0.16915187922381456</v>
      </c>
      <c r="AO17" s="31">
        <f t="shared" si="24"/>
        <v>0.16716955533515321</v>
      </c>
      <c r="AP17" s="31">
        <f t="shared" si="24"/>
        <v>0.16531476682043522</v>
      </c>
      <c r="AQ17" s="31">
        <f t="shared" si="24"/>
        <v>0.1653692336483211</v>
      </c>
      <c r="AR17" s="31">
        <f t="shared" si="24"/>
        <v>0.16087798771571343</v>
      </c>
      <c r="AS17" s="31">
        <f t="shared" si="24"/>
        <v>0.15987712715534227</v>
      </c>
      <c r="AT17" s="31">
        <f t="shared" si="24"/>
        <v>0.1573737946686978</v>
      </c>
      <c r="AU17" s="31">
        <f t="shared" si="24"/>
        <v>0.16040553307372776</v>
      </c>
      <c r="AV17" s="31">
        <f t="shared" si="24"/>
        <v>0.16395273604381619</v>
      </c>
      <c r="AW17" s="31">
        <f t="shared" si="24"/>
        <v>0.17255883425238958</v>
      </c>
    </row>
    <row r="18" spans="1:60" x14ac:dyDescent="0.2">
      <c r="A18" s="1" t="s">
        <v>72</v>
      </c>
      <c r="Z18" s="43">
        <f>Z13-Z17</f>
        <v>-1.0577897866837299E-2</v>
      </c>
      <c r="AA18" s="43">
        <f t="shared" ref="AA18:AW18" si="25">AA13-AA17</f>
        <v>-1.2605527809246619E-2</v>
      </c>
      <c r="AB18" s="43">
        <f t="shared" si="25"/>
        <v>-2.2797698097750396E-3</v>
      </c>
      <c r="AC18" s="43">
        <f t="shared" si="25"/>
        <v>3.13398530992961E-2</v>
      </c>
      <c r="AD18" s="43">
        <f t="shared" si="25"/>
        <v>3.7771745417694874E-2</v>
      </c>
      <c r="AE18" s="43">
        <f t="shared" si="25"/>
        <v>3.088267715777604E-2</v>
      </c>
      <c r="AF18" s="43">
        <f>AF13-AF17</f>
        <v>5.3824396076633751E-2</v>
      </c>
      <c r="AG18" s="43">
        <f t="shared" si="25"/>
        <v>5.7470329664205122E-3</v>
      </c>
      <c r="AH18" s="43">
        <f t="shared" si="25"/>
        <v>1.7274644064827704E-2</v>
      </c>
      <c r="AI18" s="43">
        <f t="shared" si="25"/>
        <v>-4.4233134585390271E-2</v>
      </c>
      <c r="AJ18" s="43">
        <f t="shared" si="25"/>
        <v>-4.4119673663274406E-2</v>
      </c>
      <c r="AK18" s="43">
        <f t="shared" si="25"/>
        <v>-9.0726931192394639E-2</v>
      </c>
      <c r="AL18" s="43">
        <f t="shared" si="25"/>
        <v>2.4556899998212617E-2</v>
      </c>
      <c r="AM18" s="43">
        <f t="shared" si="25"/>
        <v>5.3336493744936847E-2</v>
      </c>
      <c r="AN18" s="43">
        <f t="shared" si="25"/>
        <v>3.3614360547883637E-3</v>
      </c>
      <c r="AO18" s="43">
        <f t="shared" si="25"/>
        <v>-1.8049633726959224E-2</v>
      </c>
      <c r="AP18" s="43">
        <f t="shared" si="25"/>
        <v>-1.7205786633437414E-3</v>
      </c>
      <c r="AQ18" s="43">
        <f t="shared" si="25"/>
        <v>2.1658700602645992E-2</v>
      </c>
      <c r="AR18" s="43">
        <f t="shared" si="25"/>
        <v>5.1463960148438459E-3</v>
      </c>
      <c r="AS18" s="43">
        <f t="shared" si="25"/>
        <v>6.1472565752150043E-3</v>
      </c>
      <c r="AT18" s="43">
        <f t="shared" si="25"/>
        <v>8.6505890618594761E-3</v>
      </c>
      <c r="AU18" s="43">
        <f t="shared" si="25"/>
        <v>5.6188506568297381E-3</v>
      </c>
      <c r="AV18" s="43">
        <f t="shared" si="25"/>
        <v>2.0716476867410905E-3</v>
      </c>
      <c r="AW18" s="43">
        <f t="shared" si="25"/>
        <v>-6.5344505218322968E-3</v>
      </c>
    </row>
    <row r="19" spans="1:60" x14ac:dyDescent="0.2">
      <c r="A19" s="15" t="s">
        <v>63</v>
      </c>
      <c r="Z19" s="43"/>
      <c r="AA19" s="43"/>
      <c r="AB19" s="43"/>
      <c r="AC19" s="43"/>
      <c r="AD19" s="43"/>
      <c r="AE19" s="43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</row>
    <row r="20" spans="1:60" x14ac:dyDescent="0.2">
      <c r="A20" s="1" t="s">
        <v>64</v>
      </c>
      <c r="Z20" s="43"/>
      <c r="AA20" s="43"/>
      <c r="AB20" s="43"/>
      <c r="AC20" s="43"/>
      <c r="AD20" s="43"/>
      <c r="AE20" s="43"/>
      <c r="AF20" s="53">
        <v>2.7182818284590402</v>
      </c>
      <c r="AG20" s="53">
        <f t="shared" ref="AG20:AK22" si="26">AF20</f>
        <v>2.7182818284590402</v>
      </c>
      <c r="AH20" s="53">
        <f t="shared" si="26"/>
        <v>2.7182818284590402</v>
      </c>
      <c r="AI20" s="53">
        <f t="shared" si="26"/>
        <v>2.7182818284590402</v>
      </c>
      <c r="AJ20" s="53">
        <f t="shared" si="26"/>
        <v>2.7182818284590402</v>
      </c>
      <c r="AK20" s="53">
        <f t="shared" si="26"/>
        <v>2.7182818284590402</v>
      </c>
      <c r="AL20" s="53">
        <f t="shared" ref="AL20:AL22" si="27">AK20</f>
        <v>2.7182818284590402</v>
      </c>
      <c r="AM20" s="53">
        <f t="shared" ref="AM20:AM22" si="28">AL20</f>
        <v>2.7182818284590402</v>
      </c>
      <c r="AN20" s="53">
        <f t="shared" ref="AN20:AN22" si="29">AM20</f>
        <v>2.7182818284590402</v>
      </c>
      <c r="AO20" s="53">
        <f t="shared" ref="AO20:AO22" si="30">AN20</f>
        <v>2.7182818284590402</v>
      </c>
      <c r="AP20" s="53">
        <f t="shared" ref="AP20:AP22" si="31">AO20</f>
        <v>2.7182818284590402</v>
      </c>
      <c r="AQ20" s="53">
        <f t="shared" ref="AQ20:AQ22" si="32">AP20</f>
        <v>2.7182818284590402</v>
      </c>
      <c r="AR20" s="53">
        <f t="shared" ref="AR20:AR22" si="33">AQ20</f>
        <v>2.7182818284590402</v>
      </c>
      <c r="AS20" s="53">
        <f t="shared" ref="AS20:AS22" si="34">AR20</f>
        <v>2.7182818284590402</v>
      </c>
      <c r="AT20" s="53">
        <f t="shared" ref="AT20:AT22" si="35">AS20</f>
        <v>2.7182818284590402</v>
      </c>
      <c r="AU20" s="53">
        <f t="shared" ref="AU20:AU22" si="36">AT20</f>
        <v>2.7182818284590402</v>
      </c>
      <c r="AV20" s="53">
        <f t="shared" ref="AV20:AV22" si="37">AU20</f>
        <v>2.7182818284590402</v>
      </c>
      <c r="AW20" s="53">
        <f t="shared" ref="AW20:AW22" si="38">AV20</f>
        <v>2.7182818284590402</v>
      </c>
    </row>
    <row r="21" spans="1:60" x14ac:dyDescent="0.2">
      <c r="A21" s="1" t="s">
        <v>65</v>
      </c>
      <c r="Z21" s="43"/>
      <c r="AA21" s="43"/>
      <c r="AB21" s="43"/>
      <c r="AC21" s="43"/>
      <c r="AD21" s="43"/>
      <c r="AE21" s="43"/>
      <c r="AF21" s="55">
        <v>1.2800000000000001E-2</v>
      </c>
      <c r="AG21" s="55">
        <f t="shared" si="26"/>
        <v>1.2800000000000001E-2</v>
      </c>
      <c r="AH21" s="55">
        <f t="shared" si="26"/>
        <v>1.2800000000000001E-2</v>
      </c>
      <c r="AI21" s="55">
        <f t="shared" si="26"/>
        <v>1.2800000000000001E-2</v>
      </c>
      <c r="AJ21" s="55">
        <f t="shared" si="26"/>
        <v>1.2800000000000001E-2</v>
      </c>
      <c r="AK21" s="55">
        <f t="shared" si="26"/>
        <v>1.2800000000000001E-2</v>
      </c>
      <c r="AL21" s="55">
        <f t="shared" si="27"/>
        <v>1.2800000000000001E-2</v>
      </c>
      <c r="AM21" s="55">
        <f t="shared" si="28"/>
        <v>1.2800000000000001E-2</v>
      </c>
      <c r="AN21" s="55">
        <f t="shared" si="29"/>
        <v>1.2800000000000001E-2</v>
      </c>
      <c r="AO21" s="55">
        <f t="shared" si="30"/>
        <v>1.2800000000000001E-2</v>
      </c>
      <c r="AP21" s="55">
        <f t="shared" si="31"/>
        <v>1.2800000000000001E-2</v>
      </c>
      <c r="AQ21" s="55">
        <f t="shared" si="32"/>
        <v>1.2800000000000001E-2</v>
      </c>
      <c r="AR21" s="55">
        <f t="shared" si="33"/>
        <v>1.2800000000000001E-2</v>
      </c>
      <c r="AS21" s="55">
        <f t="shared" si="34"/>
        <v>1.2800000000000001E-2</v>
      </c>
      <c r="AT21" s="55">
        <f t="shared" si="35"/>
        <v>1.2800000000000001E-2</v>
      </c>
      <c r="AU21" s="55">
        <f t="shared" si="36"/>
        <v>1.2800000000000001E-2</v>
      </c>
      <c r="AV21" s="55">
        <f t="shared" si="37"/>
        <v>1.2800000000000001E-2</v>
      </c>
      <c r="AW21" s="55">
        <f t="shared" si="38"/>
        <v>1.2800000000000001E-2</v>
      </c>
    </row>
    <row r="22" spans="1:60" x14ac:dyDescent="0.2">
      <c r="A22" s="1" t="s">
        <v>66</v>
      </c>
      <c r="Z22" s="43"/>
      <c r="AA22" s="43"/>
      <c r="AB22" s="43"/>
      <c r="AC22" s="43"/>
      <c r="AD22" s="43"/>
      <c r="AE22" s="43"/>
      <c r="AF22" s="54">
        <v>857664</v>
      </c>
      <c r="AG22" s="54">
        <f t="shared" si="26"/>
        <v>857664</v>
      </c>
      <c r="AH22" s="54">
        <f t="shared" si="26"/>
        <v>857664</v>
      </c>
      <c r="AI22" s="54">
        <f t="shared" si="26"/>
        <v>857664</v>
      </c>
      <c r="AJ22" s="54">
        <f t="shared" si="26"/>
        <v>857664</v>
      </c>
      <c r="AK22" s="54">
        <f t="shared" si="26"/>
        <v>857664</v>
      </c>
      <c r="AL22" s="54">
        <f t="shared" si="27"/>
        <v>857664</v>
      </c>
      <c r="AM22" s="54">
        <f t="shared" si="28"/>
        <v>857664</v>
      </c>
      <c r="AN22" s="54">
        <f t="shared" si="29"/>
        <v>857664</v>
      </c>
      <c r="AO22" s="54">
        <f t="shared" si="30"/>
        <v>857664</v>
      </c>
      <c r="AP22" s="54">
        <f t="shared" si="31"/>
        <v>857664</v>
      </c>
      <c r="AQ22" s="54">
        <f t="shared" si="32"/>
        <v>857664</v>
      </c>
      <c r="AR22" s="54">
        <f t="shared" si="33"/>
        <v>857664</v>
      </c>
      <c r="AS22" s="54">
        <f t="shared" si="34"/>
        <v>857664</v>
      </c>
      <c r="AT22" s="54">
        <f t="shared" si="35"/>
        <v>857664</v>
      </c>
      <c r="AU22" s="54">
        <f t="shared" si="36"/>
        <v>857664</v>
      </c>
      <c r="AV22" s="54">
        <f t="shared" si="37"/>
        <v>857664</v>
      </c>
      <c r="AW22" s="54">
        <f t="shared" si="38"/>
        <v>857664</v>
      </c>
    </row>
    <row r="23" spans="1:60" x14ac:dyDescent="0.2">
      <c r="A23" s="1" t="s">
        <v>67</v>
      </c>
      <c r="N23" s="1">
        <v>1</v>
      </c>
      <c r="O23" s="1">
        <f>N23+1</f>
        <v>2</v>
      </c>
      <c r="P23" s="1">
        <f t="shared" ref="P23:AW23" si="39">O23+1</f>
        <v>3</v>
      </c>
      <c r="Q23" s="1">
        <f t="shared" si="39"/>
        <v>4</v>
      </c>
      <c r="R23" s="1">
        <f t="shared" si="39"/>
        <v>5</v>
      </c>
      <c r="S23" s="1">
        <f t="shared" si="39"/>
        <v>6</v>
      </c>
      <c r="T23" s="1">
        <f t="shared" si="39"/>
        <v>7</v>
      </c>
      <c r="U23" s="1">
        <f t="shared" si="39"/>
        <v>8</v>
      </c>
      <c r="V23" s="1">
        <f t="shared" si="39"/>
        <v>9</v>
      </c>
      <c r="W23" s="1">
        <f t="shared" si="39"/>
        <v>10</v>
      </c>
      <c r="X23" s="1">
        <f t="shared" si="39"/>
        <v>11</v>
      </c>
      <c r="Y23" s="1">
        <f t="shared" si="39"/>
        <v>12</v>
      </c>
      <c r="Z23" s="1">
        <f t="shared" si="39"/>
        <v>13</v>
      </c>
      <c r="AA23" s="1">
        <f t="shared" si="39"/>
        <v>14</v>
      </c>
      <c r="AB23" s="1">
        <f t="shared" si="39"/>
        <v>15</v>
      </c>
      <c r="AC23" s="1">
        <f t="shared" si="39"/>
        <v>16</v>
      </c>
      <c r="AD23" s="1">
        <f t="shared" si="39"/>
        <v>17</v>
      </c>
      <c r="AE23" s="1">
        <f t="shared" si="39"/>
        <v>18</v>
      </c>
      <c r="AF23" s="1">
        <f t="shared" si="39"/>
        <v>19</v>
      </c>
      <c r="AG23" s="1">
        <f t="shared" si="39"/>
        <v>20</v>
      </c>
      <c r="AH23" s="1">
        <f t="shared" si="39"/>
        <v>21</v>
      </c>
      <c r="AI23" s="1">
        <f t="shared" si="39"/>
        <v>22</v>
      </c>
      <c r="AJ23" s="1">
        <f t="shared" si="39"/>
        <v>23</v>
      </c>
      <c r="AK23" s="1">
        <f t="shared" si="39"/>
        <v>24</v>
      </c>
      <c r="AL23" s="1">
        <f t="shared" si="39"/>
        <v>25</v>
      </c>
      <c r="AM23" s="1">
        <f t="shared" si="39"/>
        <v>26</v>
      </c>
      <c r="AN23" s="1">
        <f t="shared" si="39"/>
        <v>27</v>
      </c>
      <c r="AO23" s="1">
        <f t="shared" si="39"/>
        <v>28</v>
      </c>
      <c r="AP23" s="1">
        <f t="shared" si="39"/>
        <v>29</v>
      </c>
      <c r="AQ23" s="1">
        <f t="shared" si="39"/>
        <v>30</v>
      </c>
      <c r="AR23" s="1">
        <f t="shared" si="39"/>
        <v>31</v>
      </c>
      <c r="AS23" s="1">
        <f t="shared" si="39"/>
        <v>32</v>
      </c>
      <c r="AT23" s="1">
        <f t="shared" si="39"/>
        <v>33</v>
      </c>
      <c r="AU23" s="1">
        <f t="shared" si="39"/>
        <v>34</v>
      </c>
      <c r="AV23" s="1">
        <f t="shared" si="39"/>
        <v>35</v>
      </c>
      <c r="AW23" s="1">
        <f t="shared" si="39"/>
        <v>36</v>
      </c>
    </row>
    <row r="24" spans="1:60" s="15" customFormat="1" x14ac:dyDescent="0.2">
      <c r="A24" s="15" t="s">
        <v>68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41">
        <f>Z5*Z18*Z8</f>
        <v>-407924.27100027306</v>
      </c>
      <c r="AA24" s="41">
        <f>AA5*AA18*AA8</f>
        <v>-454981.83939342172</v>
      </c>
      <c r="AB24" s="41">
        <f>AB5*AB18*AB8</f>
        <v>-94123.229660175406</v>
      </c>
      <c r="AC24" s="41">
        <f>AC5*AC18*AC8</f>
        <v>1315503.2808776251</v>
      </c>
      <c r="AD24" s="41">
        <f>AD5*AD18*AD8</f>
        <v>1569747.9207337243</v>
      </c>
      <c r="AE24" s="41">
        <f>AE5*AE18*AE8</f>
        <v>1232996.6264984123</v>
      </c>
      <c r="AF24" s="41">
        <f>AF5*AF18*AF8</f>
        <v>2243718.7136095073</v>
      </c>
      <c r="AG24" s="41">
        <f>AG5*AG18*AG8</f>
        <v>256001.87649101048</v>
      </c>
      <c r="AH24" s="41">
        <f>AH5*AH18*AH8</f>
        <v>735731.22718724213</v>
      </c>
      <c r="AI24" s="41">
        <f>AI5*AI18*AI8</f>
        <v>-1992056.8331998123</v>
      </c>
      <c r="AJ24" s="41">
        <f>AJ5*AJ18*AJ8</f>
        <v>-2080960.2228966737</v>
      </c>
      <c r="AK24" s="41">
        <f>AK5*AK18*AK8</f>
        <v>-5084518.5830524396</v>
      </c>
      <c r="AL24" s="41">
        <f>AL5*AL18*AL8</f>
        <v>1383459.0011645926</v>
      </c>
      <c r="AM24" s="41">
        <f>AM5*AM18*AM8</f>
        <v>3020621.7702380656</v>
      </c>
      <c r="AN24" s="41">
        <f>AN5*AN18*AN8</f>
        <v>191370.88868001351</v>
      </c>
      <c r="AO24" s="41">
        <f>AO5*AO18*AO8</f>
        <v>-1032995.7791842818</v>
      </c>
      <c r="AP24" s="41">
        <f>AP5*AP18*AP8</f>
        <v>-98988.289676921733</v>
      </c>
      <c r="AQ24" s="41">
        <f>AQ5*AQ18*AQ8</f>
        <v>1252624.2625873014</v>
      </c>
      <c r="AR24" s="41">
        <f>AR5*AR18*AR8</f>
        <v>299206.31652019097</v>
      </c>
      <c r="AS24" s="41">
        <f>AS5*AS18*AS8</f>
        <v>359275.85342899465</v>
      </c>
      <c r="AT24" s="41">
        <f>AT5*AT18*AT8</f>
        <v>508243.11635906005</v>
      </c>
      <c r="AU24" s="41">
        <f>AU5*AU18*AU8</f>
        <v>331858.11854859954</v>
      </c>
      <c r="AV24" s="41">
        <f>AV5*AV18*AV8</f>
        <v>122998.54976677219</v>
      </c>
      <c r="AW24" s="41">
        <f>AW5*AW18*AW8</f>
        <v>-390006.90781987103</v>
      </c>
    </row>
    <row r="25" spans="1:60" x14ac:dyDescent="0.2">
      <c r="A25" s="1" t="s">
        <v>69</v>
      </c>
      <c r="O25" s="36"/>
      <c r="Z25" s="89">
        <f>Z5*Z17*Z8</f>
        <v>5261049.9158742651</v>
      </c>
      <c r="AA25" s="89">
        <f>AA5*AA17*AA8</f>
        <v>4928252.2647512183</v>
      </c>
      <c r="AB25" s="89">
        <f>AB5*AB17*AB8</f>
        <v>5748350.9627906159</v>
      </c>
      <c r="AC25" s="89">
        <f>AC5*AC17*AC8</f>
        <v>5942373.4025473837</v>
      </c>
      <c r="AD25" s="89">
        <f>AD5*AD17*AD8</f>
        <v>6154021.2207261007</v>
      </c>
      <c r="AE25" s="89">
        <f>AE5*AE17*AE8</f>
        <v>6208033.2375227977</v>
      </c>
      <c r="AF25" s="89">
        <f>AF5*AF17*AF8</f>
        <v>6923818.0023838682</v>
      </c>
      <c r="AG25" s="89">
        <f>AG5*AG17*AG8</f>
        <v>7674563.3774967212</v>
      </c>
      <c r="AH25" s="89">
        <f>AH5*AH17*AH8</f>
        <v>7614697.3913839357</v>
      </c>
      <c r="AI25" s="89">
        <f>AI5*AI17*AI8</f>
        <v>7830604.5200050361</v>
      </c>
      <c r="AJ25" s="89">
        <f>AJ5*AJ17*AJ8</f>
        <v>7904010.5277437596</v>
      </c>
      <c r="AK25" s="89">
        <f>AK5*AK17*AK8</f>
        <v>8601221.5608315989</v>
      </c>
      <c r="AL25" s="89">
        <f>AL5*AL17*AL8</f>
        <v>8913763.6047962215</v>
      </c>
      <c r="AM25" s="89">
        <f>AM5*AM17*AM8</f>
        <v>9411798.5924549904</v>
      </c>
      <c r="AN25" s="89">
        <f>AN5*AN17*AN8</f>
        <v>9630034.5808582604</v>
      </c>
      <c r="AO25" s="89">
        <f>AO5*AO17*AO8</f>
        <v>9567254.8086890392</v>
      </c>
      <c r="AP25" s="89">
        <f>AP5*AP17*AP8</f>
        <v>9510885.1309896354</v>
      </c>
      <c r="AQ25" s="89">
        <f>AQ5*AQ17*AQ8</f>
        <v>9564078.5730261635</v>
      </c>
      <c r="AR25" s="89">
        <f>AR5*AR17*AR8</f>
        <v>9353285.2844515704</v>
      </c>
      <c r="AS25" s="89">
        <f>AS5*AS17*AS8</f>
        <v>9344004.2073569205</v>
      </c>
      <c r="AT25" s="89">
        <f>AT5*AT17*AT8</f>
        <v>9246092.637589341</v>
      </c>
      <c r="AU25" s="89">
        <f>AU5*AU17*AU8</f>
        <v>9473801.9680108186</v>
      </c>
      <c r="AV25" s="89">
        <f>AV5*AV17*AV8</f>
        <v>9734255.9223507978</v>
      </c>
      <c r="AW25" s="89">
        <f>AW5*AW17*AW8</f>
        <v>10299127.239378812</v>
      </c>
    </row>
    <row r="26" spans="1:60" x14ac:dyDescent="0.2">
      <c r="O26" s="36"/>
      <c r="Z26" s="40"/>
      <c r="AK26" s="13"/>
    </row>
    <row r="27" spans="1:60" s="15" customFormat="1" x14ac:dyDescent="0.2">
      <c r="A27" s="26" t="s">
        <v>70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</row>
    <row r="28" spans="1:60" s="15" customFormat="1" x14ac:dyDescent="0.2">
      <c r="A28" s="15" t="s">
        <v>54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v>1794616172.196924</v>
      </c>
      <c r="Q28" s="5">
        <v>1875184316.9292541</v>
      </c>
      <c r="R28" s="5">
        <v>1748386276.6448689</v>
      </c>
      <c r="S28" s="5">
        <v>1684008113.5357831</v>
      </c>
      <c r="T28" s="5">
        <v>1670432611.7593853</v>
      </c>
      <c r="U28" s="5">
        <v>1708249404.6083825</v>
      </c>
      <c r="V28" s="5">
        <v>1606272176.7831779</v>
      </c>
      <c r="W28" s="5">
        <v>1768799289.1248684</v>
      </c>
      <c r="X28" s="5">
        <v>2003086338.3046224</v>
      </c>
      <c r="Y28" s="5">
        <v>2303545861.9232197</v>
      </c>
      <c r="Z28" s="5">
        <v>1843979411.5972261</v>
      </c>
      <c r="AA28" s="5">
        <v>1699786471.1019669</v>
      </c>
      <c r="AB28" s="5">
        <v>1794321340.6985788</v>
      </c>
      <c r="AC28" s="16">
        <v>1811345540.9395647</v>
      </c>
      <c r="AD28" s="16">
        <v>1754138940.939754</v>
      </c>
      <c r="AE28" s="16">
        <v>1597519286.6933467</v>
      </c>
      <c r="AF28" s="18">
        <v>1550068586.7100003</v>
      </c>
      <c r="AG28" s="18">
        <v>1585182023.1200004</v>
      </c>
      <c r="AH28" s="18">
        <v>1480444924.8600001</v>
      </c>
      <c r="AI28" s="18">
        <v>1664828937.7400002</v>
      </c>
      <c r="AJ28" s="18">
        <v>1914375414.8</v>
      </c>
      <c r="AK28" s="18">
        <v>2231687648.8699999</v>
      </c>
      <c r="AL28" s="18">
        <v>2243430106.9997711</v>
      </c>
      <c r="AM28" s="18">
        <v>2255234350.3542795</v>
      </c>
      <c r="AN28" s="18">
        <v>2267100704.0284891</v>
      </c>
      <c r="AO28" s="18">
        <v>2279029494.8279133</v>
      </c>
      <c r="AP28" s="18">
        <v>2291021051.2776165</v>
      </c>
      <c r="AQ28" s="18">
        <v>2303075703.6312618</v>
      </c>
      <c r="AR28" s="18">
        <v>2315193783.8802056</v>
      </c>
      <c r="AS28" s="18">
        <v>2327375625.7626414</v>
      </c>
      <c r="AT28" s="18">
        <v>2339621564.7727919</v>
      </c>
      <c r="AU28" s="18">
        <v>2351931938.1701465</v>
      </c>
      <c r="AV28" s="18">
        <v>2029237939.688</v>
      </c>
      <c r="AW28" s="18">
        <v>2365588907.8021998</v>
      </c>
    </row>
    <row r="29" spans="1:60" s="15" customFormat="1" x14ac:dyDescent="0.2">
      <c r="A29" s="15" t="s">
        <v>55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>
        <v>159964944.13822126</v>
      </c>
      <c r="Q29" s="6">
        <v>283584564.49884087</v>
      </c>
      <c r="R29" s="6">
        <v>329507058.64649671</v>
      </c>
      <c r="S29" s="6">
        <v>343556996.61905748</v>
      </c>
      <c r="T29" s="6">
        <v>389732967.46410203</v>
      </c>
      <c r="U29" s="6">
        <v>442270825.05594659</v>
      </c>
      <c r="V29" s="6">
        <v>434834802.88803566</v>
      </c>
      <c r="W29" s="6">
        <v>511308500.57861429</v>
      </c>
      <c r="X29" s="6">
        <v>605770352.99469292</v>
      </c>
      <c r="Y29" s="6">
        <v>685048313.10815942</v>
      </c>
      <c r="Z29" s="6">
        <v>573309165.94224322</v>
      </c>
      <c r="AA29" s="6">
        <v>550080064.47831655</v>
      </c>
      <c r="AB29" s="6">
        <v>600111467.5108794</v>
      </c>
      <c r="AC29" s="16">
        <v>632047529.59053659</v>
      </c>
      <c r="AD29" s="16">
        <v>627609438.10467088</v>
      </c>
      <c r="AE29" s="16">
        <v>569470119.04152703</v>
      </c>
      <c r="AF29" s="18">
        <f t="shared" ref="AF29:AW29" si="40">+AF28*AF30</f>
        <v>571550995.52262616</v>
      </c>
      <c r="AG29" s="18">
        <f t="shared" si="40"/>
        <v>604592072.9071703</v>
      </c>
      <c r="AH29" s="18">
        <f t="shared" si="40"/>
        <v>584056424.20774364</v>
      </c>
      <c r="AI29" s="18">
        <f t="shared" si="40"/>
        <v>679377884.59852672</v>
      </c>
      <c r="AJ29" s="18">
        <f t="shared" si="40"/>
        <v>808068425.01807606</v>
      </c>
      <c r="AK29" s="18">
        <f t="shared" si="40"/>
        <v>974391929.96070814</v>
      </c>
      <c r="AL29" s="16">
        <f t="shared" si="40"/>
        <v>979518882.4019891</v>
      </c>
      <c r="AM29" s="16">
        <f t="shared" si="40"/>
        <v>984672811.29958785</v>
      </c>
      <c r="AN29" s="16">
        <f t="shared" si="40"/>
        <v>989853858.59537053</v>
      </c>
      <c r="AO29" s="16">
        <f t="shared" si="40"/>
        <v>995062166.97805738</v>
      </c>
      <c r="AP29" s="16">
        <f t="shared" si="40"/>
        <v>1000297879.8871536</v>
      </c>
      <c r="AQ29" s="16">
        <f t="shared" si="40"/>
        <v>1005561141.5168989</v>
      </c>
      <c r="AR29" s="16">
        <f t="shared" si="40"/>
        <v>1010852096.8202388</v>
      </c>
      <c r="AS29" s="16">
        <f t="shared" si="40"/>
        <v>1016170891.5128174</v>
      </c>
      <c r="AT29" s="16">
        <f t="shared" si="40"/>
        <v>1021517672.0769897</v>
      </c>
      <c r="AU29" s="16">
        <f t="shared" si="40"/>
        <v>1026892585.765856</v>
      </c>
      <c r="AV29" s="16">
        <f t="shared" si="40"/>
        <v>885999021.14584017</v>
      </c>
      <c r="AW29" s="16">
        <f t="shared" si="40"/>
        <v>1032855445.7583506</v>
      </c>
      <c r="BG29" s="15" t="s">
        <v>3</v>
      </c>
      <c r="BH29" s="27">
        <f>3099888/2842842-1</f>
        <v>9.0418672581874082E-2</v>
      </c>
    </row>
    <row r="30" spans="1:60" s="15" customFormat="1" x14ac:dyDescent="0.2">
      <c r="A30" s="15" t="s">
        <v>56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f t="shared" ref="P30" si="41">P29/P28</f>
        <v>8.9136020624619811E-2</v>
      </c>
      <c r="Q30" s="11">
        <f t="shared" ref="Q30" si="42">Q29/Q28</f>
        <v>0.15123023477672345</v>
      </c>
      <c r="R30" s="11">
        <f t="shared" ref="R30" si="43">R29/R28</f>
        <v>0.1884635352313658</v>
      </c>
      <c r="S30" s="11">
        <f t="shared" ref="S30" si="44">S29/S28</f>
        <v>0.20401148537088526</v>
      </c>
      <c r="T30" s="11">
        <f t="shared" ref="T30" si="45">T29/T28</f>
        <v>0.23331259502507873</v>
      </c>
      <c r="U30" s="11">
        <f t="shared" ref="U30" si="46">U29/U28</f>
        <v>0.25890295870311603</v>
      </c>
      <c r="V30" s="11">
        <f t="shared" ref="V30" si="47">V29/V28</f>
        <v>0.27071053659091782</v>
      </c>
      <c r="W30" s="11">
        <f t="shared" ref="W30" si="48">W29/W28</f>
        <v>0.28907095549070999</v>
      </c>
      <c r="X30" s="11">
        <f t="shared" ref="X30" si="49">X29/X28</f>
        <v>0.30241849360692385</v>
      </c>
      <c r="Y30" s="11">
        <f t="shared" ref="Y30" si="50">Y29/Y28</f>
        <v>0.29738861484451445</v>
      </c>
      <c r="Z30" s="11">
        <f t="shared" ref="Z30" si="51">Z29/Z28</f>
        <v>0.31090865892350272</v>
      </c>
      <c r="AA30" s="11">
        <f t="shared" ref="AA30" si="52">AA29/AA28</f>
        <v>0.32361715652537298</v>
      </c>
      <c r="AB30" s="11">
        <f t="shared" ref="AB30:AE30" si="53">AB29/AB28</f>
        <v>0.33445038739674099</v>
      </c>
      <c r="AC30" s="11">
        <f t="shared" si="53"/>
        <v>0.3489381320709723</v>
      </c>
      <c r="AD30" s="11">
        <f t="shared" si="53"/>
        <v>0.35778775754698111</v>
      </c>
      <c r="AE30" s="11">
        <f t="shared" si="53"/>
        <v>0.35647151416885536</v>
      </c>
      <c r="AF30" s="19">
        <f>Premises!I5</f>
        <v>0.36872626180737944</v>
      </c>
      <c r="AG30" s="19">
        <f>Premises!J5</f>
        <v>0.38140230212628518</v>
      </c>
      <c r="AH30" s="19">
        <f>Premises!K5</f>
        <v>0.39451411828979421</v>
      </c>
      <c r="AI30" s="19">
        <f>Premises!L5</f>
        <v>0.4080766913631258</v>
      </c>
      <c r="AJ30" s="19">
        <f>Premises!M5</f>
        <v>0.42210551742929542</v>
      </c>
      <c r="AK30" s="19">
        <f>Premises!N5</f>
        <v>0.43661662529435291</v>
      </c>
      <c r="AL30" s="19">
        <f>AK30</f>
        <v>0.43661662529435291</v>
      </c>
      <c r="AM30" s="19">
        <f t="shared" ref="AM30:AW30" si="54">AL30</f>
        <v>0.43661662529435291</v>
      </c>
      <c r="AN30" s="19">
        <f t="shared" si="54"/>
        <v>0.43661662529435291</v>
      </c>
      <c r="AO30" s="19">
        <f t="shared" si="54"/>
        <v>0.43661662529435291</v>
      </c>
      <c r="AP30" s="19">
        <f t="shared" si="54"/>
        <v>0.43661662529435291</v>
      </c>
      <c r="AQ30" s="19">
        <f t="shared" si="54"/>
        <v>0.43661662529435291</v>
      </c>
      <c r="AR30" s="19">
        <f t="shared" si="54"/>
        <v>0.43661662529435291</v>
      </c>
      <c r="AS30" s="19">
        <f t="shared" si="54"/>
        <v>0.43661662529435291</v>
      </c>
      <c r="AT30" s="19">
        <f t="shared" si="54"/>
        <v>0.43661662529435291</v>
      </c>
      <c r="AU30" s="19">
        <f t="shared" si="54"/>
        <v>0.43661662529435291</v>
      </c>
      <c r="AV30" s="19">
        <f t="shared" si="54"/>
        <v>0.43661662529435291</v>
      </c>
      <c r="AW30" s="19">
        <f t="shared" si="54"/>
        <v>0.43661662529435291</v>
      </c>
      <c r="BG30" s="15" t="s">
        <v>4</v>
      </c>
      <c r="BH30" s="27">
        <f>1541929/1300486-1</f>
        <v>0.18565597784212984</v>
      </c>
    </row>
    <row r="31" spans="1:60" s="15" customFormat="1" x14ac:dyDescent="0.2">
      <c r="A31" s="15" t="s">
        <v>57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6">
        <v>639138</v>
      </c>
      <c r="Q31" s="6">
        <v>903857</v>
      </c>
      <c r="R31" s="6">
        <v>1010775</v>
      </c>
      <c r="S31" s="6">
        <v>1094135</v>
      </c>
      <c r="T31" s="6">
        <v>1250242</v>
      </c>
      <c r="U31" s="6">
        <v>1374465</v>
      </c>
      <c r="V31" s="6">
        <v>1443366</v>
      </c>
      <c r="W31" s="6">
        <v>1591160</v>
      </c>
      <c r="X31" s="6">
        <v>1744339</v>
      </c>
      <c r="Y31" s="6">
        <v>1889518</v>
      </c>
      <c r="Z31" s="6">
        <v>1850454</v>
      </c>
      <c r="AA31" s="6">
        <v>1868596</v>
      </c>
      <c r="AB31" s="6">
        <v>1952728</v>
      </c>
      <c r="AC31" s="16">
        <v>2036478</v>
      </c>
      <c r="AD31" s="16">
        <v>2022291</v>
      </c>
      <c r="AE31" s="16">
        <v>1979058</v>
      </c>
      <c r="AF31" s="18">
        <f t="shared" ref="AF31:AW31" si="55">AF48^AF47*AF46</f>
        <v>2179930.6325818538</v>
      </c>
      <c r="AG31" s="18">
        <f t="shared" si="55"/>
        <v>2234530.6765364767</v>
      </c>
      <c r="AH31" s="18">
        <f t="shared" si="55"/>
        <v>2287435.9350820878</v>
      </c>
      <c r="AI31" s="18">
        <f t="shared" si="55"/>
        <v>2338784.2640111051</v>
      </c>
      <c r="AJ31" s="18">
        <f t="shared" si="55"/>
        <v>2388696.051992252</v>
      </c>
      <c r="AK31" s="18">
        <f t="shared" si="55"/>
        <v>2437277.1519859922</v>
      </c>
      <c r="AL31" s="18">
        <f>AL48^AL47*AL46</f>
        <v>2484621.2109401538</v>
      </c>
      <c r="AM31" s="18">
        <f>AM48^AM47*AM46</f>
        <v>2530811.5418779538</v>
      </c>
      <c r="AN31" s="18">
        <f>AN48^AN47*AN46</f>
        <v>2575922.6434473936</v>
      </c>
      <c r="AO31" s="18">
        <f t="shared" si="55"/>
        <v>2620021.444665445</v>
      </c>
      <c r="AP31" s="18">
        <f t="shared" si="55"/>
        <v>2663168.333138668</v>
      </c>
      <c r="AQ31" s="18">
        <f t="shared" si="55"/>
        <v>2705418.0109939543</v>
      </c>
      <c r="AR31" s="18">
        <f t="shared" si="55"/>
        <v>2746820.2124691447</v>
      </c>
      <c r="AS31" s="18">
        <f t="shared" si="55"/>
        <v>2787420.3094905363</v>
      </c>
      <c r="AT31" s="18">
        <f t="shared" si="55"/>
        <v>2827259.8258487764</v>
      </c>
      <c r="AU31" s="18">
        <f t="shared" si="55"/>
        <v>2866376.8762532393</v>
      </c>
      <c r="AV31" s="18">
        <f t="shared" si="55"/>
        <v>2904806.5432300805</v>
      </c>
      <c r="AW31" s="18">
        <f t="shared" si="55"/>
        <v>2942581.2022686275</v>
      </c>
    </row>
    <row r="32" spans="1:60" hidden="1" x14ac:dyDescent="0.2">
      <c r="A32" s="20" t="s">
        <v>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>
        <v>204447</v>
      </c>
      <c r="Q32" s="8">
        <v>295356</v>
      </c>
      <c r="R32" s="8">
        <v>480561</v>
      </c>
      <c r="S32" s="8">
        <v>598375</v>
      </c>
      <c r="T32" s="8">
        <v>665698</v>
      </c>
      <c r="U32" s="8">
        <v>729986</v>
      </c>
      <c r="V32" s="8">
        <v>786653</v>
      </c>
      <c r="W32" s="8">
        <v>858143</v>
      </c>
      <c r="X32" s="8">
        <v>933768</v>
      </c>
      <c r="Y32" s="8">
        <v>1060976</v>
      </c>
      <c r="Z32" s="8">
        <v>1003997</v>
      </c>
      <c r="AA32" s="8">
        <v>1021755</v>
      </c>
      <c r="AB32" s="8">
        <v>1012711</v>
      </c>
      <c r="AC32" s="20">
        <v>1041995</v>
      </c>
      <c r="AD32" s="20">
        <v>1055741</v>
      </c>
      <c r="AE32" s="20">
        <v>1036284</v>
      </c>
      <c r="AF32" s="21" t="e">
        <f>AE32+#REF!</f>
        <v>#REF!</v>
      </c>
      <c r="AG32" s="21" t="e">
        <f>AF32+#REF!</f>
        <v>#REF!</v>
      </c>
      <c r="AH32" s="21" t="e">
        <f>AG32+#REF!</f>
        <v>#REF!</v>
      </c>
      <c r="AI32" s="21" t="e">
        <f>AH32+#REF!</f>
        <v>#REF!</v>
      </c>
      <c r="AJ32" s="21" t="e">
        <f>AI32+#REF!</f>
        <v>#REF!</v>
      </c>
      <c r="AK32" s="21" t="e">
        <f>AJ32+#REF!</f>
        <v>#REF!</v>
      </c>
      <c r="AL32" s="21" t="e">
        <f>AK32+#REF!</f>
        <v>#REF!</v>
      </c>
      <c r="AM32" s="21" t="e">
        <f>AL32+#REF!</f>
        <v>#REF!</v>
      </c>
      <c r="AN32" s="21" t="e">
        <f>AM32+#REF!</f>
        <v>#REF!</v>
      </c>
      <c r="AO32" s="21" t="e">
        <f>AN32+#REF!</f>
        <v>#REF!</v>
      </c>
      <c r="AP32" s="21" t="e">
        <f>AO32+#REF!</f>
        <v>#REF!</v>
      </c>
      <c r="AQ32" s="21" t="e">
        <f>AP32+#REF!</f>
        <v>#REF!</v>
      </c>
      <c r="AR32" s="21" t="e">
        <f>AQ32+#REF!</f>
        <v>#REF!</v>
      </c>
      <c r="AS32" s="21" t="e">
        <f>AR32+#REF!</f>
        <v>#REF!</v>
      </c>
      <c r="AT32" s="21" t="e">
        <f>AS32+#REF!</f>
        <v>#REF!</v>
      </c>
      <c r="AU32" s="21" t="e">
        <f>AT32+#REF!</f>
        <v>#REF!</v>
      </c>
      <c r="AV32" s="21" t="e">
        <f>AU32+#REF!</f>
        <v>#REF!</v>
      </c>
      <c r="AW32" s="21" t="e">
        <f>AV32+#REF!</f>
        <v>#REF!</v>
      </c>
    </row>
    <row r="33" spans="1:49" hidden="1" x14ac:dyDescent="0.2">
      <c r="A33" s="1" t="s">
        <v>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>
        <f t="shared" ref="P33:AA33" si="56">P32/P31</f>
        <v>0.31987927489837875</v>
      </c>
      <c r="Q33" s="7">
        <f t="shared" si="56"/>
        <v>0.32677292978867234</v>
      </c>
      <c r="R33" s="7">
        <f t="shared" si="56"/>
        <v>0.47543815389181571</v>
      </c>
      <c r="S33" s="7">
        <f t="shared" si="56"/>
        <v>0.54689320787654172</v>
      </c>
      <c r="T33" s="7">
        <f t="shared" si="56"/>
        <v>0.53245531665069645</v>
      </c>
      <c r="U33" s="7">
        <f t="shared" si="56"/>
        <v>0.5311055574350747</v>
      </c>
      <c r="V33" s="7">
        <f t="shared" si="56"/>
        <v>0.54501283804662159</v>
      </c>
      <c r="W33" s="7">
        <f t="shared" si="56"/>
        <v>0.53931911309987679</v>
      </c>
      <c r="X33" s="7">
        <f t="shared" si="56"/>
        <v>0.53531337658562927</v>
      </c>
      <c r="Y33" s="7">
        <f t="shared" si="56"/>
        <v>0.56150616188890501</v>
      </c>
      <c r="Z33" s="7">
        <f t="shared" si="56"/>
        <v>0.54256793197777409</v>
      </c>
      <c r="AA33" s="7">
        <f t="shared" si="56"/>
        <v>0.54680358943292184</v>
      </c>
      <c r="AB33" s="7">
        <f>AB32/AB31</f>
        <v>0.51861344744378124</v>
      </c>
      <c r="AC33" s="28">
        <f>AC32/AC31</f>
        <v>0.5116652377290597</v>
      </c>
      <c r="AD33" s="28">
        <f t="shared" ref="AD33:AW33" si="57">AD32/AD31</f>
        <v>0.52205196977091828</v>
      </c>
      <c r="AE33" s="28">
        <f t="shared" si="57"/>
        <v>0.52362487607740649</v>
      </c>
      <c r="AF33" s="22" t="e">
        <f t="shared" si="57"/>
        <v>#REF!</v>
      </c>
      <c r="AG33" s="22" t="e">
        <f t="shared" si="57"/>
        <v>#REF!</v>
      </c>
      <c r="AH33" s="22" t="e">
        <f t="shared" si="57"/>
        <v>#REF!</v>
      </c>
      <c r="AI33" s="22" t="e">
        <f t="shared" si="57"/>
        <v>#REF!</v>
      </c>
      <c r="AJ33" s="22" t="e">
        <f t="shared" si="57"/>
        <v>#REF!</v>
      </c>
      <c r="AK33" s="22" t="e">
        <f t="shared" si="57"/>
        <v>#REF!</v>
      </c>
      <c r="AL33" s="22" t="e">
        <f t="shared" si="57"/>
        <v>#REF!</v>
      </c>
      <c r="AM33" s="22" t="e">
        <f t="shared" si="57"/>
        <v>#REF!</v>
      </c>
      <c r="AN33" s="22" t="e">
        <f t="shared" si="57"/>
        <v>#REF!</v>
      </c>
      <c r="AO33" s="22" t="e">
        <f t="shared" si="57"/>
        <v>#REF!</v>
      </c>
      <c r="AP33" s="22" t="e">
        <f t="shared" si="57"/>
        <v>#REF!</v>
      </c>
      <c r="AQ33" s="22" t="e">
        <f t="shared" si="57"/>
        <v>#REF!</v>
      </c>
      <c r="AR33" s="22" t="e">
        <f t="shared" si="57"/>
        <v>#REF!</v>
      </c>
      <c r="AS33" s="22" t="e">
        <f t="shared" si="57"/>
        <v>#REF!</v>
      </c>
      <c r="AT33" s="22" t="e">
        <f t="shared" si="57"/>
        <v>#REF!</v>
      </c>
      <c r="AU33" s="22" t="e">
        <f t="shared" si="57"/>
        <v>#REF!</v>
      </c>
      <c r="AV33" s="22" t="e">
        <f t="shared" si="57"/>
        <v>#REF!</v>
      </c>
      <c r="AW33" s="22" t="e">
        <f t="shared" si="57"/>
        <v>#REF!</v>
      </c>
    </row>
    <row r="34" spans="1:49" hidden="1" x14ac:dyDescent="0.2">
      <c r="A34" s="1" t="s">
        <v>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9" t="e">
        <f>#REF!/P31</f>
        <v>#REF!</v>
      </c>
      <c r="Q34" s="9" t="e">
        <f>#REF!/Q31</f>
        <v>#REF!</v>
      </c>
      <c r="R34" s="9" t="e">
        <f>#REF!/R31</f>
        <v>#REF!</v>
      </c>
      <c r="S34" s="9" t="e">
        <f>#REF!/S31</f>
        <v>#REF!</v>
      </c>
      <c r="T34" s="9" t="e">
        <f>#REF!/T31</f>
        <v>#REF!</v>
      </c>
      <c r="U34" s="9" t="e">
        <f>#REF!/U31</f>
        <v>#REF!</v>
      </c>
      <c r="V34" s="9" t="e">
        <f>#REF!/V31</f>
        <v>#REF!</v>
      </c>
      <c r="W34" s="9" t="e">
        <f>#REF!/W31</f>
        <v>#REF!</v>
      </c>
      <c r="X34" s="9" t="e">
        <f>#REF!/X31</f>
        <v>#REF!</v>
      </c>
      <c r="Y34" s="9" t="e">
        <f>#REF!/Y31</f>
        <v>#REF!</v>
      </c>
      <c r="Z34" s="9" t="e">
        <f>#REF!/Z31</f>
        <v>#REF!</v>
      </c>
      <c r="AA34" s="9">
        <v>3.8294254081674155</v>
      </c>
      <c r="AB34" s="10">
        <v>4.0628909914744913</v>
      </c>
      <c r="AC34" s="29">
        <v>4.0632729644022669</v>
      </c>
      <c r="AD34" s="29">
        <v>4.0520404827989642</v>
      </c>
      <c r="AE34" s="29">
        <v>3.8977321533780214</v>
      </c>
      <c r="AF34" s="23" t="e">
        <f>AE34+(AE34*#REF!)</f>
        <v>#REF!</v>
      </c>
      <c r="AG34" s="23" t="e">
        <f>AF34+(AF34*#REF!)</f>
        <v>#REF!</v>
      </c>
      <c r="AH34" s="23" t="e">
        <f>AG34+(AG34*#REF!)</f>
        <v>#REF!</v>
      </c>
      <c r="AI34" s="23" t="e">
        <f>AH34+(AH34*#REF!)</f>
        <v>#REF!</v>
      </c>
      <c r="AJ34" s="23" t="e">
        <f>AI34+(AI34*#REF!)</f>
        <v>#REF!</v>
      </c>
      <c r="AK34" s="23" t="e">
        <f>AJ34+(AJ34*#REF!)</f>
        <v>#REF!</v>
      </c>
      <c r="AL34" s="23" t="e">
        <f>AK34+(AK34*#REF!)</f>
        <v>#REF!</v>
      </c>
      <c r="AM34" s="23" t="e">
        <f>AL34+(AL34*#REF!)</f>
        <v>#REF!</v>
      </c>
      <c r="AN34" s="23" t="e">
        <f>AM34+(AM34*#REF!)</f>
        <v>#REF!</v>
      </c>
      <c r="AO34" s="23" t="e">
        <f>AN34+(AN34*#REF!)</f>
        <v>#REF!</v>
      </c>
      <c r="AP34" s="23" t="e">
        <f>AO34+(AO34*#REF!)</f>
        <v>#REF!</v>
      </c>
      <c r="AQ34" s="23" t="e">
        <f>AP34+(AP34*#REF!)</f>
        <v>#REF!</v>
      </c>
      <c r="AR34" s="23" t="e">
        <f>AQ34+(AQ34*#REF!)</f>
        <v>#REF!</v>
      </c>
      <c r="AS34" s="23" t="e">
        <f>AR34+(AR34*#REF!)</f>
        <v>#REF!</v>
      </c>
      <c r="AT34" s="23" t="e">
        <f>AS34+(AS34*#REF!)</f>
        <v>#REF!</v>
      </c>
      <c r="AU34" s="23" t="e">
        <f>AT34+(AT34*#REF!)</f>
        <v>#REF!</v>
      </c>
      <c r="AV34" s="23" t="e">
        <f>AU34+(AU34*#REF!)</f>
        <v>#REF!</v>
      </c>
      <c r="AW34" s="23" t="e">
        <f>AV34+(AV34*#REF!)</f>
        <v>#REF!</v>
      </c>
    </row>
    <row r="35" spans="1:49" s="39" customFormat="1" x14ac:dyDescent="0.2">
      <c r="A35" s="39" t="s">
        <v>58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52"/>
      <c r="Q35" s="52"/>
      <c r="R35" s="52"/>
      <c r="S35" s="52"/>
      <c r="T35" s="52"/>
      <c r="U35" s="52"/>
      <c r="V35" s="40"/>
      <c r="W35" s="40"/>
      <c r="X35" s="40"/>
      <c r="Y35" s="40"/>
      <c r="Z35" s="49">
        <v>7.4999999999999997E-2</v>
      </c>
      <c r="AA35" s="49">
        <f>Z35</f>
        <v>7.4999999999999997E-2</v>
      </c>
      <c r="AB35" s="49">
        <f t="shared" ref="AB35:AK35" si="58">AA35</f>
        <v>7.4999999999999997E-2</v>
      </c>
      <c r="AC35" s="50">
        <f t="shared" si="58"/>
        <v>7.4999999999999997E-2</v>
      </c>
      <c r="AD35" s="50">
        <f t="shared" si="58"/>
        <v>7.4999999999999997E-2</v>
      </c>
      <c r="AE35" s="50">
        <f t="shared" si="58"/>
        <v>7.4999999999999997E-2</v>
      </c>
      <c r="AF35" s="51">
        <f t="shared" si="58"/>
        <v>7.4999999999999997E-2</v>
      </c>
      <c r="AG35" s="51">
        <f t="shared" si="58"/>
        <v>7.4999999999999997E-2</v>
      </c>
      <c r="AH35" s="51">
        <f t="shared" si="58"/>
        <v>7.4999999999999997E-2</v>
      </c>
      <c r="AI35" s="51">
        <f t="shared" si="58"/>
        <v>7.4999999999999997E-2</v>
      </c>
      <c r="AJ35" s="51">
        <f t="shared" si="58"/>
        <v>7.4999999999999997E-2</v>
      </c>
      <c r="AK35" s="51">
        <f t="shared" si="58"/>
        <v>7.4999999999999997E-2</v>
      </c>
      <c r="AL35" s="19">
        <f>AK35</f>
        <v>7.4999999999999997E-2</v>
      </c>
      <c r="AM35" s="19">
        <f t="shared" ref="AM35:AW35" si="59">AL35</f>
        <v>7.4999999999999997E-2</v>
      </c>
      <c r="AN35" s="19">
        <f t="shared" si="59"/>
        <v>7.4999999999999997E-2</v>
      </c>
      <c r="AO35" s="19">
        <f t="shared" si="59"/>
        <v>7.4999999999999997E-2</v>
      </c>
      <c r="AP35" s="19">
        <f t="shared" si="59"/>
        <v>7.4999999999999997E-2</v>
      </c>
      <c r="AQ35" s="19">
        <f t="shared" si="59"/>
        <v>7.4999999999999997E-2</v>
      </c>
      <c r="AR35" s="19">
        <f t="shared" si="59"/>
        <v>7.4999999999999997E-2</v>
      </c>
      <c r="AS35" s="19">
        <f t="shared" si="59"/>
        <v>7.4999999999999997E-2</v>
      </c>
      <c r="AT35" s="19">
        <f t="shared" si="59"/>
        <v>7.4999999999999997E-2</v>
      </c>
      <c r="AU35" s="19">
        <f t="shared" si="59"/>
        <v>7.4999999999999997E-2</v>
      </c>
      <c r="AV35" s="19">
        <f t="shared" si="59"/>
        <v>7.4999999999999997E-2</v>
      </c>
      <c r="AW35" s="19">
        <f t="shared" si="59"/>
        <v>7.4999999999999997E-2</v>
      </c>
    </row>
    <row r="36" spans="1:49" s="39" customFormat="1" x14ac:dyDescent="0.2">
      <c r="A36" s="39" t="s">
        <v>90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98">
        <v>50.86</v>
      </c>
      <c r="Q36" s="98">
        <v>51.56</v>
      </c>
      <c r="R36" s="98">
        <v>49.22</v>
      </c>
      <c r="S36" s="98">
        <v>49.76</v>
      </c>
      <c r="T36" s="98">
        <v>47.26</v>
      </c>
      <c r="U36" s="98">
        <v>46.69</v>
      </c>
      <c r="V36" s="99">
        <v>45.64</v>
      </c>
      <c r="W36" s="99">
        <v>46.95</v>
      </c>
      <c r="X36" s="99">
        <v>52.18</v>
      </c>
      <c r="Y36" s="99">
        <v>56.32</v>
      </c>
      <c r="Z36" s="99">
        <v>48.16</v>
      </c>
      <c r="AA36" s="99">
        <v>48.03</v>
      </c>
      <c r="AB36" s="99">
        <v>45.86</v>
      </c>
      <c r="AC36" s="100">
        <v>45.451378518740739</v>
      </c>
      <c r="AD36" s="100">
        <v>44.643423032299353</v>
      </c>
      <c r="AE36" s="100">
        <v>42.915073488833187</v>
      </c>
      <c r="AF36" s="101">
        <v>42.506452007573927</v>
      </c>
      <c r="AG36" s="101">
        <v>42.097830526314667</v>
      </c>
      <c r="AH36" s="101">
        <v>41.689209045055406</v>
      </c>
      <c r="AI36" s="101">
        <v>41.280587563796146</v>
      </c>
      <c r="AJ36" s="101">
        <v>40.871966082536886</v>
      </c>
      <c r="AK36" s="101">
        <v>40.463344601277626</v>
      </c>
      <c r="AL36" s="97">
        <v>40.054723120018366</v>
      </c>
      <c r="AM36" s="97">
        <v>39.646101638759106</v>
      </c>
      <c r="AN36" s="97">
        <v>39.237480157499846</v>
      </c>
      <c r="AO36" s="97">
        <v>38.828858676240586</v>
      </c>
      <c r="AP36" s="97">
        <v>38.420237194981326</v>
      </c>
      <c r="AQ36" s="97">
        <v>38.011615713722065</v>
      </c>
      <c r="AR36" s="97">
        <v>37.602994232462805</v>
      </c>
      <c r="AS36" s="97">
        <v>37.194372751203545</v>
      </c>
      <c r="AT36" s="97">
        <v>36.785751269944285</v>
      </c>
      <c r="AU36" s="97">
        <v>36.377129788685025</v>
      </c>
      <c r="AV36" s="97">
        <v>35.968508307425765</v>
      </c>
      <c r="AW36" s="97">
        <v>35.559886826166505</v>
      </c>
    </row>
    <row r="37" spans="1:49" s="39" customFormat="1" x14ac:dyDescent="0.2">
      <c r="A37" s="39" t="s">
        <v>91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98">
        <v>88.4</v>
      </c>
      <c r="Q37" s="98">
        <v>85.48</v>
      </c>
      <c r="R37" s="98">
        <v>82.84</v>
      </c>
      <c r="S37" s="98">
        <v>80.47</v>
      </c>
      <c r="T37" s="98">
        <v>76.180000000000007</v>
      </c>
      <c r="U37" s="98">
        <v>76.72</v>
      </c>
      <c r="V37" s="99">
        <v>74.87</v>
      </c>
      <c r="W37" s="99">
        <v>76.53</v>
      </c>
      <c r="X37" s="99">
        <v>83.22</v>
      </c>
      <c r="Y37" s="99">
        <v>86.33</v>
      </c>
      <c r="Z37" s="99">
        <v>76.73</v>
      </c>
      <c r="AA37" s="99">
        <v>76.87</v>
      </c>
      <c r="AB37" s="99">
        <v>75.64</v>
      </c>
      <c r="AC37" s="100">
        <v>76.382526054578051</v>
      </c>
      <c r="AD37" s="100">
        <v>76.58999501546127</v>
      </c>
      <c r="AE37" s="100">
        <v>73.824485170874354</v>
      </c>
      <c r="AF37" s="101">
        <v>74.567011225452404</v>
      </c>
      <c r="AG37" s="101">
        <v>75.309537280030455</v>
      </c>
      <c r="AH37" s="101">
        <v>76.052063334608505</v>
      </c>
      <c r="AI37" s="101">
        <v>76.794589389186555</v>
      </c>
      <c r="AJ37" s="101">
        <v>77.537115443764606</v>
      </c>
      <c r="AK37" s="101">
        <v>78.279641498342656</v>
      </c>
      <c r="AL37" s="97">
        <v>79.022167552920706</v>
      </c>
      <c r="AM37" s="97">
        <v>79.764693607498756</v>
      </c>
      <c r="AN37" s="97">
        <v>80.507219662076807</v>
      </c>
      <c r="AO37" s="97">
        <v>81.249745716654857</v>
      </c>
      <c r="AP37" s="97">
        <v>81.992271771232907</v>
      </c>
      <c r="AQ37" s="97">
        <v>82.734797825810958</v>
      </c>
      <c r="AR37" s="97">
        <v>83.477323880389008</v>
      </c>
      <c r="AS37" s="97">
        <v>84.219849934967058</v>
      </c>
      <c r="AT37" s="97">
        <v>84.962375989545109</v>
      </c>
      <c r="AU37" s="97">
        <v>85.704902044123159</v>
      </c>
      <c r="AV37" s="97">
        <v>86.447428098701209</v>
      </c>
      <c r="AW37" s="97">
        <v>87.18995415327926</v>
      </c>
    </row>
    <row r="38" spans="1:49" s="39" customFormat="1" x14ac:dyDescent="0.2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2"/>
      <c r="Q38" s="52"/>
      <c r="R38" s="52"/>
      <c r="S38" s="52"/>
      <c r="T38" s="52"/>
      <c r="U38" s="52"/>
      <c r="V38" s="40"/>
      <c r="W38" s="40"/>
      <c r="X38" s="40"/>
      <c r="Y38" s="40"/>
      <c r="Z38" s="49"/>
      <c r="AA38" s="49"/>
      <c r="AB38" s="49"/>
      <c r="AC38" s="50"/>
      <c r="AD38" s="50"/>
      <c r="AE38" s="50"/>
      <c r="AF38" s="51"/>
      <c r="AG38" s="51"/>
      <c r="AH38" s="51"/>
      <c r="AI38" s="51"/>
      <c r="AJ38" s="51"/>
      <c r="AK38" s="51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</row>
    <row r="39" spans="1:49" x14ac:dyDescent="0.2">
      <c r="A39" s="15" t="s">
        <v>59</v>
      </c>
      <c r="N39" s="13"/>
      <c r="Z39" s="13"/>
      <c r="AA39" s="13"/>
      <c r="AB39" s="13">
        <f t="shared" ref="AB39:AW39" si="60">AB31/P31-1</f>
        <v>2.0552525432692157</v>
      </c>
      <c r="AC39" s="13">
        <f t="shared" si="60"/>
        <v>1.2530975585739781</v>
      </c>
      <c r="AD39" s="13">
        <f t="shared" si="60"/>
        <v>1.0007331008384655</v>
      </c>
      <c r="AE39" s="13">
        <f t="shared" si="60"/>
        <v>0.80878776384998186</v>
      </c>
      <c r="AF39" s="13">
        <f t="shared" si="60"/>
        <v>0.74360694376117076</v>
      </c>
      <c r="AG39" s="13">
        <f t="shared" si="60"/>
        <v>0.62574578220360411</v>
      </c>
      <c r="AH39" s="13">
        <f t="shared" si="60"/>
        <v>0.58479272414764361</v>
      </c>
      <c r="AI39" s="13">
        <f t="shared" si="60"/>
        <v>0.46986114784880528</v>
      </c>
      <c r="AJ39" s="13">
        <f t="shared" si="60"/>
        <v>0.36939898264743953</v>
      </c>
      <c r="AK39" s="13">
        <f t="shared" si="60"/>
        <v>0.28989358766944395</v>
      </c>
      <c r="AL39" s="31">
        <f t="shared" si="60"/>
        <v>0.34270898435743535</v>
      </c>
      <c r="AM39" s="31">
        <f t="shared" si="60"/>
        <v>0.35439203652258366</v>
      </c>
      <c r="AN39" s="31">
        <f t="shared" si="60"/>
        <v>0.31914052722519148</v>
      </c>
      <c r="AO39" s="31">
        <f t="shared" si="60"/>
        <v>0.28654542040986697</v>
      </c>
      <c r="AP39" s="31">
        <f t="shared" si="60"/>
        <v>0.3169065842347456</v>
      </c>
      <c r="AQ39" s="31">
        <f t="shared" si="60"/>
        <v>0.36702310442339448</v>
      </c>
      <c r="AR39" s="31">
        <f t="shared" si="60"/>
        <v>0.26004936644056498</v>
      </c>
      <c r="AS39" s="31">
        <f t="shared" si="60"/>
        <v>0.24742986917102372</v>
      </c>
      <c r="AT39" s="31">
        <f t="shared" si="60"/>
        <v>0.23599519553202986</v>
      </c>
      <c r="AU39" s="31">
        <f t="shared" si="60"/>
        <v>0.2255841294815677</v>
      </c>
      <c r="AV39" s="31">
        <f t="shared" si="60"/>
        <v>0.21606369333066677</v>
      </c>
      <c r="AW39" s="31">
        <f t="shared" si="60"/>
        <v>0.20732318024271179</v>
      </c>
    </row>
    <row r="40" spans="1:49" x14ac:dyDescent="0.2">
      <c r="A40" s="15" t="s">
        <v>60</v>
      </c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>
        <f t="shared" ref="AL40:AW40" si="61">AVERAGE(AA39:AL39)</f>
        <v>0.77671628356065303</v>
      </c>
      <c r="AM40" s="13">
        <f t="shared" si="61"/>
        <v>0.74152259630748052</v>
      </c>
      <c r="AN40" s="13">
        <f t="shared" si="61"/>
        <v>0.59684659497047854</v>
      </c>
      <c r="AO40" s="13">
        <f t="shared" si="61"/>
        <v>0.51630058345680274</v>
      </c>
      <c r="AP40" s="13">
        <f t="shared" si="61"/>
        <v>0.45931504040649268</v>
      </c>
      <c r="AQ40" s="13">
        <f t="shared" si="61"/>
        <v>0.42250131878761038</v>
      </c>
      <c r="AR40" s="13">
        <f t="shared" si="61"/>
        <v>0.38220485401089332</v>
      </c>
      <c r="AS40" s="13">
        <f t="shared" si="61"/>
        <v>0.35067852792484483</v>
      </c>
      <c r="AT40" s="13">
        <f t="shared" si="61"/>
        <v>0.32161206720687702</v>
      </c>
      <c r="AU40" s="13">
        <f t="shared" si="61"/>
        <v>0.30125564900960727</v>
      </c>
      <c r="AV40" s="13">
        <f t="shared" si="61"/>
        <v>0.28847770823320956</v>
      </c>
      <c r="AW40" s="13">
        <f t="shared" si="61"/>
        <v>0.28159684094764853</v>
      </c>
    </row>
    <row r="41" spans="1:49" x14ac:dyDescent="0.2">
      <c r="P41" s="33"/>
    </row>
    <row r="42" spans="1:49" x14ac:dyDescent="0.2">
      <c r="A42" s="26" t="s">
        <v>71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 x14ac:dyDescent="0.2">
      <c r="A43" s="1" t="s">
        <v>62</v>
      </c>
      <c r="B43" s="31"/>
      <c r="Z43" s="43"/>
      <c r="AA43" s="43"/>
      <c r="AB43" s="43">
        <f>Premises!C8*Model!AB39</f>
        <v>1.9524899161057547</v>
      </c>
      <c r="AC43" s="43">
        <f>Premises!D8*Model!AC39</f>
        <v>1.190442680645279</v>
      </c>
      <c r="AD43" s="43">
        <f>Premises!E8*Model!AD39</f>
        <v>0.95069644579654211</v>
      </c>
      <c r="AE43" s="43">
        <f>Premises!F8*Model!AE39</f>
        <v>0.76834837565748271</v>
      </c>
      <c r="AF43" s="43">
        <f>Premises!G8*Model!AF39</f>
        <v>0.70642659657311224</v>
      </c>
      <c r="AG43" s="43">
        <f>Premises!H8*Model!AG39</f>
        <v>0.59445849309342391</v>
      </c>
      <c r="AH43" s="43">
        <f>Premises!I8*Model!AH39</f>
        <v>0.55555308794026137</v>
      </c>
      <c r="AI43" s="43">
        <f>Premises!J8*Model!AI39</f>
        <v>0.446368090456365</v>
      </c>
      <c r="AJ43" s="43">
        <f>Premises!K8*Model!AJ39</f>
        <v>0.35092903351506755</v>
      </c>
      <c r="AK43" s="43">
        <f>Premises!L8*Model!AK39</f>
        <v>0.27539890828597174</v>
      </c>
      <c r="AL43" s="43">
        <f>Premises!M8*Model!AL39</f>
        <v>0.32557353513956355</v>
      </c>
      <c r="AM43" s="43">
        <f>Premises!N8*Model!AM39</f>
        <v>0.33667243469645447</v>
      </c>
      <c r="AN43" s="43">
        <f>Premises!O8*Model!AN39</f>
        <v>0.31594912195293956</v>
      </c>
      <c r="AO43" s="43">
        <f>Premises!P8*Model!AO39</f>
        <v>0.2836799662057683</v>
      </c>
      <c r="AP43" s="43">
        <f>Premises!Q8*Model!AP39</f>
        <v>0.31373751839239816</v>
      </c>
      <c r="AQ43" s="43">
        <f>Premises!R8*Model!AQ39</f>
        <v>0.3633528733791605</v>
      </c>
      <c r="AR43" s="43">
        <f>Premises!S8*Model!AR39</f>
        <v>0.2574488727761593</v>
      </c>
      <c r="AS43" s="43">
        <f>Premises!T8*Model!AS39</f>
        <v>0.24495557047931349</v>
      </c>
      <c r="AT43" s="43">
        <f>Premises!U8*Model!AT39</f>
        <v>0.23363524357670956</v>
      </c>
      <c r="AU43" s="43">
        <f>Premises!V8*Model!AU39</f>
        <v>0.22332828818675202</v>
      </c>
      <c r="AV43" s="43">
        <f>Premises!W8*Model!AV39</f>
        <v>0.2139030563973601</v>
      </c>
      <c r="AW43" s="43">
        <f>Premises!X8*Model!AW39</f>
        <v>0.20524994844028466</v>
      </c>
    </row>
    <row r="44" spans="1:49" x14ac:dyDescent="0.2">
      <c r="A44" s="1" t="s">
        <v>72</v>
      </c>
      <c r="Z44" s="43"/>
      <c r="AA44" s="43"/>
      <c r="AB44" s="43">
        <f>(1-Premises!C8)*Model!AB39</f>
        <v>0.10276262716346088</v>
      </c>
      <c r="AC44" s="43">
        <f>(1-Premises!D8)*Model!AC39</f>
        <v>6.2654877928698963E-2</v>
      </c>
      <c r="AD44" s="43">
        <f>(1-Premises!E8)*Model!AD39</f>
        <v>5.0036655041923318E-2</v>
      </c>
      <c r="AE44" s="43">
        <f>(1-Premises!F8)*Model!AE39</f>
        <v>4.0439388192499127E-2</v>
      </c>
      <c r="AF44" s="43">
        <f>(1-Premises!G8)*Model!AF39</f>
        <v>3.7180347188058571E-2</v>
      </c>
      <c r="AG44" s="43">
        <f>(1-Premises!H8)*Model!AG39</f>
        <v>3.1287289110180236E-2</v>
      </c>
      <c r="AH44" s="43">
        <f>(1-Premises!I8)*Model!AH39</f>
        <v>2.9239636207382205E-2</v>
      </c>
      <c r="AI44" s="43">
        <f>(1-Premises!J8)*Model!AI39</f>
        <v>2.3493057392440286E-2</v>
      </c>
      <c r="AJ44" s="43">
        <f>(1-Premises!K8)*Model!AJ39</f>
        <v>1.8469949132371995E-2</v>
      </c>
      <c r="AK44" s="43">
        <f>(1-Premises!L8)*Model!AK39</f>
        <v>1.449467938347221E-2</v>
      </c>
      <c r="AL44" s="43">
        <f>(1-Premises!M8)*Model!AL39</f>
        <v>1.7135449217871784E-2</v>
      </c>
      <c r="AM44" s="43">
        <f>(1-Premises!N8)*Model!AM39</f>
        <v>1.7719601826129198E-2</v>
      </c>
      <c r="AN44" s="43">
        <f>(1-Premises!O8)*Model!AN39</f>
        <v>3.1914052722519176E-3</v>
      </c>
      <c r="AO44" s="43">
        <f>(1-Premises!P8)*Model!AO39</f>
        <v>2.8654542040986723E-3</v>
      </c>
      <c r="AP44" s="43">
        <f>(1-Premises!Q8)*Model!AP39</f>
        <v>3.1690658423474587E-3</v>
      </c>
      <c r="AQ44" s="43">
        <f>(1-Premises!R8)*Model!AQ39</f>
        <v>3.670231044233948E-3</v>
      </c>
      <c r="AR44" s="43">
        <f>(1-Premises!S8)*Model!AR39</f>
        <v>2.6004936644056522E-3</v>
      </c>
      <c r="AS44" s="43">
        <f>(1-Premises!T8)*Model!AS39</f>
        <v>2.4742986917102392E-3</v>
      </c>
      <c r="AT44" s="43">
        <f>(1-Premises!U8)*Model!AT39</f>
        <v>2.3599519553203006E-3</v>
      </c>
      <c r="AU44" s="43">
        <f>(1-Premises!V8)*Model!AU39</f>
        <v>2.255841294815679E-3</v>
      </c>
      <c r="AV44" s="43">
        <f>(1-Premises!W8)*Model!AV39</f>
        <v>2.1606369333066699E-3</v>
      </c>
      <c r="AW44" s="43">
        <f>(1-Premises!X8)*Model!AW39</f>
        <v>2.0732318024271196E-3</v>
      </c>
    </row>
    <row r="45" spans="1:49" x14ac:dyDescent="0.2">
      <c r="A45" s="15" t="s">
        <v>73</v>
      </c>
      <c r="AA45" s="13"/>
      <c r="AB45" s="13"/>
      <c r="AC45" s="13"/>
      <c r="AD45" s="13"/>
      <c r="AE45" s="13"/>
    </row>
    <row r="46" spans="1:49" hidden="1" x14ac:dyDescent="0.2">
      <c r="A46" s="1" t="s">
        <v>31</v>
      </c>
      <c r="AA46" s="13"/>
      <c r="AB46" s="13"/>
      <c r="AC46" s="13"/>
      <c r="AD46" s="13"/>
      <c r="AE46" s="13"/>
      <c r="AF46" s="24">
        <v>639594</v>
      </c>
      <c r="AG46" s="24">
        <f t="shared" ref="AG46:AK47" si="62">AF46</f>
        <v>639594</v>
      </c>
      <c r="AH46" s="24">
        <f t="shared" si="62"/>
        <v>639594</v>
      </c>
      <c r="AI46" s="24">
        <f t="shared" si="62"/>
        <v>639594</v>
      </c>
      <c r="AJ46" s="24">
        <f t="shared" si="62"/>
        <v>639594</v>
      </c>
      <c r="AK46" s="24">
        <f t="shared" si="62"/>
        <v>639594</v>
      </c>
      <c r="AL46" s="24">
        <f t="shared" ref="AL46:AL47" si="63">AK46</f>
        <v>639594</v>
      </c>
      <c r="AM46" s="24">
        <f t="shared" ref="AM46:AM47" si="64">AL46</f>
        <v>639594</v>
      </c>
      <c r="AN46" s="24">
        <f t="shared" ref="AN46:AN47" si="65">AM46</f>
        <v>639594</v>
      </c>
      <c r="AO46" s="24">
        <f t="shared" ref="AO46:AO47" si="66">AN46</f>
        <v>639594</v>
      </c>
      <c r="AP46" s="24">
        <f t="shared" ref="AP46:AP47" si="67">AO46</f>
        <v>639594</v>
      </c>
      <c r="AQ46" s="24">
        <f t="shared" ref="AQ46:AQ47" si="68">AP46</f>
        <v>639594</v>
      </c>
      <c r="AR46" s="24">
        <f t="shared" ref="AR46:AR47" si="69">AQ46</f>
        <v>639594</v>
      </c>
      <c r="AS46" s="24">
        <f t="shared" ref="AS46:AS47" si="70">AR46</f>
        <v>639594</v>
      </c>
      <c r="AT46" s="24">
        <f t="shared" ref="AT46:AT47" si="71">AS46</f>
        <v>639594</v>
      </c>
      <c r="AU46" s="24">
        <f t="shared" ref="AU46:AU47" si="72">AT46</f>
        <v>639594</v>
      </c>
      <c r="AV46" s="24">
        <f t="shared" ref="AV46:AV47" si="73">AU46</f>
        <v>639594</v>
      </c>
      <c r="AW46" s="24">
        <f t="shared" ref="AW46:AW47" si="74">AV46</f>
        <v>639594</v>
      </c>
    </row>
    <row r="47" spans="1:49" hidden="1" x14ac:dyDescent="0.2">
      <c r="A47" s="1" t="s">
        <v>32</v>
      </c>
      <c r="AF47" s="1">
        <v>0.43280000000000002</v>
      </c>
      <c r="AG47" s="1">
        <f t="shared" si="62"/>
        <v>0.43280000000000002</v>
      </c>
      <c r="AH47" s="1">
        <f t="shared" si="62"/>
        <v>0.43280000000000002</v>
      </c>
      <c r="AI47" s="1">
        <f t="shared" si="62"/>
        <v>0.43280000000000002</v>
      </c>
      <c r="AJ47" s="1">
        <f t="shared" si="62"/>
        <v>0.43280000000000002</v>
      </c>
      <c r="AK47" s="1">
        <f t="shared" si="62"/>
        <v>0.43280000000000002</v>
      </c>
      <c r="AL47" s="1">
        <f t="shared" si="63"/>
        <v>0.43280000000000002</v>
      </c>
      <c r="AM47" s="1">
        <f t="shared" si="64"/>
        <v>0.43280000000000002</v>
      </c>
      <c r="AN47" s="1">
        <f t="shared" si="65"/>
        <v>0.43280000000000002</v>
      </c>
      <c r="AO47" s="1">
        <f t="shared" si="66"/>
        <v>0.43280000000000002</v>
      </c>
      <c r="AP47" s="1">
        <f t="shared" si="67"/>
        <v>0.43280000000000002</v>
      </c>
      <c r="AQ47" s="1">
        <f t="shared" si="68"/>
        <v>0.43280000000000002</v>
      </c>
      <c r="AR47" s="1">
        <f t="shared" si="69"/>
        <v>0.43280000000000002</v>
      </c>
      <c r="AS47" s="1">
        <f t="shared" si="70"/>
        <v>0.43280000000000002</v>
      </c>
      <c r="AT47" s="1">
        <f t="shared" si="71"/>
        <v>0.43280000000000002</v>
      </c>
      <c r="AU47" s="1">
        <f t="shared" si="72"/>
        <v>0.43280000000000002</v>
      </c>
      <c r="AV47" s="1">
        <f t="shared" si="73"/>
        <v>0.43280000000000002</v>
      </c>
      <c r="AW47" s="1">
        <f t="shared" si="74"/>
        <v>0.43280000000000002</v>
      </c>
    </row>
    <row r="48" spans="1:49" hidden="1" x14ac:dyDescent="0.2">
      <c r="A48" s="1" t="s">
        <v>33</v>
      </c>
      <c r="AF48" s="1">
        <v>17</v>
      </c>
      <c r="AG48" s="1">
        <f>AF48+1</f>
        <v>18</v>
      </c>
      <c r="AH48" s="1">
        <f>AG48+1</f>
        <v>19</v>
      </c>
      <c r="AI48" s="1">
        <f>AH48+1</f>
        <v>20</v>
      </c>
      <c r="AJ48" s="1">
        <f>AI48+1</f>
        <v>21</v>
      </c>
      <c r="AK48" s="1">
        <f>AJ48+1</f>
        <v>22</v>
      </c>
      <c r="AL48" s="1">
        <f t="shared" ref="AL48:AW48" si="75">AK48+1</f>
        <v>23</v>
      </c>
      <c r="AM48" s="1">
        <f t="shared" si="75"/>
        <v>24</v>
      </c>
      <c r="AN48" s="1">
        <f t="shared" si="75"/>
        <v>25</v>
      </c>
      <c r="AO48" s="1">
        <f t="shared" si="75"/>
        <v>26</v>
      </c>
      <c r="AP48" s="1">
        <f t="shared" si="75"/>
        <v>27</v>
      </c>
      <c r="AQ48" s="1">
        <f t="shared" si="75"/>
        <v>28</v>
      </c>
      <c r="AR48" s="1">
        <f t="shared" si="75"/>
        <v>29</v>
      </c>
      <c r="AS48" s="1">
        <f t="shared" si="75"/>
        <v>30</v>
      </c>
      <c r="AT48" s="1">
        <f t="shared" si="75"/>
        <v>31</v>
      </c>
      <c r="AU48" s="1">
        <f t="shared" si="75"/>
        <v>32</v>
      </c>
      <c r="AV48" s="1">
        <f t="shared" si="75"/>
        <v>33</v>
      </c>
      <c r="AW48" s="1">
        <f t="shared" si="75"/>
        <v>34</v>
      </c>
    </row>
    <row r="49" spans="1:49" s="15" customFormat="1" x14ac:dyDescent="0.2">
      <c r="A49" s="15" t="s">
        <v>68</v>
      </c>
      <c r="Z49" s="42">
        <f>Z29*Z44*Z35</f>
        <v>0</v>
      </c>
      <c r="AA49" s="42">
        <f>AA29*AA44*AA35</f>
        <v>0</v>
      </c>
      <c r="AB49" s="42">
        <f>AB29*AB44*AB35</f>
        <v>4625177.3244253397</v>
      </c>
      <c r="AC49" s="42">
        <f>AC29*AC44*AC35</f>
        <v>2970064.5608723112</v>
      </c>
      <c r="AD49" s="42">
        <f>AD29*AD44*AD35</f>
        <v>2355260.7716624052</v>
      </c>
      <c r="AE49" s="42">
        <f>AE29*AE44*AE35</f>
        <v>1727176.740596175</v>
      </c>
      <c r="AF49" s="42">
        <f>AF29*AF44*AF35</f>
        <v>1593784.8336908813</v>
      </c>
      <c r="AG49" s="42">
        <f>AG29*AG44*AG35</f>
        <v>1418703.5234077354</v>
      </c>
      <c r="AH49" s="42">
        <f>AH29*AH44*AH35</f>
        <v>1280819.8026314189</v>
      </c>
      <c r="AI49" s="42">
        <f>AI29*AI44*AI35</f>
        <v>1197049.7725520895</v>
      </c>
      <c r="AJ49" s="42">
        <f>AJ29*AJ44*AJ35</f>
        <v>1119373.7029169863</v>
      </c>
      <c r="AK49" s="42">
        <f>AK29*AK44*AK35</f>
        <v>1059262.396396738</v>
      </c>
      <c r="AL49" s="42">
        <f>AL29*AL44*AL35</f>
        <v>1258837.2050509357</v>
      </c>
      <c r="AM49" s="42">
        <f>AM29*AM44*AM35</f>
        <v>1308600.760893296</v>
      </c>
      <c r="AN49" s="42">
        <f>AN29*AN44*AN35</f>
        <v>236926.8617310127</v>
      </c>
      <c r="AO49" s="42">
        <f>AO29*AO44*AO35</f>
        <v>213847.88022801073</v>
      </c>
      <c r="AP49" s="42">
        <f>AP29*AP44*AP35</f>
        <v>237750.73824922196</v>
      </c>
      <c r="AQ49" s="42">
        <f>AQ29*AQ44*AQ35</f>
        <v>276798.12888529862</v>
      </c>
      <c r="AR49" s="42">
        <f>AR29*AR44*AR35</f>
        <v>197153.585507415</v>
      </c>
      <c r="AS49" s="42">
        <f>AS29*AS44*AS35</f>
        <v>188573.27305681436</v>
      </c>
      <c r="AT49" s="42">
        <f>AT29*AT44*AT35</f>
        <v>180804.947070925</v>
      </c>
      <c r="AU49" s="42">
        <f>AU29*AU44*AU35</f>
        <v>173738.00252330021</v>
      </c>
      <c r="AV49" s="42">
        <f>AV29*AV44*AV35</f>
        <v>143574.16559709446</v>
      </c>
      <c r="AW49" s="42">
        <f>AW29*AW44*AW35</f>
        <v>160601.15680921884</v>
      </c>
    </row>
    <row r="50" spans="1:49" x14ac:dyDescent="0.2">
      <c r="A50" s="1" t="s">
        <v>69</v>
      </c>
      <c r="AB50" s="24">
        <f>AB29*AB43*AB35</f>
        <v>87878369.164081365</v>
      </c>
      <c r="AC50" s="24">
        <f>AC29*AC43*AC35</f>
        <v>56431226.656573854</v>
      </c>
      <c r="AD50" s="24">
        <f>AD29*AD43*AD35</f>
        <v>44749954.661585659</v>
      </c>
      <c r="AE50" s="24">
        <f>AE29*AE43*AE35</f>
        <v>32816358.071327295</v>
      </c>
      <c r="AF50" s="24">
        <f>AF29*AF43*AF35</f>
        <v>30281911.840126716</v>
      </c>
      <c r="AG50" s="24">
        <f>AG29*AG43*AG35</f>
        <v>26955366.944746945</v>
      </c>
      <c r="AH50" s="24">
        <f>AH29*AH43*AH35</f>
        <v>24335576.249996942</v>
      </c>
      <c r="AI50" s="24">
        <f>AI29*AI43*AI35</f>
        <v>22743945.678489678</v>
      </c>
      <c r="AJ50" s="24">
        <f>AJ29*AJ43*AJ35</f>
        <v>21268100.355422717</v>
      </c>
      <c r="AK50" s="24">
        <f>AK29*AK43*AK35</f>
        <v>20125985.531538002</v>
      </c>
      <c r="AL50" s="24">
        <f>AL29*AL43*AL35</f>
        <v>23917906.895967752</v>
      </c>
      <c r="AM50" s="24">
        <f>AM29*AM43*AM35</f>
        <v>24863414.456972603</v>
      </c>
      <c r="AN50" s="24">
        <f>AN29*AN43*AN35</f>
        <v>23455759.311370239</v>
      </c>
      <c r="AO50" s="24">
        <f>AO29*AO43*AO35</f>
        <v>21170940.142573044</v>
      </c>
      <c r="AP50" s="24">
        <f>AP29*AP43*AP35</f>
        <v>23537323.086672954</v>
      </c>
      <c r="AQ50" s="24">
        <f>AQ29*AQ43*AQ35</f>
        <v>27403014.759644538</v>
      </c>
      <c r="AR50" s="24">
        <f>AR29*AR43*AR35</f>
        <v>19518204.965234064</v>
      </c>
      <c r="AS50" s="24">
        <f>AS29*AS43*AS35</f>
        <v>18668754.032624606</v>
      </c>
      <c r="AT50" s="24">
        <f>AT29*AT43*AT35</f>
        <v>17899689.76002156</v>
      </c>
      <c r="AU50" s="24">
        <f>AU29*AU43*AU35</f>
        <v>17200062.249806706</v>
      </c>
      <c r="AV50" s="24">
        <f>AV29*AV43*AV35</f>
        <v>14213842.394112336</v>
      </c>
      <c r="AW50" s="24">
        <f>AW29*AW43*AW35</f>
        <v>15899514.524112651</v>
      </c>
    </row>
    <row r="52" spans="1:49" s="34" customFormat="1" x14ac:dyDescent="0.2">
      <c r="A52" s="45" t="s">
        <v>74</v>
      </c>
      <c r="B52" s="45">
        <f>B49+B24</f>
        <v>0</v>
      </c>
      <c r="C52" s="45">
        <f>C49+C24</f>
        <v>0</v>
      </c>
      <c r="D52" s="45">
        <f>D49+D24</f>
        <v>0</v>
      </c>
      <c r="E52" s="45">
        <f>E49+E24</f>
        <v>0</v>
      </c>
      <c r="F52" s="45">
        <f>F49+F24</f>
        <v>0</v>
      </c>
      <c r="G52" s="45">
        <f>G49+G24</f>
        <v>0</v>
      </c>
      <c r="H52" s="45">
        <f>H49+H24</f>
        <v>0</v>
      </c>
      <c r="I52" s="45">
        <f>I49+I24</f>
        <v>0</v>
      </c>
      <c r="J52" s="45">
        <f>J49+J24</f>
        <v>0</v>
      </c>
      <c r="K52" s="45">
        <f>K49+K24</f>
        <v>0</v>
      </c>
      <c r="L52" s="45">
        <f>L49+L24</f>
        <v>0</v>
      </c>
      <c r="M52" s="45">
        <f>M49+M24</f>
        <v>0</v>
      </c>
      <c r="N52" s="45">
        <f>N49+N24</f>
        <v>0</v>
      </c>
      <c r="O52" s="45">
        <f>O49+O24</f>
        <v>0</v>
      </c>
      <c r="P52" s="45">
        <f>P49+P24</f>
        <v>0</v>
      </c>
      <c r="Q52" s="45">
        <f>Q49+Q24</f>
        <v>0</v>
      </c>
      <c r="R52" s="45">
        <f>R49+R24</f>
        <v>0</v>
      </c>
      <c r="S52" s="45">
        <f>S49+S24</f>
        <v>0</v>
      </c>
      <c r="T52" s="45">
        <f>T49+T24</f>
        <v>0</v>
      </c>
      <c r="U52" s="45">
        <f>U49+U24</f>
        <v>0</v>
      </c>
      <c r="V52" s="45">
        <f>V49+V24</f>
        <v>0</v>
      </c>
      <c r="W52" s="45">
        <f>W49+W24</f>
        <v>0</v>
      </c>
      <c r="X52" s="45">
        <f>X49+X24</f>
        <v>0</v>
      </c>
      <c r="Y52" s="45">
        <f>Y49+Y24</f>
        <v>0</v>
      </c>
      <c r="Z52" s="83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f>AL49+AL24</f>
        <v>2642296.2062155283</v>
      </c>
      <c r="AM52" s="45">
        <f>AM49+AM24</f>
        <v>4329222.5311313616</v>
      </c>
      <c r="AN52" s="45">
        <f>AN49+AN24</f>
        <v>428297.75041102618</v>
      </c>
      <c r="AO52" s="45">
        <f>AO49+AO24</f>
        <v>-819147.89895627112</v>
      </c>
      <c r="AP52" s="45">
        <f>AP49+AP24</f>
        <v>138762.44857230023</v>
      </c>
      <c r="AQ52" s="45">
        <f>AQ49+AQ24</f>
        <v>1529422.3914725999</v>
      </c>
      <c r="AR52" s="45">
        <f>AR49+AR24</f>
        <v>496359.90202760597</v>
      </c>
      <c r="AS52" s="45">
        <f>AS49+AS24</f>
        <v>547849.12648580899</v>
      </c>
      <c r="AT52" s="45">
        <f>AT49+AT24</f>
        <v>689048.06342998508</v>
      </c>
      <c r="AU52" s="45">
        <f>AU49+AU24</f>
        <v>505596.12107189978</v>
      </c>
      <c r="AV52" s="45">
        <f>AV49+AV24</f>
        <v>266572.71536386665</v>
      </c>
      <c r="AW52" s="45">
        <f>AW49+AW24</f>
        <v>-229405.75101065219</v>
      </c>
    </row>
    <row r="53" spans="1:49" ht="15.75" x14ac:dyDescent="0.25">
      <c r="A53" s="46" t="s">
        <v>78</v>
      </c>
      <c r="B53" s="47">
        <f>B52</f>
        <v>0</v>
      </c>
      <c r="C53" s="47">
        <f>C52+B53</f>
        <v>0</v>
      </c>
      <c r="D53" s="47">
        <f t="shared" ref="D53:AW53" si="76">D52+C53</f>
        <v>0</v>
      </c>
      <c r="E53" s="47">
        <f t="shared" si="76"/>
        <v>0</v>
      </c>
      <c r="F53" s="47">
        <f t="shared" si="76"/>
        <v>0</v>
      </c>
      <c r="G53" s="47">
        <f t="shared" si="76"/>
        <v>0</v>
      </c>
      <c r="H53" s="47">
        <f t="shared" si="76"/>
        <v>0</v>
      </c>
      <c r="I53" s="47">
        <f t="shared" si="76"/>
        <v>0</v>
      </c>
      <c r="J53" s="47">
        <f t="shared" si="76"/>
        <v>0</v>
      </c>
      <c r="K53" s="47">
        <f t="shared" si="76"/>
        <v>0</v>
      </c>
      <c r="L53" s="47">
        <f t="shared" si="76"/>
        <v>0</v>
      </c>
      <c r="M53" s="47">
        <f t="shared" si="76"/>
        <v>0</v>
      </c>
      <c r="N53" s="47">
        <f t="shared" si="76"/>
        <v>0</v>
      </c>
      <c r="O53" s="47">
        <f t="shared" si="76"/>
        <v>0</v>
      </c>
      <c r="P53" s="47">
        <f t="shared" si="76"/>
        <v>0</v>
      </c>
      <c r="Q53" s="47">
        <f t="shared" si="76"/>
        <v>0</v>
      </c>
      <c r="R53" s="47">
        <f t="shared" si="76"/>
        <v>0</v>
      </c>
      <c r="S53" s="47">
        <f t="shared" si="76"/>
        <v>0</v>
      </c>
      <c r="T53" s="47">
        <f t="shared" si="76"/>
        <v>0</v>
      </c>
      <c r="U53" s="47">
        <f t="shared" si="76"/>
        <v>0</v>
      </c>
      <c r="V53" s="47">
        <f t="shared" si="76"/>
        <v>0</v>
      </c>
      <c r="W53" s="47">
        <f t="shared" si="76"/>
        <v>0</v>
      </c>
      <c r="X53" s="47">
        <f t="shared" si="76"/>
        <v>0</v>
      </c>
      <c r="Y53" s="47">
        <f t="shared" si="76"/>
        <v>0</v>
      </c>
      <c r="Z53" s="83">
        <f t="shared" si="76"/>
        <v>0</v>
      </c>
      <c r="AA53" s="47">
        <f t="shared" si="76"/>
        <v>0</v>
      </c>
      <c r="AB53" s="47">
        <f t="shared" si="76"/>
        <v>0</v>
      </c>
      <c r="AC53" s="47">
        <f t="shared" si="76"/>
        <v>0</v>
      </c>
      <c r="AD53" s="47">
        <f t="shared" si="76"/>
        <v>0</v>
      </c>
      <c r="AE53" s="47">
        <f t="shared" si="76"/>
        <v>0</v>
      </c>
      <c r="AF53" s="47">
        <v>0</v>
      </c>
      <c r="AG53" s="47">
        <v>0</v>
      </c>
      <c r="AH53" s="47">
        <v>0</v>
      </c>
      <c r="AI53" s="47">
        <v>0</v>
      </c>
      <c r="AJ53" s="47">
        <v>0</v>
      </c>
      <c r="AK53" s="48">
        <v>0</v>
      </c>
      <c r="AL53" s="48">
        <f>AL52</f>
        <v>2642296.2062155283</v>
      </c>
      <c r="AM53" s="48">
        <f t="shared" si="76"/>
        <v>6971518.7373468895</v>
      </c>
      <c r="AN53" s="48">
        <f t="shared" si="76"/>
        <v>7399816.4877579156</v>
      </c>
      <c r="AO53" s="48">
        <f t="shared" si="76"/>
        <v>6580668.5888016447</v>
      </c>
      <c r="AP53" s="48">
        <f t="shared" si="76"/>
        <v>6719431.0373739451</v>
      </c>
      <c r="AQ53" s="48">
        <f t="shared" si="76"/>
        <v>8248853.4288465455</v>
      </c>
      <c r="AR53" s="48">
        <f t="shared" si="76"/>
        <v>8745213.3308741506</v>
      </c>
      <c r="AS53" s="48">
        <f t="shared" si="76"/>
        <v>9293062.4573599603</v>
      </c>
      <c r="AT53" s="48">
        <f t="shared" si="76"/>
        <v>9982110.5207899455</v>
      </c>
      <c r="AU53" s="48">
        <f t="shared" si="76"/>
        <v>10487706.641861845</v>
      </c>
      <c r="AV53" s="48">
        <f t="shared" si="76"/>
        <v>10754279.357225712</v>
      </c>
      <c r="AW53" s="48">
        <f t="shared" si="76"/>
        <v>10524873.60621506</v>
      </c>
    </row>
    <row r="56" spans="1:49" hidden="1" x14ac:dyDescent="0.2">
      <c r="A56" s="59" t="s">
        <v>34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1" t="str">
        <f>Z2</f>
        <v>1501</v>
      </c>
      <c r="AA56" s="61" t="str">
        <f>AA2</f>
        <v>1502</v>
      </c>
      <c r="AB56" s="61" t="str">
        <f>AB2</f>
        <v>1503</v>
      </c>
      <c r="AC56" s="61" t="str">
        <f>AC2</f>
        <v>1504</v>
      </c>
      <c r="AD56" s="61" t="str">
        <f>AD2</f>
        <v>1505</v>
      </c>
      <c r="AE56" s="61" t="str">
        <f>AE2</f>
        <v>1506</v>
      </c>
      <c r="AF56" s="61" t="str">
        <f>AF2</f>
        <v>1507</v>
      </c>
      <c r="AG56" s="61" t="str">
        <f>AG2</f>
        <v>1508</v>
      </c>
      <c r="AH56" s="61" t="str">
        <f>AH2</f>
        <v>1509</v>
      </c>
      <c r="AI56" s="61" t="str">
        <f>AI2</f>
        <v>1510</v>
      </c>
      <c r="AJ56" s="61" t="str">
        <f>AJ2</f>
        <v>1511</v>
      </c>
      <c r="AK56" s="62" t="str">
        <f>AK2</f>
        <v>1512</v>
      </c>
    </row>
    <row r="57" spans="1:49" hidden="1" x14ac:dyDescent="0.2">
      <c r="A57" s="63" t="s">
        <v>45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9">
        <f>Z5/1000000</f>
        <v>350.58028639745476</v>
      </c>
      <c r="AA57" s="69">
        <f>AA5/1000000</f>
        <v>328.12577168773078</v>
      </c>
      <c r="AB57" s="69">
        <f>AB5/1000000</f>
        <v>375.3298778300109</v>
      </c>
      <c r="AC57" s="69">
        <f>AC5/1000000</f>
        <v>381.59466470248844</v>
      </c>
      <c r="AD57" s="69">
        <f>AD5/1000000</f>
        <v>377.80715413666337</v>
      </c>
      <c r="AE57" s="69">
        <f>AE5/1000000</f>
        <v>362.95623542055176</v>
      </c>
      <c r="AF57" s="69">
        <f>AF5/1000000</f>
        <v>378.96278152297668</v>
      </c>
      <c r="AG57" s="69">
        <f>AG5/1000000</f>
        <v>404.95500893767189</v>
      </c>
      <c r="AH57" s="69">
        <f>AH5/1000000</f>
        <v>387.18399502773838</v>
      </c>
      <c r="AI57" s="69">
        <f>AI5/1000000</f>
        <v>409.41271163100339</v>
      </c>
      <c r="AJ57" s="69">
        <f>AJ5/1000000</f>
        <v>428.78422792820732</v>
      </c>
      <c r="AK57" s="70">
        <f>AK5/1000000</f>
        <v>509.47271777051304</v>
      </c>
      <c r="AL57" s="20"/>
    </row>
    <row r="58" spans="1:49" hidden="1" x14ac:dyDescent="0.2">
      <c r="A58" s="63" t="s">
        <v>36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5">
        <f>Z8</f>
        <v>0.11</v>
      </c>
      <c r="AA58" s="65">
        <f>AA8</f>
        <v>0.11</v>
      </c>
      <c r="AB58" s="65">
        <f>AB8</f>
        <v>0.11</v>
      </c>
      <c r="AC58" s="65">
        <f>AC8</f>
        <v>0.11</v>
      </c>
      <c r="AD58" s="65">
        <f>AD8</f>
        <v>0.11</v>
      </c>
      <c r="AE58" s="65">
        <f>AE8</f>
        <v>0.11</v>
      </c>
      <c r="AF58" s="65">
        <f>AF8</f>
        <v>0.11</v>
      </c>
      <c r="AG58" s="65">
        <f>AG8</f>
        <v>0.11</v>
      </c>
      <c r="AH58" s="65">
        <f>AH8</f>
        <v>0.11</v>
      </c>
      <c r="AI58" s="65">
        <f>AI8</f>
        <v>0.11</v>
      </c>
      <c r="AJ58" s="65">
        <f>AJ8</f>
        <v>0.11</v>
      </c>
      <c r="AK58" s="66">
        <f>AK8</f>
        <v>0.11</v>
      </c>
      <c r="AL58" s="57"/>
    </row>
    <row r="59" spans="1:49" hidden="1" x14ac:dyDescent="0.2">
      <c r="A59" s="63" t="s">
        <v>39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71">
        <f>Z7/1000000</f>
        <v>0.99859100000000001</v>
      </c>
      <c r="AA59" s="71">
        <f>AA7/1000000</f>
        <v>0.98097900000000005</v>
      </c>
      <c r="AB59" s="71">
        <f>AB7/1000000</f>
        <v>1.033455</v>
      </c>
      <c r="AC59" s="71">
        <f>AC7/1000000</f>
        <v>1.0680780000000001</v>
      </c>
      <c r="AD59" s="71">
        <f>AD7/1000000</f>
        <v>1.0683800000000001</v>
      </c>
      <c r="AE59" s="71">
        <f>AE7/1000000</f>
        <v>1.0607800000000001</v>
      </c>
      <c r="AF59" s="71">
        <f>AF7/1000000</f>
        <v>1.0937991944002887</v>
      </c>
      <c r="AG59" s="71">
        <f>AG7/1000000</f>
        <v>1.1078898116556779</v>
      </c>
      <c r="AH59" s="71">
        <f>AH7/1000000</f>
        <v>1.1221619480561298</v>
      </c>
      <c r="AI59" s="71">
        <f>AI7/1000000</f>
        <v>1.1366179419803988</v>
      </c>
      <c r="AJ59" s="71">
        <f>AJ7/1000000</f>
        <v>1.1512601619308671</v>
      </c>
      <c r="AK59" s="72">
        <f>AK7/1000000</f>
        <v>1.1660910069216055</v>
      </c>
      <c r="AL59" s="20"/>
    </row>
    <row r="60" spans="1:49" ht="8.25" hidden="1" customHeight="1" x14ac:dyDescent="0.2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20"/>
    </row>
    <row r="61" spans="1:49" hidden="1" x14ac:dyDescent="0.2">
      <c r="A61" s="63" t="s">
        <v>35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5">
        <f>Z17</f>
        <v>0.13642446071176209</v>
      </c>
      <c r="AA61" s="65">
        <f>AA17</f>
        <v>0.1365400013704422</v>
      </c>
      <c r="AB61" s="65">
        <f>AB17</f>
        <v>0.13923148438781383</v>
      </c>
      <c r="AC61" s="65">
        <f>AC17</f>
        <v>0.14156795517283371</v>
      </c>
      <c r="AD61" s="65">
        <f>AD17</f>
        <v>0.14807990491601244</v>
      </c>
      <c r="AE61" s="65">
        <f>AE17</f>
        <v>0.15549165515856067</v>
      </c>
      <c r="AF61" s="65">
        <f>AF17</f>
        <v>0.16609493884521537</v>
      </c>
      <c r="AG61" s="65">
        <f>AG17</f>
        <v>0.17228767748859056</v>
      </c>
      <c r="AH61" s="65">
        <f>AH17</f>
        <v>0.17878972950546324</v>
      </c>
      <c r="AI61" s="65">
        <f>AI17</f>
        <v>0.17387665745558847</v>
      </c>
      <c r="AJ61" s="65">
        <f>AJ17</f>
        <v>0.16757762175277058</v>
      </c>
      <c r="AK61" s="66">
        <f>AK17</f>
        <v>0.15347813642007127</v>
      </c>
      <c r="AL61" s="57"/>
    </row>
    <row r="62" spans="1:49" hidden="1" x14ac:dyDescent="0.2">
      <c r="A62" s="63" t="s">
        <v>37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5">
        <f>Z18</f>
        <v>-1.0577897866837299E-2</v>
      </c>
      <c r="AA62" s="65">
        <f>AA18</f>
        <v>-1.2605527809246619E-2</v>
      </c>
      <c r="AB62" s="65">
        <f>AB18</f>
        <v>-2.2797698097750396E-3</v>
      </c>
      <c r="AC62" s="65">
        <f>AC18</f>
        <v>3.13398530992961E-2</v>
      </c>
      <c r="AD62" s="65">
        <f>AD18</f>
        <v>3.7771745417694874E-2</v>
      </c>
      <c r="AE62" s="65">
        <f>AE18</f>
        <v>3.088267715777604E-2</v>
      </c>
      <c r="AF62" s="65">
        <f>AF18</f>
        <v>5.3824396076633751E-2</v>
      </c>
      <c r="AG62" s="65">
        <f>AG18</f>
        <v>5.7470329664205122E-3</v>
      </c>
      <c r="AH62" s="65">
        <f>AH18</f>
        <v>1.7274644064827704E-2</v>
      </c>
      <c r="AI62" s="65">
        <f>AI18</f>
        <v>-4.4233134585390271E-2</v>
      </c>
      <c r="AJ62" s="65">
        <f>AJ18</f>
        <v>-4.4119673663274406E-2</v>
      </c>
      <c r="AK62" s="66">
        <f>AK18</f>
        <v>-9.0726931192394639E-2</v>
      </c>
    </row>
    <row r="63" spans="1:49" hidden="1" x14ac:dyDescent="0.2">
      <c r="A63" s="63" t="s">
        <v>38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5">
        <f>Z61+Z62</f>
        <v>0.12584656284492479</v>
      </c>
      <c r="AA63" s="65">
        <f t="shared" ref="AA63:AK63" si="77">AA61+AA62</f>
        <v>0.12393447356119558</v>
      </c>
      <c r="AB63" s="65">
        <f t="shared" si="77"/>
        <v>0.13695171457803879</v>
      </c>
      <c r="AC63" s="65">
        <f t="shared" si="77"/>
        <v>0.17290780827212981</v>
      </c>
      <c r="AD63" s="65">
        <f t="shared" si="77"/>
        <v>0.18585165033370732</v>
      </c>
      <c r="AE63" s="65">
        <f t="shared" si="77"/>
        <v>0.18637433231633671</v>
      </c>
      <c r="AF63" s="65">
        <f t="shared" si="77"/>
        <v>0.21991933492184912</v>
      </c>
      <c r="AG63" s="65">
        <f t="shared" si="77"/>
        <v>0.17803471045501107</v>
      </c>
      <c r="AH63" s="65">
        <f t="shared" si="77"/>
        <v>0.19606437357029094</v>
      </c>
      <c r="AI63" s="65">
        <f t="shared" si="77"/>
        <v>0.1296435228701982</v>
      </c>
      <c r="AJ63" s="65">
        <f t="shared" si="77"/>
        <v>0.12345794808949617</v>
      </c>
      <c r="AK63" s="66">
        <f t="shared" si="77"/>
        <v>6.2751205227676632E-2</v>
      </c>
    </row>
    <row r="64" spans="1:49" ht="8.25" hidden="1" customHeight="1" x14ac:dyDescent="0.2"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</row>
    <row r="65" spans="1:38" hidden="1" x14ac:dyDescent="0.2">
      <c r="A65" s="67" t="s">
        <v>40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73"/>
      <c r="AA65" s="73"/>
      <c r="AB65" s="73"/>
      <c r="AC65" s="73"/>
      <c r="AD65" s="73"/>
      <c r="AE65" s="73"/>
      <c r="AF65" s="73">
        <f>AF24/1000000</f>
        <v>2.2437187136095074</v>
      </c>
      <c r="AG65" s="73">
        <f>AG24/1000000</f>
        <v>0.25600187649101047</v>
      </c>
      <c r="AH65" s="73">
        <f>AH24/1000000</f>
        <v>0.73573122718724215</v>
      </c>
      <c r="AI65" s="73">
        <f>AI24/1000000</f>
        <v>-1.9920568331998123</v>
      </c>
      <c r="AJ65" s="73">
        <f>AJ24/1000000</f>
        <v>-2.0809602228966737</v>
      </c>
      <c r="AK65" s="74">
        <f>AK24/1000000</f>
        <v>-5.0845185830524393</v>
      </c>
    </row>
    <row r="66" spans="1:38" hidden="1" x14ac:dyDescent="0.2">
      <c r="A66" s="1" t="str">
        <f>A65</f>
        <v>Saving Programa Mais (MBRL)</v>
      </c>
      <c r="Z66" s="75">
        <f>Z65</f>
        <v>0</v>
      </c>
      <c r="AA66" s="75">
        <f>+AA65+Z66</f>
        <v>0</v>
      </c>
      <c r="AB66" s="75">
        <f t="shared" ref="AB66:AK66" si="78">+AB65+AA66</f>
        <v>0</v>
      </c>
      <c r="AC66" s="75">
        <f t="shared" si="78"/>
        <v>0</v>
      </c>
      <c r="AD66" s="75">
        <f t="shared" si="78"/>
        <v>0</v>
      </c>
      <c r="AE66" s="75">
        <f t="shared" si="78"/>
        <v>0</v>
      </c>
      <c r="AF66" s="75">
        <f t="shared" si="78"/>
        <v>2.2437187136095074</v>
      </c>
      <c r="AG66" s="75">
        <f t="shared" si="78"/>
        <v>2.4997205901005177</v>
      </c>
      <c r="AH66" s="75">
        <f t="shared" si="78"/>
        <v>3.23545181728776</v>
      </c>
      <c r="AI66" s="75">
        <f t="shared" si="78"/>
        <v>1.2433949840879477</v>
      </c>
      <c r="AJ66" s="75">
        <f t="shared" si="78"/>
        <v>-0.83756523880872602</v>
      </c>
      <c r="AK66" s="75">
        <f t="shared" si="78"/>
        <v>-5.9220838218611656</v>
      </c>
    </row>
    <row r="67" spans="1:38" hidden="1" x14ac:dyDescent="0.2"/>
    <row r="68" spans="1:38" hidden="1" x14ac:dyDescent="0.2">
      <c r="A68" s="59" t="s">
        <v>30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1" t="str">
        <f>Z56</f>
        <v>1501</v>
      </c>
      <c r="AA68" s="61" t="str">
        <f t="shared" ref="AA68:AK68" si="79">AA56</f>
        <v>1502</v>
      </c>
      <c r="AB68" s="61" t="str">
        <f t="shared" si="79"/>
        <v>1503</v>
      </c>
      <c r="AC68" s="61" t="str">
        <f t="shared" si="79"/>
        <v>1504</v>
      </c>
      <c r="AD68" s="61" t="str">
        <f t="shared" si="79"/>
        <v>1505</v>
      </c>
      <c r="AE68" s="61" t="str">
        <f t="shared" si="79"/>
        <v>1506</v>
      </c>
      <c r="AF68" s="61" t="str">
        <f t="shared" si="79"/>
        <v>1507</v>
      </c>
      <c r="AG68" s="61" t="str">
        <f t="shared" si="79"/>
        <v>1508</v>
      </c>
      <c r="AH68" s="61" t="str">
        <f t="shared" si="79"/>
        <v>1509</v>
      </c>
      <c r="AI68" s="61" t="str">
        <f t="shared" si="79"/>
        <v>1510</v>
      </c>
      <c r="AJ68" s="61" t="str">
        <f t="shared" si="79"/>
        <v>1511</v>
      </c>
      <c r="AK68" s="62" t="str">
        <f t="shared" si="79"/>
        <v>1512</v>
      </c>
    </row>
    <row r="69" spans="1:38" hidden="1" x14ac:dyDescent="0.2">
      <c r="A69" s="63" t="str">
        <f>A57</f>
        <v>Venda Identificada (MBRL)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9">
        <f>Z29/1000000</f>
        <v>573.30916594224323</v>
      </c>
      <c r="AA69" s="69">
        <f>AA29/1000000</f>
        <v>550.08006447831656</v>
      </c>
      <c r="AB69" s="69">
        <f>AB29/1000000</f>
        <v>600.11146751087938</v>
      </c>
      <c r="AC69" s="69">
        <f>AC29/1000000</f>
        <v>632.04752959053656</v>
      </c>
      <c r="AD69" s="69">
        <f>AD29/1000000</f>
        <v>627.60943810467086</v>
      </c>
      <c r="AE69" s="69">
        <f>AE29/1000000</f>
        <v>569.47011904152703</v>
      </c>
      <c r="AF69" s="69">
        <f>AF29/1000000</f>
        <v>571.55099552262618</v>
      </c>
      <c r="AG69" s="69">
        <f>AG29/1000000</f>
        <v>604.59207290717029</v>
      </c>
      <c r="AH69" s="69">
        <f>AH29/1000000</f>
        <v>584.05642420774359</v>
      </c>
      <c r="AI69" s="69">
        <f>AI29/1000000</f>
        <v>679.37788459852675</v>
      </c>
      <c r="AJ69" s="69">
        <f>AJ29/1000000</f>
        <v>808.06842501807603</v>
      </c>
      <c r="AK69" s="70">
        <f>AK29/1000000</f>
        <v>974.39192996070813</v>
      </c>
    </row>
    <row r="70" spans="1:38" hidden="1" x14ac:dyDescent="0.2">
      <c r="A70" s="63" t="str">
        <f>A58</f>
        <v>EBITDA da Bandeira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5">
        <f t="shared" ref="Z70:AK70" si="80">Z35</f>
        <v>7.4999999999999997E-2</v>
      </c>
      <c r="AA70" s="65">
        <f t="shared" si="80"/>
        <v>7.4999999999999997E-2</v>
      </c>
      <c r="AB70" s="65">
        <f t="shared" si="80"/>
        <v>7.4999999999999997E-2</v>
      </c>
      <c r="AC70" s="65">
        <f t="shared" si="80"/>
        <v>7.4999999999999997E-2</v>
      </c>
      <c r="AD70" s="65">
        <f t="shared" si="80"/>
        <v>7.4999999999999997E-2</v>
      </c>
      <c r="AE70" s="65">
        <f t="shared" si="80"/>
        <v>7.4999999999999997E-2</v>
      </c>
      <c r="AF70" s="65">
        <f t="shared" si="80"/>
        <v>7.4999999999999997E-2</v>
      </c>
      <c r="AG70" s="65">
        <f t="shared" si="80"/>
        <v>7.4999999999999997E-2</v>
      </c>
      <c r="AH70" s="65">
        <f t="shared" si="80"/>
        <v>7.4999999999999997E-2</v>
      </c>
      <c r="AI70" s="65">
        <f t="shared" si="80"/>
        <v>7.4999999999999997E-2</v>
      </c>
      <c r="AJ70" s="65">
        <f t="shared" si="80"/>
        <v>7.4999999999999997E-2</v>
      </c>
      <c r="AK70" s="66">
        <f t="shared" si="80"/>
        <v>7.4999999999999997E-2</v>
      </c>
    </row>
    <row r="71" spans="1:38" hidden="1" x14ac:dyDescent="0.2">
      <c r="A71" s="63" t="str">
        <f>A59</f>
        <v>Base Ativa do Programa (MM)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71">
        <f t="shared" ref="Z71:AK71" si="81">Z31/1000000</f>
        <v>1.850454</v>
      </c>
      <c r="AA71" s="71">
        <f t="shared" si="81"/>
        <v>1.8685959999999999</v>
      </c>
      <c r="AB71" s="71">
        <f t="shared" si="81"/>
        <v>1.952728</v>
      </c>
      <c r="AC71" s="71">
        <f t="shared" si="81"/>
        <v>2.0364779999999998</v>
      </c>
      <c r="AD71" s="71">
        <f t="shared" si="81"/>
        <v>2.0222910000000001</v>
      </c>
      <c r="AE71" s="71">
        <f t="shared" si="81"/>
        <v>1.979058</v>
      </c>
      <c r="AF71" s="71">
        <f t="shared" si="81"/>
        <v>2.1799306325818537</v>
      </c>
      <c r="AG71" s="71">
        <f t="shared" si="81"/>
        <v>2.2345306765364765</v>
      </c>
      <c r="AH71" s="71">
        <f t="shared" si="81"/>
        <v>2.2874359350820876</v>
      </c>
      <c r="AI71" s="71">
        <f t="shared" si="81"/>
        <v>2.338784264011105</v>
      </c>
      <c r="AJ71" s="71">
        <f t="shared" si="81"/>
        <v>2.3886960519922522</v>
      </c>
      <c r="AK71" s="72">
        <f t="shared" si="81"/>
        <v>2.4372771519859922</v>
      </c>
    </row>
    <row r="72" spans="1:38" ht="8.25" hidden="1" customHeight="1" x14ac:dyDescent="0.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20"/>
    </row>
    <row r="73" spans="1:38" hidden="1" x14ac:dyDescent="0.2">
      <c r="A73" s="76" t="str">
        <f>A61</f>
        <v>Uplift Orgânico Histórico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8"/>
      <c r="AA73" s="78"/>
      <c r="AB73" s="79">
        <f>AB43</f>
        <v>1.9524899161057547</v>
      </c>
      <c r="AC73" s="80">
        <f t="shared" ref="AC73:AK73" si="82">AC43</f>
        <v>1.190442680645279</v>
      </c>
      <c r="AD73" s="80">
        <f t="shared" si="82"/>
        <v>0.95069644579654211</v>
      </c>
      <c r="AE73" s="80">
        <f t="shared" si="82"/>
        <v>0.76834837565748271</v>
      </c>
      <c r="AF73" s="80">
        <f t="shared" si="82"/>
        <v>0.70642659657311224</v>
      </c>
      <c r="AG73" s="80">
        <f t="shared" si="82"/>
        <v>0.59445849309342391</v>
      </c>
      <c r="AH73" s="80">
        <f t="shared" si="82"/>
        <v>0.55555308794026137</v>
      </c>
      <c r="AI73" s="80">
        <f t="shared" si="82"/>
        <v>0.446368090456365</v>
      </c>
      <c r="AJ73" s="80">
        <f t="shared" si="82"/>
        <v>0.35092903351506755</v>
      </c>
      <c r="AK73" s="81">
        <f t="shared" si="82"/>
        <v>0.27539890828597174</v>
      </c>
    </row>
    <row r="74" spans="1:38" hidden="1" x14ac:dyDescent="0.2">
      <c r="A74" s="63" t="str">
        <f>A62</f>
        <v>(+) Uplift Adicional 2015 (Projeto)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5"/>
      <c r="AA74" s="65"/>
      <c r="AB74" s="65">
        <f>AB44</f>
        <v>0.10276262716346088</v>
      </c>
      <c r="AC74" s="65">
        <f t="shared" ref="AC74:AK74" si="83">AC44</f>
        <v>6.2654877928698963E-2</v>
      </c>
      <c r="AD74" s="65">
        <f t="shared" si="83"/>
        <v>5.0036655041923318E-2</v>
      </c>
      <c r="AE74" s="65">
        <f t="shared" si="83"/>
        <v>4.0439388192499127E-2</v>
      </c>
      <c r="AF74" s="65">
        <f t="shared" si="83"/>
        <v>3.7180347188058571E-2</v>
      </c>
      <c r="AG74" s="65">
        <f t="shared" si="83"/>
        <v>3.1287289110180236E-2</v>
      </c>
      <c r="AH74" s="65">
        <f t="shared" si="83"/>
        <v>2.9239636207382205E-2</v>
      </c>
      <c r="AI74" s="65">
        <f t="shared" si="83"/>
        <v>2.3493057392440286E-2</v>
      </c>
      <c r="AJ74" s="65">
        <f t="shared" si="83"/>
        <v>1.8469949132371995E-2</v>
      </c>
      <c r="AK74" s="66">
        <f t="shared" si="83"/>
        <v>1.449467938347221E-2</v>
      </c>
    </row>
    <row r="75" spans="1:38" hidden="1" x14ac:dyDescent="0.2">
      <c r="A75" s="63" t="str">
        <f>A63</f>
        <v>(=) Uplift Total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5"/>
      <c r="AA75" s="65"/>
      <c r="AB75" s="65">
        <f>AB73+AB74</f>
        <v>2.0552525432692157</v>
      </c>
      <c r="AC75" s="65">
        <f t="shared" ref="AC75:AK75" si="84">AC73+AC74</f>
        <v>1.2530975585739781</v>
      </c>
      <c r="AD75" s="65">
        <f t="shared" si="84"/>
        <v>1.0007331008384655</v>
      </c>
      <c r="AE75" s="65">
        <f t="shared" si="84"/>
        <v>0.80878776384998186</v>
      </c>
      <c r="AF75" s="65">
        <f t="shared" si="84"/>
        <v>0.74360694376117076</v>
      </c>
      <c r="AG75" s="65">
        <f t="shared" si="84"/>
        <v>0.62574578220360411</v>
      </c>
      <c r="AH75" s="65">
        <f t="shared" si="84"/>
        <v>0.58479272414764361</v>
      </c>
      <c r="AI75" s="65">
        <f t="shared" si="84"/>
        <v>0.46986114784880528</v>
      </c>
      <c r="AJ75" s="65">
        <f t="shared" si="84"/>
        <v>0.36939898264743953</v>
      </c>
      <c r="AK75" s="66">
        <f t="shared" si="84"/>
        <v>0.28989358766944395</v>
      </c>
    </row>
    <row r="76" spans="1:38" ht="8.25" hidden="1" customHeight="1" x14ac:dyDescent="0.2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20"/>
    </row>
    <row r="77" spans="1:38" hidden="1" x14ac:dyDescent="0.2">
      <c r="A77" s="67" t="s">
        <v>41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73"/>
      <c r="AA77" s="73"/>
      <c r="AB77" s="73"/>
      <c r="AC77" s="73"/>
      <c r="AD77" s="73"/>
      <c r="AE77" s="73"/>
      <c r="AF77" s="73"/>
      <c r="AG77" s="73"/>
      <c r="AH77" s="73"/>
      <c r="AI77" s="73">
        <f>AI49/1000000</f>
        <v>1.1970497725520894</v>
      </c>
      <c r="AJ77" s="73">
        <f>AJ49/1000000</f>
        <v>1.1193737029169863</v>
      </c>
      <c r="AK77" s="74">
        <f>AK49/1000000</f>
        <v>1.059262396396738</v>
      </c>
    </row>
    <row r="78" spans="1:38" hidden="1" x14ac:dyDescent="0.2">
      <c r="A78" s="1" t="s">
        <v>41</v>
      </c>
      <c r="Z78" s="75">
        <f>Z77</f>
        <v>0</v>
      </c>
      <c r="AA78" s="75">
        <f>AA77+Z78</f>
        <v>0</v>
      </c>
      <c r="AB78" s="75">
        <f t="shared" ref="AB78:AK78" si="85">AB77+AA78</f>
        <v>0</v>
      </c>
      <c r="AC78" s="75">
        <f t="shared" si="85"/>
        <v>0</v>
      </c>
      <c r="AD78" s="75">
        <f t="shared" si="85"/>
        <v>0</v>
      </c>
      <c r="AE78" s="75">
        <f t="shared" si="85"/>
        <v>0</v>
      </c>
      <c r="AF78" s="75">
        <f t="shared" si="85"/>
        <v>0</v>
      </c>
      <c r="AG78" s="75">
        <f t="shared" si="85"/>
        <v>0</v>
      </c>
      <c r="AH78" s="75">
        <f t="shared" si="85"/>
        <v>0</v>
      </c>
      <c r="AI78" s="75">
        <f t="shared" si="85"/>
        <v>1.1970497725520894</v>
      </c>
      <c r="AJ78" s="75">
        <f t="shared" si="85"/>
        <v>2.316423475469076</v>
      </c>
      <c r="AK78" s="75">
        <f t="shared" si="85"/>
        <v>3.375685871865814</v>
      </c>
    </row>
    <row r="79" spans="1:38" hidden="1" x14ac:dyDescent="0.2"/>
    <row r="80" spans="1:38" hidden="1" x14ac:dyDescent="0.2"/>
    <row r="81" spans="1:49" hidden="1" x14ac:dyDescent="0.2">
      <c r="A81" s="1" t="s">
        <v>43</v>
      </c>
      <c r="Z81" s="75">
        <f>Z66</f>
        <v>0</v>
      </c>
      <c r="AA81" s="75">
        <f t="shared" ref="AA81:AK81" si="86">AA66</f>
        <v>0</v>
      </c>
      <c r="AB81" s="75">
        <f t="shared" si="86"/>
        <v>0</v>
      </c>
      <c r="AC81" s="75">
        <f t="shared" si="86"/>
        <v>0</v>
      </c>
      <c r="AD81" s="75">
        <f t="shared" si="86"/>
        <v>0</v>
      </c>
      <c r="AE81" s="75">
        <f t="shared" si="86"/>
        <v>0</v>
      </c>
      <c r="AF81" s="75">
        <f t="shared" si="86"/>
        <v>2.2437187136095074</v>
      </c>
      <c r="AG81" s="75">
        <f t="shared" si="86"/>
        <v>2.4997205901005177</v>
      </c>
      <c r="AH81" s="75">
        <f t="shared" si="86"/>
        <v>3.23545181728776</v>
      </c>
      <c r="AI81" s="75">
        <f t="shared" si="86"/>
        <v>1.2433949840879477</v>
      </c>
      <c r="AJ81" s="75">
        <f t="shared" si="86"/>
        <v>-0.83756523880872602</v>
      </c>
      <c r="AK81" s="75">
        <f t="shared" si="86"/>
        <v>-5.9220838218611656</v>
      </c>
    </row>
    <row r="82" spans="1:49" hidden="1" x14ac:dyDescent="0.2">
      <c r="A82" s="1" t="s">
        <v>42</v>
      </c>
      <c r="Z82" s="75">
        <f>Z78</f>
        <v>0</v>
      </c>
      <c r="AA82" s="75">
        <f t="shared" ref="AA82:AK82" si="87">AA78</f>
        <v>0</v>
      </c>
      <c r="AB82" s="75">
        <f t="shared" si="87"/>
        <v>0</v>
      </c>
      <c r="AC82" s="75">
        <f t="shared" si="87"/>
        <v>0</v>
      </c>
      <c r="AD82" s="75">
        <f t="shared" si="87"/>
        <v>0</v>
      </c>
      <c r="AE82" s="75">
        <f t="shared" si="87"/>
        <v>0</v>
      </c>
      <c r="AF82" s="75">
        <f t="shared" si="87"/>
        <v>0</v>
      </c>
      <c r="AG82" s="75">
        <f t="shared" si="87"/>
        <v>0</v>
      </c>
      <c r="AH82" s="75">
        <f t="shared" si="87"/>
        <v>0</v>
      </c>
      <c r="AI82" s="75">
        <f t="shared" si="87"/>
        <v>1.1970497725520894</v>
      </c>
      <c r="AJ82" s="75">
        <f t="shared" si="87"/>
        <v>2.316423475469076</v>
      </c>
      <c r="AK82" s="75">
        <f t="shared" si="87"/>
        <v>3.375685871865814</v>
      </c>
    </row>
    <row r="83" spans="1:49" hidden="1" x14ac:dyDescent="0.2">
      <c r="A83" s="1" t="s">
        <v>44</v>
      </c>
      <c r="Z83" s="75">
        <f>Z81+Z82</f>
        <v>0</v>
      </c>
      <c r="AA83" s="75">
        <f t="shared" ref="AA83:AK83" si="88">AA81+AA82</f>
        <v>0</v>
      </c>
      <c r="AB83" s="75">
        <f t="shared" si="88"/>
        <v>0</v>
      </c>
      <c r="AC83" s="75">
        <f t="shared" si="88"/>
        <v>0</v>
      </c>
      <c r="AD83" s="75">
        <f t="shared" si="88"/>
        <v>0</v>
      </c>
      <c r="AE83" s="75">
        <f t="shared" si="88"/>
        <v>0</v>
      </c>
      <c r="AF83" s="75">
        <f t="shared" si="88"/>
        <v>2.2437187136095074</v>
      </c>
      <c r="AG83" s="75">
        <f t="shared" si="88"/>
        <v>2.4997205901005177</v>
      </c>
      <c r="AH83" s="75">
        <f t="shared" si="88"/>
        <v>3.23545181728776</v>
      </c>
      <c r="AI83" s="75">
        <f t="shared" si="88"/>
        <v>2.4404447566400371</v>
      </c>
      <c r="AJ83" s="75">
        <f t="shared" si="88"/>
        <v>1.47885823666035</v>
      </c>
      <c r="AK83" s="75">
        <f t="shared" si="88"/>
        <v>-2.5463979499953515</v>
      </c>
    </row>
    <row r="84" spans="1:49" hidden="1" x14ac:dyDescent="0.2"/>
    <row r="85" spans="1:49" hidden="1" x14ac:dyDescent="0.2"/>
    <row r="86" spans="1:49" hidden="1" x14ac:dyDescent="0.2"/>
    <row r="87" spans="1:49" hidden="1" x14ac:dyDescent="0.2"/>
    <row r="88" spans="1:49" x14ac:dyDescent="0.2">
      <c r="AK88" s="24"/>
    </row>
    <row r="94" spans="1:49" x14ac:dyDescent="0.2">
      <c r="N94" s="84">
        <v>41640</v>
      </c>
      <c r="O94" s="84">
        <v>41671</v>
      </c>
      <c r="P94" s="84">
        <v>41699</v>
      </c>
      <c r="Q94" s="84">
        <v>41730</v>
      </c>
      <c r="R94" s="84">
        <v>41760</v>
      </c>
      <c r="S94" s="84">
        <v>41791</v>
      </c>
      <c r="T94" s="84">
        <v>41821</v>
      </c>
      <c r="U94" s="84">
        <v>41852</v>
      </c>
      <c r="V94" s="84">
        <v>41883</v>
      </c>
      <c r="W94" s="84">
        <v>41913</v>
      </c>
      <c r="X94" s="84">
        <v>41944</v>
      </c>
      <c r="Y94" s="84">
        <v>41974</v>
      </c>
      <c r="Z94" s="84">
        <v>42005</v>
      </c>
      <c r="AA94" s="84">
        <v>42036</v>
      </c>
      <c r="AB94" s="84">
        <v>42064</v>
      </c>
      <c r="AC94" s="84">
        <v>42095</v>
      </c>
      <c r="AD94" s="84">
        <v>42125</v>
      </c>
      <c r="AE94" s="84">
        <v>42156</v>
      </c>
      <c r="AF94" s="84">
        <v>42186</v>
      </c>
      <c r="AG94" s="84">
        <v>42217</v>
      </c>
      <c r="AH94" s="84">
        <v>42248</v>
      </c>
      <c r="AI94" s="84">
        <v>42278</v>
      </c>
      <c r="AJ94" s="84">
        <v>42309</v>
      </c>
      <c r="AK94" s="84">
        <v>42339</v>
      </c>
      <c r="AL94" s="84">
        <v>42370</v>
      </c>
      <c r="AM94" s="84">
        <v>42401</v>
      </c>
      <c r="AN94" s="84">
        <v>42430</v>
      </c>
      <c r="AO94" s="84">
        <v>42461</v>
      </c>
      <c r="AP94" s="84">
        <v>42491</v>
      </c>
      <c r="AQ94" s="84">
        <v>42522</v>
      </c>
      <c r="AR94" s="84">
        <v>42552</v>
      </c>
      <c r="AS94" s="84">
        <v>42583</v>
      </c>
      <c r="AT94" s="84">
        <v>42614</v>
      </c>
      <c r="AU94" s="84">
        <v>42644</v>
      </c>
      <c r="AV94" s="84">
        <v>42675</v>
      </c>
      <c r="AW94" s="84">
        <v>42705</v>
      </c>
    </row>
    <row r="95" spans="1:49" x14ac:dyDescent="0.2">
      <c r="A95" s="95" t="s">
        <v>75</v>
      </c>
      <c r="B95" s="1" t="s">
        <v>49</v>
      </c>
      <c r="N95" s="20">
        <f>N96</f>
        <v>886969</v>
      </c>
      <c r="O95" s="20">
        <f t="shared" ref="O95:AE95" si="89">O96</f>
        <v>872808</v>
      </c>
      <c r="P95" s="20">
        <f t="shared" si="89"/>
        <v>908970</v>
      </c>
      <c r="Q95" s="20">
        <f t="shared" si="89"/>
        <v>910624</v>
      </c>
      <c r="R95" s="20">
        <f t="shared" si="89"/>
        <v>900939</v>
      </c>
      <c r="S95" s="20">
        <f t="shared" si="89"/>
        <v>894136</v>
      </c>
      <c r="T95" s="20">
        <f t="shared" si="89"/>
        <v>896616</v>
      </c>
      <c r="U95" s="20">
        <f t="shared" si="89"/>
        <v>940456</v>
      </c>
      <c r="V95" s="20">
        <f t="shared" si="89"/>
        <v>938212</v>
      </c>
      <c r="W95" s="20">
        <f t="shared" si="89"/>
        <v>1006174</v>
      </c>
      <c r="X95" s="20">
        <f t="shared" si="89"/>
        <v>1024747</v>
      </c>
      <c r="Y95" s="20">
        <f t="shared" si="89"/>
        <v>1097238</v>
      </c>
      <c r="Z95" s="20">
        <f t="shared" si="89"/>
        <v>998591</v>
      </c>
      <c r="AA95" s="20">
        <f t="shared" si="89"/>
        <v>980979</v>
      </c>
      <c r="AB95" s="20">
        <f t="shared" si="89"/>
        <v>1033455</v>
      </c>
      <c r="AC95" s="20">
        <f t="shared" si="89"/>
        <v>1068078</v>
      </c>
      <c r="AD95" s="20">
        <f t="shared" si="89"/>
        <v>1068380</v>
      </c>
      <c r="AE95" s="20">
        <f t="shared" si="89"/>
        <v>1060780</v>
      </c>
      <c r="AF95" s="20">
        <f>AF7</f>
        <v>1093799.1944002886</v>
      </c>
      <c r="AG95" s="20">
        <f>AG7</f>
        <v>1107889.8116556779</v>
      </c>
      <c r="AH95" s="20">
        <f>AH7</f>
        <v>1122161.9480561297</v>
      </c>
      <c r="AI95" s="20">
        <f>AI7</f>
        <v>1136617.9419803987</v>
      </c>
      <c r="AJ95" s="20">
        <f>AJ7</f>
        <v>1151260.161930867</v>
      </c>
      <c r="AK95" s="20">
        <f>AK7</f>
        <v>1166091.0069216054</v>
      </c>
      <c r="AL95" s="20">
        <f>AL7</f>
        <v>1181112.9068714336</v>
      </c>
      <c r="AM95" s="20">
        <f>AM7</f>
        <v>1196328.3230020429</v>
      </c>
      <c r="AN95" s="20">
        <f>AN7</f>
        <v>1211739.7482412485</v>
      </c>
      <c r="AO95" s="20">
        <f>AO7</f>
        <v>1227349.7076314366</v>
      </c>
      <c r="AP95" s="20">
        <f>AP7</f>
        <v>1243160.7587432733</v>
      </c>
      <c r="AQ95" s="20">
        <f>AQ7</f>
        <v>1259175.492094741</v>
      </c>
      <c r="AR95" s="20">
        <f>AR7</f>
        <v>1275396.5315755766</v>
      </c>
      <c r="AS95" s="20">
        <f>AS7</f>
        <v>1291826.534877175</v>
      </c>
      <c r="AT95" s="20">
        <f>AT7</f>
        <v>1308468.1939280303</v>
      </c>
      <c r="AU95" s="20">
        <f>AU7</f>
        <v>1325324.2353347889</v>
      </c>
      <c r="AV95" s="20">
        <f>AV7</f>
        <v>1342397.4208289809</v>
      </c>
      <c r="AW95" s="20">
        <f>AW7</f>
        <v>1359690.54771951</v>
      </c>
    </row>
    <row r="96" spans="1:49" x14ac:dyDescent="0.2">
      <c r="A96" s="95"/>
      <c r="B96" s="1" t="s">
        <v>50</v>
      </c>
      <c r="N96" s="20">
        <f>N7</f>
        <v>886969</v>
      </c>
      <c r="O96" s="20">
        <f>O7</f>
        <v>872808</v>
      </c>
      <c r="P96" s="20">
        <f>P7</f>
        <v>908970</v>
      </c>
      <c r="Q96" s="20">
        <f>Q7</f>
        <v>910624</v>
      </c>
      <c r="R96" s="20">
        <f>R7</f>
        <v>900939</v>
      </c>
      <c r="S96" s="20">
        <f>S7</f>
        <v>894136</v>
      </c>
      <c r="T96" s="20">
        <f>T7</f>
        <v>896616</v>
      </c>
      <c r="U96" s="20">
        <f>U7</f>
        <v>940456</v>
      </c>
      <c r="V96" s="20">
        <f>V7</f>
        <v>938212</v>
      </c>
      <c r="W96" s="20">
        <f>W7</f>
        <v>1006174</v>
      </c>
      <c r="X96" s="20">
        <f>X7</f>
        <v>1024747</v>
      </c>
      <c r="Y96" s="20">
        <f>Y7</f>
        <v>1097238</v>
      </c>
      <c r="Z96" s="20">
        <f>Z7</f>
        <v>998591</v>
      </c>
      <c r="AA96" s="20">
        <f>AA7</f>
        <v>980979</v>
      </c>
      <c r="AB96" s="20">
        <f>AB7</f>
        <v>1033455</v>
      </c>
      <c r="AC96" s="20">
        <f>AC7</f>
        <v>1068078</v>
      </c>
      <c r="AD96" s="20">
        <f>AD7</f>
        <v>1068380</v>
      </c>
      <c r="AE96" s="20">
        <f>AE7</f>
        <v>1060780</v>
      </c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</row>
    <row r="97" spans="1:49" x14ac:dyDescent="0.2">
      <c r="A97" s="95"/>
      <c r="B97" s="1" t="s">
        <v>51</v>
      </c>
      <c r="N97" s="20">
        <f>N98</f>
        <v>0</v>
      </c>
      <c r="O97" s="20">
        <f t="shared" ref="O97:AE97" si="90">O98</f>
        <v>0</v>
      </c>
      <c r="P97" s="20">
        <f t="shared" si="90"/>
        <v>639138</v>
      </c>
      <c r="Q97" s="20">
        <f t="shared" si="90"/>
        <v>903857</v>
      </c>
      <c r="R97" s="20">
        <f t="shared" si="90"/>
        <v>1010775</v>
      </c>
      <c r="S97" s="20">
        <f t="shared" si="90"/>
        <v>1094135</v>
      </c>
      <c r="T97" s="20">
        <f t="shared" si="90"/>
        <v>1250242</v>
      </c>
      <c r="U97" s="20">
        <f t="shared" si="90"/>
        <v>1374465</v>
      </c>
      <c r="V97" s="20">
        <f t="shared" si="90"/>
        <v>1443366</v>
      </c>
      <c r="W97" s="20">
        <f t="shared" si="90"/>
        <v>1591160</v>
      </c>
      <c r="X97" s="20">
        <f t="shared" si="90"/>
        <v>1744339</v>
      </c>
      <c r="Y97" s="20">
        <f t="shared" si="90"/>
        <v>1889518</v>
      </c>
      <c r="Z97" s="20">
        <f t="shared" si="90"/>
        <v>1850454</v>
      </c>
      <c r="AA97" s="20">
        <f t="shared" si="90"/>
        <v>1868596</v>
      </c>
      <c r="AB97" s="20">
        <f t="shared" si="90"/>
        <v>1952728</v>
      </c>
      <c r="AC97" s="20">
        <f t="shared" si="90"/>
        <v>2036478</v>
      </c>
      <c r="AD97" s="20">
        <f t="shared" si="90"/>
        <v>2022291</v>
      </c>
      <c r="AE97" s="20">
        <f t="shared" si="90"/>
        <v>1979058</v>
      </c>
      <c r="AF97" s="20">
        <f t="shared" ref="AF97:AW97" si="91">AF31</f>
        <v>2179930.6325818538</v>
      </c>
      <c r="AG97" s="20">
        <f t="shared" si="91"/>
        <v>2234530.6765364767</v>
      </c>
      <c r="AH97" s="20">
        <f t="shared" si="91"/>
        <v>2287435.9350820878</v>
      </c>
      <c r="AI97" s="20">
        <f t="shared" si="91"/>
        <v>2338784.2640111051</v>
      </c>
      <c r="AJ97" s="20">
        <f t="shared" si="91"/>
        <v>2388696.051992252</v>
      </c>
      <c r="AK97" s="20">
        <f t="shared" si="91"/>
        <v>2437277.1519859922</v>
      </c>
      <c r="AL97" s="20">
        <f t="shared" si="91"/>
        <v>2484621.2109401538</v>
      </c>
      <c r="AM97" s="20">
        <f t="shared" si="91"/>
        <v>2530811.5418779538</v>
      </c>
      <c r="AN97" s="20">
        <f t="shared" si="91"/>
        <v>2575922.6434473936</v>
      </c>
      <c r="AO97" s="20">
        <f t="shared" si="91"/>
        <v>2620021.444665445</v>
      </c>
      <c r="AP97" s="20">
        <f t="shared" si="91"/>
        <v>2663168.333138668</v>
      </c>
      <c r="AQ97" s="20">
        <f t="shared" si="91"/>
        <v>2705418.0109939543</v>
      </c>
      <c r="AR97" s="20">
        <f t="shared" si="91"/>
        <v>2746820.2124691447</v>
      </c>
      <c r="AS97" s="20">
        <f t="shared" si="91"/>
        <v>2787420.3094905363</v>
      </c>
      <c r="AT97" s="20">
        <f t="shared" si="91"/>
        <v>2827259.8258487764</v>
      </c>
      <c r="AU97" s="20">
        <f t="shared" si="91"/>
        <v>2866376.8762532393</v>
      </c>
      <c r="AV97" s="20">
        <f t="shared" si="91"/>
        <v>2904806.5432300805</v>
      </c>
      <c r="AW97" s="20">
        <f t="shared" si="91"/>
        <v>2942581.2022686275</v>
      </c>
    </row>
    <row r="98" spans="1:49" x14ac:dyDescent="0.2">
      <c r="A98" s="95"/>
      <c r="B98" s="1" t="s">
        <v>52</v>
      </c>
      <c r="N98" s="20"/>
      <c r="O98" s="20"/>
      <c r="P98" s="20">
        <f t="shared" ref="P98:AE98" si="92">P31</f>
        <v>639138</v>
      </c>
      <c r="Q98" s="20">
        <f t="shared" si="92"/>
        <v>903857</v>
      </c>
      <c r="R98" s="20">
        <f t="shared" si="92"/>
        <v>1010775</v>
      </c>
      <c r="S98" s="20">
        <f t="shared" si="92"/>
        <v>1094135</v>
      </c>
      <c r="T98" s="20">
        <f t="shared" si="92"/>
        <v>1250242</v>
      </c>
      <c r="U98" s="20">
        <f t="shared" si="92"/>
        <v>1374465</v>
      </c>
      <c r="V98" s="20">
        <f t="shared" si="92"/>
        <v>1443366</v>
      </c>
      <c r="W98" s="20">
        <f t="shared" si="92"/>
        <v>1591160</v>
      </c>
      <c r="X98" s="20">
        <f t="shared" si="92"/>
        <v>1744339</v>
      </c>
      <c r="Y98" s="20">
        <f t="shared" si="92"/>
        <v>1889518</v>
      </c>
      <c r="Z98" s="20">
        <f t="shared" si="92"/>
        <v>1850454</v>
      </c>
      <c r="AA98" s="20">
        <f t="shared" si="92"/>
        <v>1868596</v>
      </c>
      <c r="AB98" s="20">
        <f t="shared" si="92"/>
        <v>1952728</v>
      </c>
      <c r="AC98" s="20">
        <f t="shared" si="92"/>
        <v>2036478</v>
      </c>
      <c r="AD98" s="20">
        <f t="shared" si="92"/>
        <v>2022291</v>
      </c>
      <c r="AE98" s="20">
        <f t="shared" si="92"/>
        <v>1979058</v>
      </c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</row>
    <row r="99" spans="1:49" x14ac:dyDescent="0.2">
      <c r="A99" s="94" t="s">
        <v>46</v>
      </c>
      <c r="B99" s="1" t="s">
        <v>53</v>
      </c>
      <c r="N99" s="85">
        <f t="shared" ref="N99:AW99" si="93">N24</f>
        <v>0</v>
      </c>
      <c r="O99" s="85">
        <f t="shared" si="93"/>
        <v>0</v>
      </c>
      <c r="P99" s="85">
        <f t="shared" si="93"/>
        <v>0</v>
      </c>
      <c r="Q99" s="24">
        <f t="shared" si="93"/>
        <v>0</v>
      </c>
      <c r="R99" s="24">
        <f t="shared" si="93"/>
        <v>0</v>
      </c>
      <c r="S99" s="24">
        <f t="shared" si="93"/>
        <v>0</v>
      </c>
      <c r="T99" s="24">
        <f t="shared" si="93"/>
        <v>0</v>
      </c>
      <c r="U99" s="24">
        <f t="shared" si="93"/>
        <v>0</v>
      </c>
      <c r="V99" s="24">
        <f t="shared" si="93"/>
        <v>0</v>
      </c>
      <c r="W99" s="24">
        <f t="shared" si="93"/>
        <v>0</v>
      </c>
      <c r="X99" s="24">
        <f t="shared" si="93"/>
        <v>0</v>
      </c>
      <c r="Y99" s="24">
        <f t="shared" si="93"/>
        <v>0</v>
      </c>
      <c r="Z99" s="24">
        <f t="shared" si="93"/>
        <v>-407924.27100027306</v>
      </c>
      <c r="AA99" s="24">
        <f t="shared" si="93"/>
        <v>-454981.83939342172</v>
      </c>
      <c r="AB99" s="24">
        <f t="shared" si="93"/>
        <v>-94123.229660175406</v>
      </c>
      <c r="AC99" s="24">
        <f t="shared" si="93"/>
        <v>1315503.2808776251</v>
      </c>
      <c r="AD99" s="24">
        <f t="shared" si="93"/>
        <v>1569747.9207337243</v>
      </c>
      <c r="AE99" s="24">
        <f t="shared" si="93"/>
        <v>1232996.6264984123</v>
      </c>
      <c r="AF99" s="24">
        <f t="shared" si="93"/>
        <v>2243718.7136095073</v>
      </c>
      <c r="AG99" s="24">
        <f t="shared" si="93"/>
        <v>256001.87649101048</v>
      </c>
      <c r="AH99" s="24">
        <f t="shared" si="93"/>
        <v>735731.22718724213</v>
      </c>
      <c r="AI99" s="24">
        <f t="shared" si="93"/>
        <v>-1992056.8331998123</v>
      </c>
      <c r="AJ99" s="24">
        <f t="shared" si="93"/>
        <v>-2080960.2228966737</v>
      </c>
      <c r="AK99" s="24">
        <f t="shared" si="93"/>
        <v>-5084518.5830524396</v>
      </c>
      <c r="AL99" s="24">
        <f t="shared" si="93"/>
        <v>1383459.0011645926</v>
      </c>
      <c r="AM99" s="24">
        <f t="shared" si="93"/>
        <v>3020621.7702380656</v>
      </c>
      <c r="AN99" s="24">
        <f t="shared" si="93"/>
        <v>191370.88868001351</v>
      </c>
      <c r="AO99" s="24">
        <f t="shared" si="93"/>
        <v>-1032995.7791842818</v>
      </c>
      <c r="AP99" s="24">
        <f t="shared" si="93"/>
        <v>-98988.289676921733</v>
      </c>
      <c r="AQ99" s="24">
        <f t="shared" si="93"/>
        <v>1252624.2625873014</v>
      </c>
      <c r="AR99" s="24">
        <f t="shared" si="93"/>
        <v>299206.31652019097</v>
      </c>
      <c r="AS99" s="24">
        <f t="shared" si="93"/>
        <v>359275.85342899465</v>
      </c>
      <c r="AT99" s="24">
        <f t="shared" si="93"/>
        <v>508243.11635906005</v>
      </c>
      <c r="AU99" s="24">
        <f t="shared" si="93"/>
        <v>331858.11854859954</v>
      </c>
      <c r="AV99" s="24">
        <f t="shared" si="93"/>
        <v>122998.54976677219</v>
      </c>
      <c r="AW99" s="24">
        <f t="shared" si="93"/>
        <v>-390006.90781987103</v>
      </c>
    </row>
    <row r="100" spans="1:49" x14ac:dyDescent="0.2">
      <c r="A100" s="94"/>
      <c r="B100" s="1" t="s">
        <v>70</v>
      </c>
      <c r="N100" s="1">
        <f t="shared" ref="N100:O100" si="94">N49</f>
        <v>0</v>
      </c>
      <c r="O100" s="1">
        <f t="shared" si="94"/>
        <v>0</v>
      </c>
      <c r="P100" s="1">
        <f>P49</f>
        <v>0</v>
      </c>
      <c r="Q100" s="24">
        <f t="shared" ref="Q100:AW100" si="95">Q49</f>
        <v>0</v>
      </c>
      <c r="R100" s="24">
        <f t="shared" si="95"/>
        <v>0</v>
      </c>
      <c r="S100" s="24">
        <f t="shared" si="95"/>
        <v>0</v>
      </c>
      <c r="T100" s="24">
        <f t="shared" si="95"/>
        <v>0</v>
      </c>
      <c r="U100" s="24">
        <f t="shared" si="95"/>
        <v>0</v>
      </c>
      <c r="V100" s="24">
        <f t="shared" si="95"/>
        <v>0</v>
      </c>
      <c r="W100" s="24">
        <f t="shared" si="95"/>
        <v>0</v>
      </c>
      <c r="X100" s="24">
        <f t="shared" si="95"/>
        <v>0</v>
      </c>
      <c r="Y100" s="24">
        <f t="shared" si="95"/>
        <v>0</v>
      </c>
      <c r="Z100" s="24">
        <f t="shared" si="95"/>
        <v>0</v>
      </c>
      <c r="AA100" s="24">
        <f t="shared" si="95"/>
        <v>0</v>
      </c>
      <c r="AB100" s="24">
        <f t="shared" si="95"/>
        <v>4625177.3244253397</v>
      </c>
      <c r="AC100" s="24">
        <f t="shared" si="95"/>
        <v>2970064.5608723112</v>
      </c>
      <c r="AD100" s="24">
        <f t="shared" si="95"/>
        <v>2355260.7716624052</v>
      </c>
      <c r="AE100" s="24">
        <f t="shared" si="95"/>
        <v>1727176.740596175</v>
      </c>
      <c r="AF100" s="24">
        <f t="shared" si="95"/>
        <v>1593784.8336908813</v>
      </c>
      <c r="AG100" s="24">
        <f t="shared" si="95"/>
        <v>1418703.5234077354</v>
      </c>
      <c r="AH100" s="24">
        <f t="shared" si="95"/>
        <v>1280819.8026314189</v>
      </c>
      <c r="AI100" s="24">
        <f t="shared" si="95"/>
        <v>1197049.7725520895</v>
      </c>
      <c r="AJ100" s="24">
        <f t="shared" si="95"/>
        <v>1119373.7029169863</v>
      </c>
      <c r="AK100" s="24">
        <f t="shared" si="95"/>
        <v>1059262.396396738</v>
      </c>
      <c r="AL100" s="24">
        <f t="shared" si="95"/>
        <v>1258837.2050509357</v>
      </c>
      <c r="AM100" s="24">
        <f t="shared" si="95"/>
        <v>1308600.760893296</v>
      </c>
      <c r="AN100" s="24">
        <f t="shared" si="95"/>
        <v>236926.8617310127</v>
      </c>
      <c r="AO100" s="24">
        <f t="shared" si="95"/>
        <v>213847.88022801073</v>
      </c>
      <c r="AP100" s="24">
        <f t="shared" si="95"/>
        <v>237750.73824922196</v>
      </c>
      <c r="AQ100" s="24">
        <f t="shared" si="95"/>
        <v>276798.12888529862</v>
      </c>
      <c r="AR100" s="24">
        <f t="shared" si="95"/>
        <v>197153.585507415</v>
      </c>
      <c r="AS100" s="24">
        <f t="shared" si="95"/>
        <v>188573.27305681436</v>
      </c>
      <c r="AT100" s="24">
        <f t="shared" si="95"/>
        <v>180804.947070925</v>
      </c>
      <c r="AU100" s="24">
        <f t="shared" si="95"/>
        <v>173738.00252330021</v>
      </c>
      <c r="AV100" s="24">
        <f t="shared" si="95"/>
        <v>143574.16559709446</v>
      </c>
      <c r="AW100" s="24">
        <f t="shared" si="95"/>
        <v>160601.15680921884</v>
      </c>
    </row>
    <row r="103" spans="1:49" x14ac:dyDescent="0.2">
      <c r="P103" s="1">
        <v>1</v>
      </c>
      <c r="Q103" s="1">
        <f>P103+1</f>
        <v>2</v>
      </c>
      <c r="R103" s="1">
        <f t="shared" ref="R103:AK103" si="96">Q103+1</f>
        <v>3</v>
      </c>
      <c r="S103" s="1">
        <f t="shared" si="96"/>
        <v>4</v>
      </c>
      <c r="T103" s="1">
        <f t="shared" si="96"/>
        <v>5</v>
      </c>
      <c r="U103" s="1">
        <f t="shared" si="96"/>
        <v>6</v>
      </c>
      <c r="V103" s="1">
        <f t="shared" si="96"/>
        <v>7</v>
      </c>
      <c r="W103" s="1">
        <f t="shared" si="96"/>
        <v>8</v>
      </c>
      <c r="X103" s="1">
        <f t="shared" si="96"/>
        <v>9</v>
      </c>
      <c r="Y103" s="1">
        <f t="shared" si="96"/>
        <v>10</v>
      </c>
      <c r="Z103" s="1">
        <f t="shared" si="96"/>
        <v>11</v>
      </c>
      <c r="AA103" s="1">
        <f t="shared" si="96"/>
        <v>12</v>
      </c>
      <c r="AB103" s="1">
        <f t="shared" si="96"/>
        <v>13</v>
      </c>
      <c r="AC103" s="1">
        <f t="shared" si="96"/>
        <v>14</v>
      </c>
      <c r="AD103" s="1">
        <f t="shared" si="96"/>
        <v>15</v>
      </c>
      <c r="AE103" s="1">
        <f t="shared" si="96"/>
        <v>16</v>
      </c>
      <c r="AF103" s="1">
        <f t="shared" si="96"/>
        <v>17</v>
      </c>
      <c r="AG103" s="1">
        <f t="shared" si="96"/>
        <v>18</v>
      </c>
      <c r="AH103" s="1">
        <f t="shared" si="96"/>
        <v>19</v>
      </c>
      <c r="AI103" s="1">
        <f t="shared" si="96"/>
        <v>20</v>
      </c>
      <c r="AJ103" s="1">
        <f t="shared" si="96"/>
        <v>21</v>
      </c>
      <c r="AK103" s="1">
        <f t="shared" si="96"/>
        <v>22</v>
      </c>
    </row>
    <row r="106" spans="1:49" x14ac:dyDescent="0.2">
      <c r="AK106" s="15" t="s">
        <v>79</v>
      </c>
      <c r="AL106" s="1" t="s">
        <v>53</v>
      </c>
      <c r="AM106" s="1" t="s">
        <v>47</v>
      </c>
      <c r="AN106" s="1" t="s">
        <v>70</v>
      </c>
    </row>
    <row r="107" spans="1:49" x14ac:dyDescent="0.2">
      <c r="AK107" s="1" t="s">
        <v>76</v>
      </c>
      <c r="AL107" s="30">
        <f>SUM(AL25:AW25)/1000000</f>
        <v>114.04838254995255</v>
      </c>
      <c r="AM107" s="30">
        <v>0</v>
      </c>
      <c r="AN107" s="90">
        <f>SUM(AL50:AW50)/1000000</f>
        <v>247.74842657911307</v>
      </c>
      <c r="AO107" s="90"/>
    </row>
    <row r="108" spans="1:49" x14ac:dyDescent="0.2">
      <c r="AK108" s="1" t="s">
        <v>77</v>
      </c>
      <c r="AL108" s="30">
        <f>SUM(AL24:AW24)/1000000</f>
        <v>5.9476669006125151</v>
      </c>
      <c r="AM108" s="30">
        <f>AM107+AL107+AN107</f>
        <v>361.79680912906565</v>
      </c>
      <c r="AN108" s="30">
        <f>SUM(AL49:AW49)/1000000</f>
        <v>4.5772067056025438</v>
      </c>
      <c r="AO108" s="90"/>
    </row>
    <row r="109" spans="1:49" x14ac:dyDescent="0.2">
      <c r="AK109" s="1" t="s">
        <v>48</v>
      </c>
      <c r="AL109" s="30">
        <f>AL107+AL108</f>
        <v>119.99604945056507</v>
      </c>
      <c r="AM109" s="30">
        <v>0</v>
      </c>
      <c r="AN109" s="30">
        <f>AN107+AN108</f>
        <v>252.32563328471562</v>
      </c>
      <c r="AO109" s="90"/>
    </row>
  </sheetData>
  <mergeCells count="2">
    <mergeCell ref="A99:A100"/>
    <mergeCell ref="A95:A9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7</vt:i4>
      </vt:variant>
    </vt:vector>
  </HeadingPairs>
  <TitlesOfParts>
    <vt:vector size="9" baseType="lpstr">
      <vt:lpstr>Premises</vt:lpstr>
      <vt:lpstr>Model</vt:lpstr>
      <vt:lpstr>Program 1 - Actuals</vt:lpstr>
      <vt:lpstr>Program 1 - Projection</vt:lpstr>
      <vt:lpstr>Program 1 - Growth</vt:lpstr>
      <vt:lpstr>Program 2 - Actuals</vt:lpstr>
      <vt:lpstr>Program 2 - Projection</vt:lpstr>
      <vt:lpstr>Program 2 - Growth</vt:lpstr>
      <vt:lpstr>Waterfall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Araujo Nakano</dc:creator>
  <cp:lastModifiedBy>Daniel Ribeiro</cp:lastModifiedBy>
  <dcterms:created xsi:type="dcterms:W3CDTF">2015-05-12T11:01:10Z</dcterms:created>
  <dcterms:modified xsi:type="dcterms:W3CDTF">2024-10-18T16:18:10Z</dcterms:modified>
</cp:coreProperties>
</file>