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060" yWindow="1845" windowWidth="8820" windowHeight="6450" tabRatio="645" activeTab="1"/>
  </bookViews>
  <sheets>
    <sheet name="311.035.QFO" sheetId="13" r:id="rId1"/>
    <sheet name="Tabelle1" sheetId="20" r:id="rId2"/>
  </sheets>
  <definedNames>
    <definedName name="_C" localSheetId="0">'311.035.QFO'!#REF!</definedName>
    <definedName name="_C">#REF!</definedName>
    <definedName name="A" localSheetId="0">'311.035.QFO'!#REF!</definedName>
    <definedName name="A">#REF!</definedName>
    <definedName name="B" localSheetId="0">'311.035.QFO'!#REF!</definedName>
    <definedName name="B">#REF!</definedName>
    <definedName name="D" localSheetId="0">'311.035.QFO'!#REF!</definedName>
    <definedName name="D">#REF!</definedName>
    <definedName name="_xlnm.Print_Area" localSheetId="0">'311.035.QFO'!$A$1:$AA$68</definedName>
    <definedName name="_xlnm.Print_Titles" localSheetId="0">'311.035.QFO'!$1:$1</definedName>
    <definedName name="E" localSheetId="0">'311.035.QFO'!#REF!</definedName>
    <definedName name="E">#REF!</definedName>
    <definedName name="F" localSheetId="0">'311.035.QFO'!#REF!</definedName>
    <definedName name="F">#REF!</definedName>
    <definedName name="G" localSheetId="0">'311.035.QFO'!#REF!</definedName>
    <definedName name="G">#REF!</definedName>
  </definedNames>
  <calcPr calcId="145621"/>
</workbook>
</file>

<file path=xl/calcChain.xml><?xml version="1.0" encoding="utf-8"?>
<calcChain xmlns="http://schemas.openxmlformats.org/spreadsheetml/2006/main">
  <c r="H7" i="20" l="1"/>
  <c r="I7" i="20" s="1"/>
  <c r="I10" i="20" s="1"/>
  <c r="E7" i="20"/>
  <c r="I14" i="20"/>
  <c r="K13" i="20"/>
  <c r="P67" i="13"/>
  <c r="P66" i="13"/>
  <c r="P65" i="13"/>
  <c r="P64" i="13"/>
  <c r="P63" i="13"/>
  <c r="P62" i="13"/>
  <c r="P61" i="13"/>
  <c r="P60" i="13"/>
  <c r="P58" i="13"/>
  <c r="P57" i="13"/>
  <c r="P56" i="13"/>
  <c r="P55" i="13"/>
  <c r="P54" i="13"/>
  <c r="P53" i="13"/>
  <c r="P52" i="13"/>
  <c r="P51" i="13"/>
  <c r="P50" i="13"/>
  <c r="P49" i="13"/>
  <c r="P48" i="13"/>
  <c r="P47" i="13"/>
  <c r="P59" i="13"/>
  <c r="O67" i="13"/>
  <c r="O71" i="13" s="1"/>
  <c r="O46" i="13"/>
  <c r="O68" i="13" s="1"/>
  <c r="I23" i="20"/>
  <c r="I16" i="20" l="1"/>
  <c r="F23" i="20"/>
  <c r="F7" i="20" s="1"/>
  <c r="K7" i="20" s="1"/>
  <c r="F6" i="20"/>
  <c r="F10" i="20" s="1"/>
  <c r="K10" i="20" s="1"/>
  <c r="K6" i="20" l="1"/>
  <c r="D67" i="13"/>
  <c r="D71" i="13" s="1"/>
  <c r="E67" i="13"/>
  <c r="E71" i="13" s="1"/>
  <c r="F67" i="13"/>
  <c r="F71" i="13" s="1"/>
  <c r="G67" i="13"/>
  <c r="G71" i="13" s="1"/>
  <c r="H67" i="13"/>
  <c r="I67" i="13"/>
  <c r="J67" i="13"/>
  <c r="K67" i="13"/>
  <c r="L67" i="13"/>
  <c r="M67" i="13"/>
  <c r="N67" i="13"/>
  <c r="N71" i="13" s="1"/>
  <c r="AA37" i="13"/>
  <c r="Y37" i="13"/>
  <c r="W37" i="13"/>
  <c r="V37" i="13"/>
  <c r="T37" i="13"/>
  <c r="S37" i="13"/>
  <c r="R37" i="13"/>
  <c r="P37" i="13"/>
  <c r="O37" i="13"/>
  <c r="N37" i="13"/>
  <c r="L37" i="13"/>
  <c r="K37" i="13"/>
  <c r="G37" i="13"/>
  <c r="F37" i="13"/>
  <c r="AA36" i="13"/>
  <c r="Y36" i="13"/>
  <c r="W36" i="13"/>
  <c r="V36" i="13"/>
  <c r="T36" i="13"/>
  <c r="S36" i="13"/>
  <c r="R36" i="13"/>
  <c r="P36" i="13"/>
  <c r="O36" i="13"/>
  <c r="N36" i="13"/>
  <c r="L36" i="13"/>
  <c r="K36" i="13"/>
  <c r="G36" i="13"/>
  <c r="F36" i="13"/>
  <c r="AA35" i="13"/>
  <c r="Y35" i="13"/>
  <c r="W35" i="13"/>
  <c r="V35" i="13"/>
  <c r="T35" i="13"/>
  <c r="S35" i="13"/>
  <c r="R35" i="13"/>
  <c r="P35" i="13"/>
  <c r="O35" i="13"/>
  <c r="N35" i="13"/>
  <c r="L35" i="13"/>
  <c r="K35" i="13"/>
  <c r="G35" i="13"/>
  <c r="F35" i="13"/>
  <c r="AA34" i="13"/>
  <c r="Y34" i="13"/>
  <c r="W34" i="13"/>
  <c r="V34" i="13"/>
  <c r="T34" i="13"/>
  <c r="S34" i="13"/>
  <c r="R34" i="13"/>
  <c r="P34" i="13"/>
  <c r="O34" i="13"/>
  <c r="N34" i="13"/>
  <c r="L34" i="13"/>
  <c r="K34" i="13"/>
  <c r="G34" i="13"/>
  <c r="F34" i="13"/>
  <c r="AA33" i="13"/>
  <c r="Y33" i="13"/>
  <c r="W33" i="13"/>
  <c r="V33" i="13"/>
  <c r="T33" i="13"/>
  <c r="S33" i="13"/>
  <c r="R33" i="13"/>
  <c r="P33" i="13"/>
  <c r="O33" i="13"/>
  <c r="N33" i="13"/>
  <c r="L33" i="13"/>
  <c r="K33" i="13"/>
  <c r="G33" i="13"/>
  <c r="F33" i="13"/>
  <c r="AA32" i="13"/>
  <c r="Y32" i="13"/>
  <c r="W32" i="13"/>
  <c r="V32" i="13"/>
  <c r="T32" i="13"/>
  <c r="S32" i="13"/>
  <c r="R32" i="13"/>
  <c r="P32" i="13"/>
  <c r="O32" i="13"/>
  <c r="N32" i="13"/>
  <c r="L32" i="13"/>
  <c r="K32" i="13"/>
  <c r="G32" i="13"/>
  <c r="F32" i="13"/>
  <c r="AA31" i="13"/>
  <c r="Y31" i="13"/>
  <c r="W31" i="13"/>
  <c r="V31" i="13"/>
  <c r="T31" i="13"/>
  <c r="S31" i="13"/>
  <c r="R31" i="13"/>
  <c r="P31" i="13"/>
  <c r="O31" i="13"/>
  <c r="N31" i="13"/>
  <c r="L31" i="13"/>
  <c r="K31" i="13"/>
  <c r="G31" i="13"/>
  <c r="F31" i="13"/>
  <c r="AA30" i="13"/>
  <c r="Y30" i="13"/>
  <c r="W30" i="13"/>
  <c r="V30" i="13"/>
  <c r="T30" i="13"/>
  <c r="S30" i="13"/>
  <c r="R30" i="13"/>
  <c r="P30" i="13"/>
  <c r="O30" i="13"/>
  <c r="N30" i="13"/>
  <c r="L30" i="13"/>
  <c r="K30" i="13"/>
  <c r="G30" i="13"/>
  <c r="F30" i="13"/>
  <c r="Z29" i="13"/>
  <c r="AA29" i="13" s="1"/>
  <c r="X29" i="13"/>
  <c r="Y29" i="13" s="1"/>
  <c r="U29" i="13"/>
  <c r="V29" i="13" s="1"/>
  <c r="T29" i="13"/>
  <c r="S29" i="13"/>
  <c r="R29" i="13"/>
  <c r="P29" i="13"/>
  <c r="O29" i="13"/>
  <c r="N29" i="13"/>
  <c r="J29" i="13"/>
  <c r="L29" i="13" s="1"/>
  <c r="H29" i="13"/>
  <c r="E29" i="13"/>
  <c r="G29" i="13" s="1"/>
  <c r="C29" i="13"/>
  <c r="D29" i="13" s="1"/>
  <c r="Z28" i="13"/>
  <c r="AA28" i="13" s="1"/>
  <c r="X28" i="13"/>
  <c r="Y28" i="13" s="1"/>
  <c r="U28" i="13"/>
  <c r="W28" i="13" s="1"/>
  <c r="J28" i="13"/>
  <c r="K28" i="13" s="1"/>
  <c r="E28" i="13"/>
  <c r="F28" i="13" s="1"/>
  <c r="C28" i="13"/>
  <c r="I23" i="13"/>
  <c r="I39" i="13" s="1"/>
  <c r="F27" i="13"/>
  <c r="G27" i="13"/>
  <c r="K27" i="13"/>
  <c r="L27" i="13"/>
  <c r="N27" i="13"/>
  <c r="O27" i="13"/>
  <c r="P27" i="13"/>
  <c r="R27" i="13"/>
  <c r="S27" i="13"/>
  <c r="T27" i="13"/>
  <c r="V27" i="13"/>
  <c r="W27" i="13"/>
  <c r="Y27" i="13"/>
  <c r="AA27" i="13"/>
  <c r="AA25" i="13"/>
  <c r="Y25" i="13"/>
  <c r="W25" i="13"/>
  <c r="V25" i="13"/>
  <c r="Q25" i="13"/>
  <c r="T25" i="13" s="1"/>
  <c r="M25" i="13"/>
  <c r="O25" i="13" s="1"/>
  <c r="J25" i="13"/>
  <c r="L25" i="13" s="1"/>
  <c r="H25" i="13"/>
  <c r="E25" i="13"/>
  <c r="G25" i="13" s="1"/>
  <c r="C25" i="13"/>
  <c r="D25" i="13" s="1"/>
  <c r="AA24" i="13"/>
  <c r="AA26" i="13"/>
  <c r="Y24" i="13"/>
  <c r="Y26" i="13"/>
  <c r="V24" i="13"/>
  <c r="W24" i="13"/>
  <c r="V26" i="13"/>
  <c r="W26" i="13"/>
  <c r="R26" i="13"/>
  <c r="S26" i="13"/>
  <c r="T26" i="13"/>
  <c r="R28" i="13"/>
  <c r="S28" i="13"/>
  <c r="T28" i="13"/>
  <c r="N26" i="13"/>
  <c r="O26" i="13"/>
  <c r="P26" i="13"/>
  <c r="N28" i="13"/>
  <c r="O28" i="13"/>
  <c r="P28" i="13"/>
  <c r="K26" i="13"/>
  <c r="L26" i="13"/>
  <c r="K23" i="13"/>
  <c r="G26" i="13"/>
  <c r="F26" i="13"/>
  <c r="G24" i="13"/>
  <c r="F24" i="13"/>
  <c r="F23" i="13"/>
  <c r="G23" i="13"/>
  <c r="Q24" i="13"/>
  <c r="R24" i="13" s="1"/>
  <c r="M24" i="13"/>
  <c r="P24" i="13" s="1"/>
  <c r="J24" i="13"/>
  <c r="L24" i="13" s="1"/>
  <c r="E24" i="13"/>
  <c r="C24" i="13"/>
  <c r="Z38" i="13"/>
  <c r="X38" i="13"/>
  <c r="Y38" i="13" s="1"/>
  <c r="U38" i="13"/>
  <c r="W38" i="13" s="1"/>
  <c r="Q38" i="13"/>
  <c r="R38" i="13" s="1"/>
  <c r="M38" i="13"/>
  <c r="P38" i="13" s="1"/>
  <c r="J38" i="13"/>
  <c r="L38" i="13" s="1"/>
  <c r="E38" i="13"/>
  <c r="G38" i="13" s="1"/>
  <c r="C38" i="13"/>
  <c r="D38" i="13" s="1"/>
  <c r="AA38" i="13"/>
  <c r="H38" i="13"/>
  <c r="G28" i="13" l="1"/>
  <c r="I68" i="13"/>
  <c r="I71" i="13"/>
  <c r="H68" i="13"/>
  <c r="H71" i="13"/>
  <c r="M68" i="13"/>
  <c r="M71" i="13"/>
  <c r="L68" i="13"/>
  <c r="L71" i="13"/>
  <c r="K68" i="13"/>
  <c r="K71" i="13"/>
  <c r="J68" i="13"/>
  <c r="J71" i="13"/>
  <c r="V38" i="13"/>
  <c r="S24" i="13"/>
  <c r="V28" i="13"/>
  <c r="T24" i="13"/>
  <c r="O24" i="13"/>
  <c r="N24" i="13"/>
  <c r="K24" i="13"/>
  <c r="W29" i="13"/>
  <c r="L28" i="13"/>
  <c r="AB38" i="13"/>
  <c r="F38" i="13"/>
  <c r="F29" i="13"/>
  <c r="K29" i="13"/>
  <c r="N25" i="13"/>
  <c r="F25" i="13"/>
  <c r="P25" i="13"/>
  <c r="R25" i="13"/>
  <c r="K25" i="13"/>
  <c r="S25" i="13"/>
  <c r="S38" i="13"/>
  <c r="T38" i="13"/>
  <c r="O38" i="13"/>
  <c r="N38" i="13"/>
  <c r="K38" i="13"/>
  <c r="AA23" i="13" l="1"/>
  <c r="AA21" i="13"/>
  <c r="AA19" i="13"/>
  <c r="AA18" i="13"/>
  <c r="AA15" i="13"/>
  <c r="AA14" i="13"/>
  <c r="AA11" i="13"/>
  <c r="Y23" i="13"/>
  <c r="Y21" i="13"/>
  <c r="Y19" i="13"/>
  <c r="Y18" i="13"/>
  <c r="Y15" i="13"/>
  <c r="Y14" i="13"/>
  <c r="Y11" i="13"/>
  <c r="T23" i="13"/>
  <c r="S23" i="13"/>
  <c r="R23" i="13"/>
  <c r="T15" i="13"/>
  <c r="S15" i="13"/>
  <c r="R15" i="13"/>
  <c r="T13" i="13"/>
  <c r="S13" i="13"/>
  <c r="R13" i="13"/>
  <c r="T11" i="13"/>
  <c r="S11" i="13"/>
  <c r="R11" i="13"/>
  <c r="W23" i="13"/>
  <c r="V23" i="13"/>
  <c r="W21" i="13"/>
  <c r="V21" i="13"/>
  <c r="W19" i="13"/>
  <c r="V19" i="13"/>
  <c r="W18" i="13"/>
  <c r="V18" i="13"/>
  <c r="W15" i="13"/>
  <c r="V15" i="13"/>
  <c r="W14" i="13"/>
  <c r="V14" i="13"/>
  <c r="W11" i="13"/>
  <c r="V11" i="13"/>
  <c r="P23" i="13"/>
  <c r="O23" i="13"/>
  <c r="N23" i="13"/>
  <c r="P15" i="13"/>
  <c r="O15" i="13"/>
  <c r="N15" i="13"/>
  <c r="P13" i="13"/>
  <c r="O13" i="13"/>
  <c r="N13" i="13"/>
  <c r="P11" i="13"/>
  <c r="O11" i="13"/>
  <c r="N11" i="13"/>
  <c r="L23" i="13"/>
  <c r="L15" i="13"/>
  <c r="K15" i="13"/>
  <c r="L11" i="13"/>
  <c r="K11" i="13"/>
  <c r="F15" i="13"/>
  <c r="F14" i="13"/>
  <c r="F11" i="13"/>
  <c r="G11" i="13"/>
  <c r="D28" i="13"/>
  <c r="D24" i="13"/>
  <c r="D23" i="13"/>
  <c r="D15" i="13"/>
  <c r="D11" i="13"/>
  <c r="Z22" i="13"/>
  <c r="AA22" i="13" s="1"/>
  <c r="X22" i="13"/>
  <c r="Y22" i="13" s="1"/>
  <c r="U22" i="13"/>
  <c r="W22" i="13" s="1"/>
  <c r="Q22" i="13"/>
  <c r="T22" i="13" s="1"/>
  <c r="M22" i="13"/>
  <c r="O22" i="13" s="1"/>
  <c r="J22" i="13"/>
  <c r="L22" i="13" s="1"/>
  <c r="H22" i="13"/>
  <c r="E22" i="13"/>
  <c r="G22" i="13" s="1"/>
  <c r="C22" i="13"/>
  <c r="D22" i="13" s="1"/>
  <c r="Q21" i="13"/>
  <c r="S21" i="13" s="1"/>
  <c r="M21" i="13"/>
  <c r="P21" i="13" s="1"/>
  <c r="J21" i="13"/>
  <c r="L21" i="13" s="1"/>
  <c r="H21" i="13"/>
  <c r="E21" i="13"/>
  <c r="G21" i="13" s="1"/>
  <c r="C21" i="13"/>
  <c r="D21" i="13" s="1"/>
  <c r="Z20" i="13"/>
  <c r="AA20" i="13" s="1"/>
  <c r="X20" i="13"/>
  <c r="Y20" i="13" s="1"/>
  <c r="U20" i="13"/>
  <c r="W20" i="13" s="1"/>
  <c r="Q20" i="13"/>
  <c r="R20" i="13" s="1"/>
  <c r="M20" i="13"/>
  <c r="P20" i="13" s="1"/>
  <c r="J20" i="13"/>
  <c r="L20" i="13" s="1"/>
  <c r="H20" i="13"/>
  <c r="E20" i="13"/>
  <c r="G20" i="13" s="1"/>
  <c r="C20" i="13"/>
  <c r="D20" i="13" s="1"/>
  <c r="Q19" i="13"/>
  <c r="S19" i="13" s="1"/>
  <c r="M19" i="13"/>
  <c r="N19" i="13" s="1"/>
  <c r="J19" i="13"/>
  <c r="K19" i="13" s="1"/>
  <c r="H19" i="13"/>
  <c r="E19" i="13"/>
  <c r="G19" i="13" s="1"/>
  <c r="C19" i="13"/>
  <c r="D19" i="13" s="1"/>
  <c r="Q18" i="13"/>
  <c r="S18" i="13" s="1"/>
  <c r="M18" i="13"/>
  <c r="P18" i="13" s="1"/>
  <c r="J18" i="13"/>
  <c r="L18" i="13" s="1"/>
  <c r="E18" i="13"/>
  <c r="F18" i="13" s="1"/>
  <c r="C18" i="13"/>
  <c r="D18" i="13" s="1"/>
  <c r="Z17" i="13"/>
  <c r="AA17" i="13" s="1"/>
  <c r="X17" i="13"/>
  <c r="Y17" i="13" s="1"/>
  <c r="U17" i="13"/>
  <c r="W17" i="13" s="1"/>
  <c r="Q17" i="13"/>
  <c r="S17" i="13" s="1"/>
  <c r="M17" i="13"/>
  <c r="O17" i="13" s="1"/>
  <c r="J17" i="13"/>
  <c r="L17" i="13" s="1"/>
  <c r="H17" i="13"/>
  <c r="E17" i="13"/>
  <c r="G17" i="13" s="1"/>
  <c r="C17" i="13"/>
  <c r="D17" i="13" s="1"/>
  <c r="Z16" i="13"/>
  <c r="AA16" i="13" s="1"/>
  <c r="X16" i="13"/>
  <c r="Y16" i="13" s="1"/>
  <c r="U16" i="13"/>
  <c r="W16" i="13" s="1"/>
  <c r="Q16" i="13"/>
  <c r="T16" i="13" s="1"/>
  <c r="M16" i="13"/>
  <c r="O16" i="13" s="1"/>
  <c r="J16" i="13"/>
  <c r="L16" i="13" s="1"/>
  <c r="E16" i="13"/>
  <c r="F16" i="13" s="1"/>
  <c r="C16" i="13"/>
  <c r="Q14" i="13"/>
  <c r="T14" i="13" s="1"/>
  <c r="M14" i="13"/>
  <c r="P14" i="13" s="1"/>
  <c r="J14" i="13"/>
  <c r="L14" i="13" s="1"/>
  <c r="C14" i="13"/>
  <c r="D14" i="13" s="1"/>
  <c r="Z13" i="13"/>
  <c r="AA13" i="13" s="1"/>
  <c r="X13" i="13"/>
  <c r="Y13" i="13" s="1"/>
  <c r="U13" i="13"/>
  <c r="W13" i="13" s="1"/>
  <c r="J13" i="13"/>
  <c r="L13" i="13" s="1"/>
  <c r="H13" i="13"/>
  <c r="H14" i="13"/>
  <c r="H15" i="13"/>
  <c r="H16" i="13"/>
  <c r="H18" i="13"/>
  <c r="H24" i="13"/>
  <c r="H28" i="13"/>
  <c r="E13" i="13"/>
  <c r="F13" i="13" s="1"/>
  <c r="C13" i="13"/>
  <c r="D13" i="13" s="1"/>
  <c r="Z12" i="13"/>
  <c r="X12" i="13"/>
  <c r="U12" i="13"/>
  <c r="Q12" i="13"/>
  <c r="M12" i="13"/>
  <c r="J12" i="13"/>
  <c r="H12" i="13"/>
  <c r="E12" i="13"/>
  <c r="C12" i="13"/>
  <c r="AB37" i="13" l="1"/>
  <c r="N12" i="13"/>
  <c r="M39" i="13"/>
  <c r="F12" i="13"/>
  <c r="E39" i="13"/>
  <c r="H39" i="13"/>
  <c r="L12" i="13"/>
  <c r="J39" i="13"/>
  <c r="R12" i="13"/>
  <c r="Q39" i="13"/>
  <c r="V12" i="13"/>
  <c r="U39" i="13"/>
  <c r="Y12" i="13"/>
  <c r="Y39" i="13" s="1"/>
  <c r="X39" i="13"/>
  <c r="R16" i="13"/>
  <c r="C39" i="13"/>
  <c r="AA12" i="13"/>
  <c r="AA39" i="13" s="1"/>
  <c r="Z39" i="13"/>
  <c r="V16" i="13"/>
  <c r="T17" i="13"/>
  <c r="R18" i="13"/>
  <c r="S20" i="13"/>
  <c r="T20" i="13"/>
  <c r="O20" i="13"/>
  <c r="R22" i="13"/>
  <c r="N14" i="13"/>
  <c r="S12" i="13"/>
  <c r="O14" i="13"/>
  <c r="T12" i="13"/>
  <c r="W12" i="13"/>
  <c r="W39" i="13" s="1"/>
  <c r="S16" i="13"/>
  <c r="T21" i="13"/>
  <c r="O19" i="13"/>
  <c r="K20" i="13"/>
  <c r="P19" i="13"/>
  <c r="V20" i="13"/>
  <c r="S14" i="13"/>
  <c r="R17" i="13"/>
  <c r="T19" i="13"/>
  <c r="S22" i="13"/>
  <c r="T18" i="13"/>
  <c r="R19" i="13"/>
  <c r="R14" i="13"/>
  <c r="N20" i="13"/>
  <c r="R21" i="13"/>
  <c r="K21" i="13"/>
  <c r="O18" i="13"/>
  <c r="V13" i="13"/>
  <c r="V17" i="13"/>
  <c r="V22" i="13"/>
  <c r="O12" i="13"/>
  <c r="N18" i="13"/>
  <c r="P16" i="13"/>
  <c r="N17" i="13"/>
  <c r="P17" i="13"/>
  <c r="P12" i="13"/>
  <c r="F19" i="13"/>
  <c r="K13" i="13"/>
  <c r="N21" i="13"/>
  <c r="N16" i="13"/>
  <c r="O21" i="13"/>
  <c r="P22" i="13"/>
  <c r="N22" i="13"/>
  <c r="K17" i="13"/>
  <c r="K14" i="13"/>
  <c r="K18" i="13"/>
  <c r="K22" i="13"/>
  <c r="F20" i="13"/>
  <c r="L19" i="13"/>
  <c r="AB14" i="13"/>
  <c r="F21" i="13"/>
  <c r="K12" i="13"/>
  <c r="K16" i="13"/>
  <c r="F22" i="13"/>
  <c r="AB22" i="13"/>
  <c r="F17" i="13"/>
  <c r="D12" i="13"/>
  <c r="D16" i="13"/>
  <c r="AA40" i="13" l="1"/>
  <c r="Y41" i="13" s="1"/>
  <c r="Y42" i="13" s="1"/>
  <c r="D39" i="13"/>
  <c r="L39" i="13"/>
  <c r="N39" i="13"/>
  <c r="F39" i="13"/>
  <c r="P39" i="13"/>
  <c r="V39" i="13"/>
  <c r="R39" i="13"/>
  <c r="K39" i="13"/>
  <c r="T39" i="13"/>
  <c r="O39" i="13"/>
  <c r="S39" i="13"/>
  <c r="C67" i="13"/>
  <c r="C71" i="13" l="1"/>
  <c r="P71" i="13" s="1"/>
  <c r="G12" i="20" s="1"/>
  <c r="G14" i="20" s="1"/>
  <c r="R47" i="13" l="1"/>
  <c r="R48" i="13" s="1"/>
  <c r="R49" i="13" s="1"/>
  <c r="R50" i="13" s="1"/>
  <c r="R51" i="13" s="1"/>
  <c r="R52" i="13" s="1"/>
  <c r="R53" i="13" s="1"/>
  <c r="R54" i="13" s="1"/>
  <c r="R55" i="13" s="1"/>
  <c r="R56" i="13" s="1"/>
  <c r="R57" i="13" s="1"/>
  <c r="R58" i="13" s="1"/>
  <c r="R59" i="13" s="1"/>
  <c r="T54" i="13"/>
  <c r="T59" i="13"/>
  <c r="R71" i="13"/>
  <c r="G18" i="13"/>
  <c r="G16" i="13"/>
  <c r="G15" i="13"/>
  <c r="G14" i="13"/>
  <c r="G13" i="13"/>
  <c r="G12" i="13"/>
  <c r="R60" i="13" l="1"/>
  <c r="R61" i="13" s="1"/>
  <c r="R62" i="13" s="1"/>
  <c r="R63" i="13" s="1"/>
  <c r="R64" i="13" s="1"/>
  <c r="R65" i="13" s="1"/>
  <c r="R66" i="13" s="1"/>
  <c r="F12" i="20"/>
  <c r="G39" i="13"/>
  <c r="N46" i="13"/>
  <c r="N68" i="13" s="1"/>
  <c r="F14" i="20" l="1"/>
  <c r="K12" i="20"/>
  <c r="E46" i="13"/>
  <c r="E68" i="13" s="1"/>
  <c r="D46" i="13"/>
  <c r="D68" i="13" s="1"/>
  <c r="G46" i="13"/>
  <c r="G68" i="13" s="1"/>
  <c r="F16" i="20" l="1"/>
  <c r="K16" i="20" s="1"/>
  <c r="K19" i="20" s="1"/>
  <c r="K14" i="20"/>
  <c r="C46" i="13"/>
  <c r="C68" i="13" s="1"/>
  <c r="F46" i="13" l="1"/>
  <c r="F68" i="13" s="1"/>
  <c r="P46" i="13" l="1"/>
  <c r="U54" i="13" l="1"/>
  <c r="U59" i="13"/>
  <c r="P68" i="13"/>
  <c r="Q68" i="13" s="1"/>
  <c r="Q47" i="13"/>
  <c r="Q48" i="13" s="1"/>
  <c r="Q49" i="13" s="1"/>
  <c r="Q50" i="13" s="1"/>
  <c r="Q51" i="13" s="1"/>
  <c r="Q52" i="13" s="1"/>
  <c r="Q53" i="13" s="1"/>
  <c r="Q54" i="13" s="1"/>
  <c r="Q55" i="13" s="1"/>
  <c r="Q56" i="13" s="1"/>
  <c r="Q57" i="13" s="1"/>
  <c r="Q67" i="13"/>
  <c r="Q58" i="13" l="1"/>
  <c r="Q59" i="13" s="1"/>
  <c r="Q60" i="13" s="1"/>
  <c r="Q61" i="13" s="1"/>
  <c r="Q62" i="13" s="1"/>
  <c r="Q63" i="13" s="1"/>
  <c r="Q64" i="13" s="1"/>
  <c r="Q65" i="13" s="1"/>
  <c r="Q66" i="13" s="1"/>
</calcChain>
</file>

<file path=xl/comments1.xml><?xml version="1.0" encoding="utf-8"?>
<comments xmlns="http://schemas.openxmlformats.org/spreadsheetml/2006/main">
  <authors>
    <author>Falzone Lorenzo</author>
  </authors>
  <commentList>
    <comment ref="C8" authorId="0">
      <text>
        <r>
          <rPr>
            <sz val="9"/>
            <color indexed="81"/>
            <rFont val="Tahoma"/>
            <family val="2"/>
          </rPr>
          <t xml:space="preserve">FL: Leistungstabelle INGE -15% für PL
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  (Instandsetzung 1999 durch AeBo / 5547)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  (Instandsetzung 1999 durch AeBo / 5546)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  (Instandsetzung 1995 durch AeBo / 5278)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 (Instands.1991 Gruner, evtl. CAD nachfragen) </t>
        </r>
      </text>
    </comment>
    <comment ref="B24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 (Lärmschutz Tenniken 1996 AeBo / 5286)</t>
        </r>
      </text>
    </comment>
  </commentList>
</comments>
</file>

<file path=xl/sharedStrings.xml><?xml version="1.0" encoding="utf-8"?>
<sst xmlns="http://schemas.openxmlformats.org/spreadsheetml/2006/main" count="204" uniqueCount="168">
  <si>
    <t>C</t>
  </si>
  <si>
    <t>D</t>
  </si>
  <si>
    <t>B</t>
  </si>
  <si>
    <t>F</t>
  </si>
  <si>
    <t>Pläne</t>
  </si>
  <si>
    <t>Auftrag Projektteam</t>
  </si>
  <si>
    <t>FL</t>
  </si>
  <si>
    <t>Phase Massnahmenkonzept (MK), Modul 7</t>
  </si>
  <si>
    <t>K0 - Dossierinhalt</t>
  </si>
  <si>
    <t>K1.1 - Inventarobjektplan / Genehmigungsplan / Projektperimeter</t>
  </si>
  <si>
    <t>K1.2 - Auflagen EK-Genehmigung, Umsetzung Auflagen EK-Genehmigung</t>
  </si>
  <si>
    <t>K2 - Überprüfungsbericht</t>
  </si>
  <si>
    <t>K3.2 - Projektbasis (Entwurf)</t>
  </si>
  <si>
    <t>K4 - Technischer Bericht</t>
  </si>
  <si>
    <t>K5 - Terminplan</t>
  </si>
  <si>
    <t>K7 - Risikoanalyse</t>
  </si>
  <si>
    <t>K8 - Pläne</t>
  </si>
  <si>
    <t>K8.1 Übersichtsplan (Kartenausschnitt) 1:25'000</t>
  </si>
  <si>
    <t>K8.2 Bauwerksskizzen A4-Blätter</t>
  </si>
  <si>
    <t>K8.3 Schadenplan/-pläne 1:500 od. 1:200 / 1:100</t>
  </si>
  <si>
    <t>K8.4 Synoptischer Plan Normkonformität oder Tabelle</t>
  </si>
  <si>
    <t>K8.6 Bauphasen und Verkehrsführung</t>
  </si>
  <si>
    <t>K8.5 Massnahmenplan/-pläne</t>
  </si>
  <si>
    <t>K6 - Kostenvoranschlag ±15 %</t>
  </si>
  <si>
    <t>K3.1 - Nutzungsvereinbarung</t>
  </si>
  <si>
    <t>Tätigkeit (Leistungen gem. Projektierungshandbuch ASTRA, TMP 22 001-22210)</t>
  </si>
  <si>
    <t>ÜF Steinler</t>
  </si>
  <si>
    <t xml:space="preserve">ÜF Sperrmatt </t>
  </si>
  <si>
    <t>ÜF Bisnacht</t>
  </si>
  <si>
    <t>ÜF Mitteldiegten</t>
  </si>
  <si>
    <t>UF Bleimatten</t>
  </si>
  <si>
    <t>UF Wasenhaus</t>
  </si>
  <si>
    <t>UF Eimatt</t>
  </si>
  <si>
    <t>UF Niederdiegten</t>
  </si>
  <si>
    <t>UF Gemeindehaus Diegten</t>
  </si>
  <si>
    <t>UF Mühle Diegten</t>
  </si>
  <si>
    <t>UF AS Diegten</t>
  </si>
  <si>
    <t>UF Oberdiegten</t>
  </si>
  <si>
    <t>DL Diegterbach Bachmatt</t>
  </si>
  <si>
    <t>DL Diegterbach Mühlematt</t>
  </si>
  <si>
    <t>DL Eibächli</t>
  </si>
  <si>
    <t>DL Helgenmattbächli</t>
  </si>
  <si>
    <t>NV</t>
  </si>
  <si>
    <t>PB</t>
  </si>
  <si>
    <t>Dossier MK</t>
  </si>
  <si>
    <t>K3.1</t>
  </si>
  <si>
    <t>K3.2</t>
  </si>
  <si>
    <t>K6</t>
  </si>
  <si>
    <t>TB
(inkl. Risikoanalyse)</t>
  </si>
  <si>
    <t>K4, K7</t>
  </si>
  <si>
    <t>K8.1, K8.2, K8.5</t>
  </si>
  <si>
    <t>K0, K1.1, K1.2, K8.4, K9.1</t>
  </si>
  <si>
    <t>K2, K9.8</t>
  </si>
  <si>
    <t>MA-Aufteilung AeBo</t>
  </si>
  <si>
    <t>Legende:</t>
  </si>
  <si>
    <t>Std-Dach Anteil AeBo, Total</t>
  </si>
  <si>
    <t>K9 - Anhänge</t>
  </si>
  <si>
    <t>K9.1 Projektspezifische Grundlagen Dossier K</t>
  </si>
  <si>
    <t>K9.2 Bericht geologie / Geotechnik</t>
  </si>
  <si>
    <t>K9.5 Expertenbericht</t>
  </si>
  <si>
    <t>K9.6 Prüfbericht</t>
  </si>
  <si>
    <t>K9.7 Basuellenlogistikkonzept</t>
  </si>
  <si>
    <t>K9.9 Stellungsnahme EP, GE SiBe, usw.</t>
  </si>
  <si>
    <t>Verteiler: Projektteam</t>
  </si>
  <si>
    <t>Angaben in Std.</t>
  </si>
  <si>
    <t>Allg. Dok
Dossier</t>
  </si>
  <si>
    <r>
      <t xml:space="preserve">Grundlagenpläne
</t>
    </r>
    <r>
      <rPr>
        <sz val="9"/>
        <rFont val="Arial"/>
        <family val="2"/>
      </rPr>
      <t>Digitalisierung von pdf</t>
    </r>
  </si>
  <si>
    <t>KV</t>
  </si>
  <si>
    <t>Grundlage: Leistungsliste INGE EPSI</t>
  </si>
  <si>
    <t>Staische Überprüfung und  Überprüfungsbericht</t>
  </si>
  <si>
    <t>Har</t>
  </si>
  <si>
    <t>9246.300 / ASTRA, N02, EP SIEP</t>
  </si>
  <si>
    <t>SJe</t>
  </si>
  <si>
    <t>ST</t>
  </si>
  <si>
    <t>BiE</t>
  </si>
  <si>
    <t>Lehrl.</t>
  </si>
  <si>
    <t>Tot.</t>
  </si>
  <si>
    <t>Total</t>
  </si>
  <si>
    <t>verbleibend</t>
  </si>
  <si>
    <t>Mai 2013</t>
  </si>
  <si>
    <t>Honorar-/Kostencontrolling Anteil AeBo</t>
  </si>
  <si>
    <t>Vertrag</t>
  </si>
  <si>
    <t>Grundleistungen
Einarbeitung, etc.</t>
  </si>
  <si>
    <t>Tage</t>
  </si>
  <si>
    <t>Soll</t>
  </si>
  <si>
    <t>DL Hefletenbächli</t>
  </si>
  <si>
    <t>DL Talbächli</t>
  </si>
  <si>
    <t>DL Rischmattbächli</t>
  </si>
  <si>
    <t>DL Diegterbach unter Rutsch Edelweiss</t>
  </si>
  <si>
    <t>7.308.1</t>
  </si>
  <si>
    <t>DL Diegterbach unter Rutsch Oberburg (Oberburg)</t>
  </si>
  <si>
    <t>7.308.2</t>
  </si>
  <si>
    <t>DL Diegterbach unter Rutsch Oberburg (Brücke)</t>
  </si>
  <si>
    <t>7.308.3</t>
  </si>
  <si>
    <t>Geschiebesammler Rutsch Eptingen</t>
  </si>
  <si>
    <t>Untere Fassung Edelweiss</t>
  </si>
  <si>
    <t>Bachverbauung Diegterbach km 27.0</t>
  </si>
  <si>
    <t>Keine Nr.</t>
  </si>
  <si>
    <t>Bachverbauung Diegterbach km 31.8</t>
  </si>
  <si>
    <t>DL Rintelnbächlein</t>
  </si>
  <si>
    <t>15.301 - 15.305</t>
  </si>
  <si>
    <t>entspricht</t>
  </si>
  <si>
    <t>abzgl. 15% für PL</t>
  </si>
  <si>
    <t xml:space="preserve">Alle fünf ELT's </t>
  </si>
  <si>
    <t>Kk</t>
  </si>
  <si>
    <t>Zr</t>
  </si>
  <si>
    <t>Adm.</t>
  </si>
  <si>
    <t>GH</t>
  </si>
  <si>
    <t>Bd</t>
  </si>
  <si>
    <t>Jan-Apr 2013</t>
  </si>
  <si>
    <t>BP</t>
  </si>
  <si>
    <t>Jan 2014</t>
  </si>
  <si>
    <t>Feb 2014</t>
  </si>
  <si>
    <t>Mär 2014</t>
  </si>
  <si>
    <t>Rest</t>
  </si>
  <si>
    <t>1.670</t>
  </si>
  <si>
    <t>1.674</t>
  </si>
  <si>
    <t>1.680</t>
  </si>
  <si>
    <t xml:space="preserve">1.683.1+2 </t>
  </si>
  <si>
    <t>7.302</t>
  </si>
  <si>
    <t>Budget</t>
  </si>
  <si>
    <t>KBOB-Kat.</t>
  </si>
  <si>
    <t>Jun 2013</t>
  </si>
  <si>
    <t>Jul 2013</t>
  </si>
  <si>
    <t>Aug 2013</t>
  </si>
  <si>
    <t>Okt 2013</t>
  </si>
  <si>
    <t>Nov 2013</t>
  </si>
  <si>
    <t>Dez 2013</t>
  </si>
  <si>
    <t>Anteil PL:</t>
  </si>
  <si>
    <t>h</t>
  </si>
  <si>
    <t>Projektsitzungen extern, etc. mit Anteil PL</t>
  </si>
  <si>
    <t>G</t>
  </si>
  <si>
    <t>MSA:</t>
  </si>
  <si>
    <t>CHF/h</t>
  </si>
  <si>
    <t>Apr 2014</t>
  </si>
  <si>
    <t>Mai 2014</t>
  </si>
  <si>
    <t>Juni 2014</t>
  </si>
  <si>
    <t>Juli 2014</t>
  </si>
  <si>
    <t>Aug 2014</t>
  </si>
  <si>
    <t>Sep 2014</t>
  </si>
  <si>
    <t>Sep 2013</t>
  </si>
  <si>
    <t>Okt 2014</t>
  </si>
  <si>
    <t>Nov 2014</t>
  </si>
  <si>
    <t>Total CHF</t>
  </si>
  <si>
    <t>Bewertung per 1.12.2013</t>
  </si>
  <si>
    <t>Bewertung per 1.5.2014</t>
  </si>
  <si>
    <t>kum. CHF</t>
  </si>
  <si>
    <t>Überige K</t>
  </si>
  <si>
    <t xml:space="preserve">Vertrag INGE </t>
  </si>
  <si>
    <t>Soll h AeBo (Tot-15% PL)</t>
  </si>
  <si>
    <t>%-kum.zu Vertrag</t>
  </si>
  <si>
    <t xml:space="preserve"> = Budget für übr. K</t>
  </si>
  <si>
    <t>Nachtrag (NO Nr. 5)</t>
  </si>
  <si>
    <t>[Tage]</t>
  </si>
  <si>
    <t>[Std.]</t>
  </si>
  <si>
    <t>Geleistet per 30.04.2014</t>
  </si>
  <si>
    <t>Restaufwandschätzung ab 1.5.2014</t>
  </si>
  <si>
    <t>Prognose bis Ende MK</t>
  </si>
  <si>
    <t>[CHF]</t>
  </si>
  <si>
    <t>Neues Std.-Dach mit NO</t>
  </si>
  <si>
    <t>Differenz zu "Std.-Dach nach NO"</t>
  </si>
  <si>
    <t>WÜF</t>
  </si>
  <si>
    <t>Summe</t>
  </si>
  <si>
    <t>TS</t>
  </si>
  <si>
    <t>Lehr</t>
  </si>
  <si>
    <t>nicht zuweisbare Leistungen</t>
  </si>
  <si>
    <t>Abzgl. 5% PL</t>
  </si>
  <si>
    <t>Zusätzl. NO WÜF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</si>
</sst>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 * #,##0_ ;_ * \-#,##0_ ;_ * &quot;-&quot;_ ;_ @_ "/>
    <numFmt numFmtId="43" formatCode="_ * #,##0.00_ ;_ * \-#,##0.00_ ;_ * &quot;-&quot;??_ ;_ @_ "/>
    <numFmt numFmtId="164" formatCode="_ * #,##0_ ;_ * \-#,##0_ ;_ * &quot;-&quot;??_ ;_ @_ "/>
  </numFmts>
  <fonts count="24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8"/>
      <name val="Arial"/>
      <family val="2"/>
    </font>
    <font>
      <sz val="10"/>
      <name val="Times New Roman"/>
      <family val="1"/>
    </font>
    <font>
      <b/>
      <sz val="11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70C0"/>
      <name val="Arial"/>
      <family val="2"/>
    </font>
    <font>
      <i/>
      <sz val="10"/>
      <color rgb="FF0070C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43" fontId="11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191">
    <xf numFmtId="0" fontId="0" fillId="0" borderId="0" xfId="0"/>
    <xf numFmtId="0" fontId="3" fillId="0" borderId="0" xfId="1" applyFont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49" fontId="4" fillId="0" borderId="0" xfId="1" quotePrefix="1" applyNumberFormat="1" applyFont="1" applyFill="1" applyBorder="1" applyAlignment="1">
      <alignment horizontal="left" vertical="center"/>
    </xf>
    <xf numFmtId="0" fontId="3" fillId="0" borderId="0" xfId="1" applyFont="1" applyBorder="1"/>
    <xf numFmtId="0" fontId="3" fillId="0" borderId="0" xfId="1" applyFont="1" applyBorder="1" applyAlignment="1">
      <alignment vertical="center"/>
    </xf>
    <xf numFmtId="0" fontId="3" fillId="0" borderId="0" xfId="1" applyFont="1"/>
    <xf numFmtId="0" fontId="1" fillId="0" borderId="0" xfId="1" applyFont="1" applyAlignment="1">
      <alignment horizontal="center"/>
    </xf>
    <xf numFmtId="49" fontId="4" fillId="0" borderId="0" xfId="1" applyNumberFormat="1" applyFont="1" applyFill="1" applyBorder="1" applyAlignment="1">
      <alignment horizontal="right" vertical="center"/>
    </xf>
    <xf numFmtId="49" fontId="8" fillId="0" borderId="0" xfId="1" applyNumberFormat="1" applyFont="1" applyFill="1" applyBorder="1" applyAlignment="1" applyProtection="1">
      <alignment horizontal="right" vertical="center"/>
      <protection locked="0"/>
    </xf>
    <xf numFmtId="0" fontId="1" fillId="0" borderId="0" xfId="1" applyFont="1" applyBorder="1" applyAlignment="1">
      <alignment horizontal="center"/>
    </xf>
    <xf numFmtId="49" fontId="7" fillId="0" borderId="0" xfId="1" applyNumberFormat="1" applyFont="1" applyFill="1" applyBorder="1" applyAlignment="1" applyProtection="1">
      <alignment vertical="center"/>
      <protection locked="0"/>
    </xf>
    <xf numFmtId="49" fontId="7" fillId="0" borderId="0" xfId="1" applyNumberFormat="1" applyFont="1" applyFill="1" applyBorder="1" applyAlignment="1" applyProtection="1">
      <alignment horizontal="left" vertical="center"/>
      <protection locked="0"/>
    </xf>
    <xf numFmtId="49" fontId="3" fillId="0" borderId="20" xfId="1" applyNumberFormat="1" applyFont="1" applyFill="1" applyBorder="1" applyAlignment="1" applyProtection="1">
      <alignment horizontal="left" vertical="center"/>
      <protection locked="0"/>
    </xf>
    <xf numFmtId="49" fontId="3" fillId="0" borderId="0" xfId="1" applyNumberFormat="1" applyFont="1" applyFill="1" applyBorder="1" applyAlignment="1" applyProtection="1">
      <alignment vertical="center"/>
      <protection locked="0"/>
    </xf>
    <xf numFmtId="1" fontId="3" fillId="0" borderId="0" xfId="1" applyNumberFormat="1" applyFont="1" applyBorder="1" applyAlignment="1">
      <alignment vertical="center"/>
    </xf>
    <xf numFmtId="2" fontId="3" fillId="0" borderId="5" xfId="1" applyNumberFormat="1" applyFont="1" applyFill="1" applyBorder="1" applyAlignment="1" applyProtection="1">
      <alignment horizontal="center" vertical="center"/>
      <protection locked="0"/>
    </xf>
    <xf numFmtId="49" fontId="8" fillId="0" borderId="20" xfId="1" applyNumberFormat="1" applyFont="1" applyFill="1" applyBorder="1" applyAlignment="1" applyProtection="1">
      <alignment horizontal="left" vertical="center"/>
      <protection locked="0"/>
    </xf>
    <xf numFmtId="49" fontId="3" fillId="0" borderId="20" xfId="1" applyNumberFormat="1" applyFont="1" applyFill="1" applyBorder="1" applyAlignment="1" applyProtection="1">
      <alignment horizontal="left" vertical="center" indent="1"/>
      <protection locked="0"/>
    </xf>
    <xf numFmtId="49" fontId="3" fillId="0" borderId="0" xfId="1" applyNumberFormat="1" applyFont="1" applyFill="1" applyBorder="1" applyAlignment="1" applyProtection="1">
      <alignment horizontal="left" vertical="center"/>
      <protection locked="0"/>
    </xf>
    <xf numFmtId="1" fontId="3" fillId="0" borderId="5" xfId="1" applyNumberFormat="1" applyFont="1" applyFill="1" applyBorder="1" applyAlignment="1" applyProtection="1">
      <alignment horizontal="center" vertical="center"/>
      <protection locked="0"/>
    </xf>
    <xf numFmtId="0" fontId="12" fillId="0" borderId="0" xfId="1" applyFont="1" applyBorder="1"/>
    <xf numFmtId="49" fontId="2" fillId="2" borderId="1" xfId="1" applyNumberFormat="1" applyFont="1" applyFill="1" applyBorder="1" applyAlignment="1">
      <alignment horizontal="left" vertical="center"/>
    </xf>
    <xf numFmtId="0" fontId="2" fillId="2" borderId="1" xfId="1" applyFont="1" applyFill="1" applyBorder="1"/>
    <xf numFmtId="0" fontId="3" fillId="2" borderId="21" xfId="1" quotePrefix="1" applyFont="1" applyFill="1" applyBorder="1" applyAlignment="1">
      <alignment horizontal="center" vertical="center" wrapText="1"/>
    </xf>
    <xf numFmtId="2" fontId="3" fillId="0" borderId="0" xfId="1" applyNumberFormat="1" applyFont="1" applyFill="1" applyBorder="1" applyAlignment="1" applyProtection="1">
      <alignment horizontal="center" vertical="center"/>
      <protection locked="0"/>
    </xf>
    <xf numFmtId="49" fontId="3" fillId="0" borderId="0" xfId="1" applyNumberFormat="1" applyFont="1" applyFill="1" applyBorder="1" applyAlignment="1" applyProtection="1">
      <alignment horizontal="left" vertical="center" indent="1"/>
      <protection locked="0"/>
    </xf>
    <xf numFmtId="49" fontId="13" fillId="0" borderId="0" xfId="1" applyNumberFormat="1" applyFont="1" applyFill="1" applyBorder="1" applyAlignment="1" applyProtection="1">
      <alignment horizontal="left" vertical="center"/>
      <protection locked="0"/>
    </xf>
    <xf numFmtId="2" fontId="3" fillId="0" borderId="0" xfId="1" applyNumberFormat="1" applyFont="1" applyFill="1" applyBorder="1" applyAlignment="1" applyProtection="1">
      <alignment horizontal="right" vertical="center"/>
      <protection locked="0"/>
    </xf>
    <xf numFmtId="2" fontId="8" fillId="0" borderId="0" xfId="1" applyNumberFormat="1" applyFont="1" applyBorder="1" applyAlignment="1">
      <alignment horizontal="center" vertical="center"/>
    </xf>
    <xf numFmtId="0" fontId="9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Continuous"/>
    </xf>
    <xf numFmtId="49" fontId="10" fillId="0" borderId="0" xfId="1" applyNumberFormat="1" applyFont="1" applyFill="1" applyBorder="1" applyAlignment="1">
      <alignment horizontal="left" vertical="center"/>
    </xf>
    <xf numFmtId="49" fontId="3" fillId="0" borderId="0" xfId="1" applyNumberFormat="1" applyFont="1" applyFill="1" applyBorder="1" applyAlignment="1">
      <alignment horizontal="right" vertical="center"/>
    </xf>
    <xf numFmtId="49" fontId="2" fillId="0" borderId="7" xfId="1" applyNumberFormat="1" applyFont="1" applyFill="1" applyBorder="1" applyAlignment="1">
      <alignment horizontal="left" vertical="center"/>
    </xf>
    <xf numFmtId="0" fontId="2" fillId="0" borderId="7" xfId="1" applyFont="1" applyFill="1" applyBorder="1"/>
    <xf numFmtId="43" fontId="8" fillId="0" borderId="0" xfId="2" applyFont="1" applyBorder="1" applyAlignment="1">
      <alignment horizontal="center" vertical="center"/>
    </xf>
    <xf numFmtId="43" fontId="3" fillId="0" borderId="0" xfId="1" applyNumberFormat="1" applyFont="1" applyBorder="1" applyAlignment="1">
      <alignment vertical="center"/>
    </xf>
    <xf numFmtId="49" fontId="17" fillId="0" borderId="0" xfId="1" applyNumberFormat="1" applyFont="1" applyFill="1" applyBorder="1" applyAlignment="1" applyProtection="1">
      <alignment vertical="center"/>
      <protection locked="0"/>
    </xf>
    <xf numFmtId="0" fontId="3" fillId="0" borderId="0" xfId="1" applyFont="1" applyBorder="1" applyAlignment="1">
      <alignment horizontal="left" vertical="center"/>
    </xf>
    <xf numFmtId="0" fontId="3" fillId="0" borderId="0" xfId="1" applyFont="1" applyBorder="1" applyAlignment="1">
      <alignment horizontal="centerContinuous"/>
    </xf>
    <xf numFmtId="49" fontId="12" fillId="0" borderId="0" xfId="1" applyNumberFormat="1" applyFont="1" applyFill="1" applyBorder="1" applyAlignment="1">
      <alignment horizontal="left" vertical="center"/>
    </xf>
    <xf numFmtId="49" fontId="2" fillId="2" borderId="0" xfId="1" applyNumberFormat="1" applyFont="1" applyFill="1" applyBorder="1" applyAlignment="1">
      <alignment horizontal="left" vertical="center"/>
    </xf>
    <xf numFmtId="0" fontId="2" fillId="2" borderId="0" xfId="1" applyFont="1" applyFill="1" applyBorder="1"/>
    <xf numFmtId="9" fontId="3" fillId="2" borderId="22" xfId="3" quotePrefix="1" applyFont="1" applyFill="1" applyBorder="1" applyAlignment="1">
      <alignment horizontal="center" vertical="center" wrapText="1"/>
    </xf>
    <xf numFmtId="0" fontId="3" fillId="2" borderId="23" xfId="1" quotePrefix="1" applyFont="1" applyFill="1" applyBorder="1" applyAlignment="1">
      <alignment horizontal="center" vertical="center" wrapText="1"/>
    </xf>
    <xf numFmtId="0" fontId="3" fillId="2" borderId="28" xfId="1" quotePrefix="1" applyFont="1" applyFill="1" applyBorder="1" applyAlignment="1">
      <alignment horizontal="center" vertical="center" wrapText="1"/>
    </xf>
    <xf numFmtId="9" fontId="3" fillId="2" borderId="30" xfId="3" quotePrefix="1" applyFont="1" applyFill="1" applyBorder="1" applyAlignment="1">
      <alignment horizontal="center" vertical="center" wrapText="1"/>
    </xf>
    <xf numFmtId="2" fontId="3" fillId="0" borderId="32" xfId="1" applyNumberFormat="1" applyFont="1" applyFill="1" applyBorder="1" applyAlignment="1" applyProtection="1">
      <alignment horizontal="center" vertical="center"/>
      <protection locked="0"/>
    </xf>
    <xf numFmtId="1" fontId="3" fillId="0" borderId="32" xfId="1" applyNumberFormat="1" applyFont="1" applyFill="1" applyBorder="1" applyAlignment="1" applyProtection="1">
      <alignment horizontal="center" vertical="center"/>
      <protection locked="0"/>
    </xf>
    <xf numFmtId="0" fontId="3" fillId="2" borderId="4" xfId="1" quotePrefix="1" applyFont="1" applyFill="1" applyBorder="1" applyAlignment="1">
      <alignment horizontal="center" vertical="center" wrapText="1"/>
    </xf>
    <xf numFmtId="0" fontId="3" fillId="2" borderId="6" xfId="1" quotePrefix="1" applyFont="1" applyFill="1" applyBorder="1" applyAlignment="1">
      <alignment horizontal="center" vertical="center" wrapText="1"/>
    </xf>
    <xf numFmtId="2" fontId="3" fillId="0" borderId="36" xfId="1" applyNumberFormat="1" applyFont="1" applyFill="1" applyBorder="1" applyAlignment="1" applyProtection="1">
      <alignment horizontal="center" vertical="center"/>
      <protection locked="0"/>
    </xf>
    <xf numFmtId="1" fontId="3" fillId="0" borderId="36" xfId="1" applyNumberFormat="1" applyFont="1" applyFill="1" applyBorder="1" applyAlignment="1" applyProtection="1">
      <alignment horizontal="center" vertical="center"/>
      <protection locked="0"/>
    </xf>
    <xf numFmtId="2" fontId="3" fillId="0" borderId="24" xfId="1" applyNumberFormat="1" applyFont="1" applyFill="1" applyBorder="1" applyAlignment="1" applyProtection="1">
      <alignment horizontal="center" vertical="center"/>
      <protection locked="0"/>
    </xf>
    <xf numFmtId="1" fontId="3" fillId="0" borderId="24" xfId="1" applyNumberFormat="1" applyFont="1" applyFill="1" applyBorder="1" applyAlignment="1" applyProtection="1">
      <alignment horizontal="center" vertical="center"/>
      <protection locked="0"/>
    </xf>
    <xf numFmtId="2" fontId="12" fillId="0" borderId="36" xfId="1" applyNumberFormat="1" applyFont="1" applyFill="1" applyBorder="1" applyAlignment="1" applyProtection="1">
      <alignment horizontal="center" vertical="center"/>
      <protection locked="0"/>
    </xf>
    <xf numFmtId="1" fontId="12" fillId="0" borderId="36" xfId="1" applyNumberFormat="1" applyFont="1" applyFill="1" applyBorder="1" applyAlignment="1" applyProtection="1">
      <alignment horizontal="center" vertical="center"/>
      <protection locked="0"/>
    </xf>
    <xf numFmtId="0" fontId="3" fillId="2" borderId="12" xfId="1" quotePrefix="1" applyFont="1" applyFill="1" applyBorder="1" applyAlignment="1">
      <alignment horizontal="center" vertical="center" wrapText="1"/>
    </xf>
    <xf numFmtId="2" fontId="3" fillId="0" borderId="42" xfId="1" applyNumberFormat="1" applyFont="1" applyFill="1" applyBorder="1" applyAlignment="1" applyProtection="1">
      <alignment horizontal="center" vertical="center"/>
      <protection locked="0"/>
    </xf>
    <xf numFmtId="1" fontId="3" fillId="0" borderId="42" xfId="1" applyNumberFormat="1" applyFont="1" applyFill="1" applyBorder="1" applyAlignment="1" applyProtection="1">
      <alignment horizontal="center" vertical="center"/>
      <protection locked="0"/>
    </xf>
    <xf numFmtId="9" fontId="3" fillId="2" borderId="9" xfId="3" quotePrefix="1" applyFont="1" applyFill="1" applyBorder="1" applyAlignment="1">
      <alignment horizontal="center" vertical="center" wrapText="1"/>
    </xf>
    <xf numFmtId="9" fontId="3" fillId="2" borderId="3" xfId="3" quotePrefix="1" applyFont="1" applyFill="1" applyBorder="1" applyAlignment="1">
      <alignment horizontal="center" vertical="center" wrapText="1"/>
    </xf>
    <xf numFmtId="1" fontId="3" fillId="0" borderId="0" xfId="1" applyNumberFormat="1" applyFont="1" applyFill="1" applyAlignment="1">
      <alignment horizontal="center" vertical="center"/>
    </xf>
    <xf numFmtId="49" fontId="3" fillId="4" borderId="20" xfId="1" applyNumberFormat="1" applyFont="1" applyFill="1" applyBorder="1" applyAlignment="1" applyProtection="1">
      <alignment vertical="center"/>
      <protection locked="0"/>
    </xf>
    <xf numFmtId="2" fontId="3" fillId="3" borderId="20" xfId="1" applyNumberFormat="1" applyFont="1" applyFill="1" applyBorder="1" applyAlignment="1">
      <alignment horizontal="center" vertical="center"/>
    </xf>
    <xf numFmtId="49" fontId="3" fillId="4" borderId="16" xfId="1" applyNumberFormat="1" applyFont="1" applyFill="1" applyBorder="1" applyAlignment="1" applyProtection="1">
      <alignment vertical="center"/>
      <protection locked="0"/>
    </xf>
    <xf numFmtId="2" fontId="3" fillId="3" borderId="16" xfId="1" applyNumberFormat="1" applyFont="1" applyFill="1" applyBorder="1" applyAlignment="1">
      <alignment horizontal="center" vertical="center"/>
    </xf>
    <xf numFmtId="4" fontId="3" fillId="3" borderId="15" xfId="2" applyNumberFormat="1" applyFont="1" applyFill="1" applyBorder="1" applyAlignment="1">
      <alignment horizontal="center" vertical="center"/>
    </xf>
    <xf numFmtId="0" fontId="3" fillId="3" borderId="16" xfId="1" applyFont="1" applyFill="1" applyBorder="1" applyAlignment="1">
      <alignment horizontal="center" vertical="center"/>
    </xf>
    <xf numFmtId="0" fontId="3" fillId="5" borderId="27" xfId="1" quotePrefix="1" applyFont="1" applyFill="1" applyBorder="1" applyAlignment="1">
      <alignment horizontal="center" vertical="center" wrapText="1"/>
    </xf>
    <xf numFmtId="0" fontId="3" fillId="5" borderId="29" xfId="1" quotePrefix="1" applyFont="1" applyFill="1" applyBorder="1" applyAlignment="1">
      <alignment horizontal="center" vertical="center" wrapText="1"/>
    </xf>
    <xf numFmtId="2" fontId="3" fillId="5" borderId="31" xfId="1" applyNumberFormat="1" applyFont="1" applyFill="1" applyBorder="1" applyAlignment="1" applyProtection="1">
      <alignment horizontal="center" vertical="center"/>
      <protection locked="0"/>
    </xf>
    <xf numFmtId="1" fontId="3" fillId="5" borderId="31" xfId="1" applyNumberFormat="1" applyFont="1" applyFill="1" applyBorder="1" applyAlignment="1" applyProtection="1">
      <alignment horizontal="center" vertical="center"/>
      <protection locked="0"/>
    </xf>
    <xf numFmtId="0" fontId="3" fillId="0" borderId="0" xfId="1" applyFont="1" applyFill="1" applyBorder="1" applyAlignment="1">
      <alignment vertical="center"/>
    </xf>
    <xf numFmtId="1" fontId="3" fillId="0" borderId="0" xfId="1" applyNumberFormat="1" applyFont="1" applyFill="1" applyBorder="1" applyAlignment="1">
      <alignment vertical="center"/>
    </xf>
    <xf numFmtId="49" fontId="3" fillId="0" borderId="16" xfId="1" applyNumberFormat="1" applyFont="1" applyFill="1" applyBorder="1" applyAlignment="1" applyProtection="1">
      <alignment horizontal="left" vertical="center" indent="1"/>
      <protection locked="0"/>
    </xf>
    <xf numFmtId="49" fontId="3" fillId="0" borderId="44" xfId="1" applyNumberFormat="1" applyFont="1" applyFill="1" applyBorder="1" applyAlignment="1" applyProtection="1">
      <alignment horizontal="left" vertical="center"/>
      <protection locked="0"/>
    </xf>
    <xf numFmtId="49" fontId="3" fillId="0" borderId="42" xfId="1" applyNumberFormat="1" applyFont="1" applyFill="1" applyBorder="1" applyAlignment="1" applyProtection="1">
      <alignment horizontal="left" vertical="center"/>
      <protection locked="0"/>
    </xf>
    <xf numFmtId="49" fontId="3" fillId="0" borderId="7" xfId="1" applyNumberFormat="1" applyFont="1" applyFill="1" applyBorder="1" applyAlignment="1" applyProtection="1">
      <alignment horizontal="left" vertical="center" indent="1"/>
      <protection locked="0"/>
    </xf>
    <xf numFmtId="49" fontId="3" fillId="0" borderId="8" xfId="1" applyNumberFormat="1" applyFont="1" applyFill="1" applyBorder="1" applyAlignment="1" applyProtection="1">
      <alignment horizontal="left" vertical="center"/>
      <protection locked="0"/>
    </xf>
    <xf numFmtId="49" fontId="3" fillId="0" borderId="39" xfId="1" applyNumberFormat="1" applyFont="1" applyFill="1" applyBorder="1" applyAlignment="1" applyProtection="1">
      <alignment horizontal="left" vertical="center" indent="1"/>
      <protection locked="0"/>
    </xf>
    <xf numFmtId="49" fontId="3" fillId="0" borderId="41" xfId="1" applyNumberFormat="1" applyFont="1" applyFill="1" applyBorder="1" applyAlignment="1" applyProtection="1">
      <alignment horizontal="left" vertical="center"/>
      <protection locked="0"/>
    </xf>
    <xf numFmtId="1" fontId="3" fillId="5" borderId="33" xfId="1" applyNumberFormat="1" applyFont="1" applyFill="1" applyBorder="1" applyAlignment="1" applyProtection="1">
      <alignment horizontal="center" vertical="center"/>
      <protection locked="0"/>
    </xf>
    <xf numFmtId="1" fontId="3" fillId="0" borderId="37" xfId="1" applyNumberFormat="1" applyFont="1" applyFill="1" applyBorder="1" applyAlignment="1" applyProtection="1">
      <alignment horizontal="center" vertical="center"/>
      <protection locked="0"/>
    </xf>
    <xf numFmtId="1" fontId="3" fillId="0" borderId="34" xfId="1" applyNumberFormat="1" applyFont="1" applyFill="1" applyBorder="1" applyAlignment="1" applyProtection="1">
      <alignment horizontal="center" vertical="center"/>
      <protection locked="0"/>
    </xf>
    <xf numFmtId="1" fontId="3" fillId="0" borderId="35" xfId="1" applyNumberFormat="1" applyFont="1" applyFill="1" applyBorder="1" applyAlignment="1" applyProtection="1">
      <alignment horizontal="center" vertical="center"/>
      <protection locked="0"/>
    </xf>
    <xf numFmtId="1" fontId="12" fillId="0" borderId="37" xfId="1" applyNumberFormat="1" applyFont="1" applyFill="1" applyBorder="1" applyAlignment="1" applyProtection="1">
      <alignment horizontal="center" vertical="center"/>
      <protection locked="0"/>
    </xf>
    <xf numFmtId="1" fontId="3" fillId="0" borderId="38" xfId="1" applyNumberFormat="1" applyFont="1" applyFill="1" applyBorder="1" applyAlignment="1" applyProtection="1">
      <alignment horizontal="center" vertical="center"/>
      <protection locked="0"/>
    </xf>
    <xf numFmtId="1" fontId="3" fillId="0" borderId="41" xfId="1" applyNumberFormat="1" applyFont="1" applyFill="1" applyBorder="1" applyAlignment="1" applyProtection="1">
      <alignment horizontal="center" vertical="center"/>
      <protection locked="0"/>
    </xf>
    <xf numFmtId="1" fontId="3" fillId="5" borderId="45" xfId="1" applyNumberFormat="1" applyFont="1" applyFill="1" applyBorder="1" applyAlignment="1" applyProtection="1">
      <alignment horizontal="center" vertical="center"/>
      <protection locked="0"/>
    </xf>
    <xf numFmtId="1" fontId="3" fillId="0" borderId="18" xfId="1" applyNumberFormat="1" applyFont="1" applyFill="1" applyBorder="1" applyAlignment="1" applyProtection="1">
      <alignment horizontal="center" vertical="center"/>
      <protection locked="0"/>
    </xf>
    <xf numFmtId="1" fontId="3" fillId="0" borderId="17" xfId="1" applyNumberFormat="1" applyFont="1" applyFill="1" applyBorder="1" applyAlignment="1" applyProtection="1">
      <alignment horizontal="center" vertical="center"/>
      <protection locked="0"/>
    </xf>
    <xf numFmtId="1" fontId="3" fillId="0" borderId="46" xfId="1" applyNumberFormat="1" applyFont="1" applyFill="1" applyBorder="1" applyAlignment="1" applyProtection="1">
      <alignment horizontal="center" vertical="center"/>
      <protection locked="0"/>
    </xf>
    <xf numFmtId="1" fontId="12" fillId="0" borderId="18" xfId="1" applyNumberFormat="1" applyFont="1" applyFill="1" applyBorder="1" applyAlignment="1" applyProtection="1">
      <alignment horizontal="center" vertical="center"/>
      <protection locked="0"/>
    </xf>
    <xf numFmtId="1" fontId="3" fillId="0" borderId="47" xfId="1" applyNumberFormat="1" applyFont="1" applyFill="1" applyBorder="1" applyAlignment="1" applyProtection="1">
      <alignment horizontal="center" vertical="center"/>
      <protection locked="0"/>
    </xf>
    <xf numFmtId="1" fontId="3" fillId="0" borderId="44" xfId="1" applyNumberFormat="1" applyFont="1" applyFill="1" applyBorder="1" applyAlignment="1" applyProtection="1">
      <alignment horizontal="center" vertical="center"/>
      <protection locked="0"/>
    </xf>
    <xf numFmtId="1" fontId="3" fillId="5" borderId="48" xfId="1" applyNumberFormat="1" applyFont="1" applyFill="1" applyBorder="1" applyAlignment="1" applyProtection="1">
      <alignment horizontal="center" vertical="center"/>
      <protection locked="0"/>
    </xf>
    <xf numFmtId="1" fontId="3" fillId="0" borderId="49" xfId="1" applyNumberFormat="1" applyFont="1" applyFill="1" applyBorder="1" applyAlignment="1" applyProtection="1">
      <alignment horizontal="center" vertical="center"/>
      <protection locked="0"/>
    </xf>
    <xf numFmtId="1" fontId="3" fillId="0" borderId="50" xfId="1" applyNumberFormat="1" applyFont="1" applyFill="1" applyBorder="1" applyAlignment="1" applyProtection="1">
      <alignment horizontal="center" vertical="center"/>
      <protection locked="0"/>
    </xf>
    <xf numFmtId="1" fontId="3" fillId="0" borderId="51" xfId="1" applyNumberFormat="1" applyFont="1" applyFill="1" applyBorder="1" applyAlignment="1" applyProtection="1">
      <alignment horizontal="center" vertical="center"/>
      <protection locked="0"/>
    </xf>
    <xf numFmtId="1" fontId="12" fillId="0" borderId="49" xfId="1" applyNumberFormat="1" applyFont="1" applyFill="1" applyBorder="1" applyAlignment="1" applyProtection="1">
      <alignment horizontal="center" vertical="center"/>
      <protection locked="0"/>
    </xf>
    <xf numFmtId="1" fontId="3" fillId="0" borderId="52" xfId="1" applyNumberFormat="1" applyFont="1" applyFill="1" applyBorder="1" applyAlignment="1" applyProtection="1">
      <alignment horizontal="center" vertical="center"/>
      <protection locked="0"/>
    </xf>
    <xf numFmtId="1" fontId="3" fillId="0" borderId="8" xfId="1" applyNumberFormat="1" applyFont="1" applyFill="1" applyBorder="1" applyAlignment="1" applyProtection="1">
      <alignment horizontal="center" vertical="center"/>
      <protection locked="0"/>
    </xf>
    <xf numFmtId="2" fontId="8" fillId="0" borderId="0" xfId="1" applyNumberFormat="1" applyFont="1" applyBorder="1" applyAlignment="1">
      <alignment horizontal="right" vertical="center"/>
    </xf>
    <xf numFmtId="164" fontId="8" fillId="0" borderId="0" xfId="2" applyNumberFormat="1" applyFont="1" applyBorder="1" applyAlignment="1">
      <alignment horizontal="center" vertical="center"/>
    </xf>
    <xf numFmtId="49" fontId="3" fillId="0" borderId="16" xfId="1" applyNumberFormat="1" applyFont="1" applyFill="1" applyBorder="1" applyAlignment="1" applyProtection="1">
      <alignment horizontal="left" vertical="center"/>
      <protection locked="0"/>
    </xf>
    <xf numFmtId="49" fontId="3" fillId="0" borderId="7" xfId="1" applyNumberFormat="1" applyFont="1" applyFill="1" applyBorder="1" applyAlignment="1" applyProtection="1">
      <alignment horizontal="left" vertical="center"/>
      <protection locked="0"/>
    </xf>
    <xf numFmtId="1" fontId="8" fillId="5" borderId="48" xfId="1" applyNumberFormat="1" applyFont="1" applyFill="1" applyBorder="1" applyAlignment="1">
      <alignment horizontal="center" vertical="center"/>
    </xf>
    <xf numFmtId="1" fontId="8" fillId="0" borderId="49" xfId="1" applyNumberFormat="1" applyFont="1" applyBorder="1" applyAlignment="1">
      <alignment horizontal="center" vertical="center"/>
    </xf>
    <xf numFmtId="49" fontId="3" fillId="0" borderId="1" xfId="1" applyNumberFormat="1" applyFont="1" applyFill="1" applyBorder="1" applyAlignment="1" applyProtection="1">
      <alignment horizontal="left" vertical="center" indent="1"/>
      <protection locked="0"/>
    </xf>
    <xf numFmtId="49" fontId="3" fillId="0" borderId="1" xfId="1" applyNumberFormat="1" applyFont="1" applyFill="1" applyBorder="1" applyAlignment="1" applyProtection="1">
      <alignment horizontal="left" vertical="center"/>
      <protection locked="0"/>
    </xf>
    <xf numFmtId="1" fontId="3" fillId="5" borderId="27" xfId="1" applyNumberFormat="1" applyFont="1" applyFill="1" applyBorder="1" applyAlignment="1" applyProtection="1">
      <alignment horizontal="center" vertical="center"/>
      <protection locked="0"/>
    </xf>
    <xf numFmtId="1" fontId="3" fillId="0" borderId="4" xfId="1" applyNumberFormat="1" applyFont="1" applyFill="1" applyBorder="1" applyAlignment="1" applyProtection="1">
      <alignment horizontal="center" vertical="center"/>
      <protection locked="0"/>
    </xf>
    <xf numFmtId="1" fontId="3" fillId="0" borderId="21" xfId="1" applyNumberFormat="1" applyFont="1" applyFill="1" applyBorder="1" applyAlignment="1" applyProtection="1">
      <alignment horizontal="center" vertical="center"/>
      <protection locked="0"/>
    </xf>
    <xf numFmtId="1" fontId="3" fillId="0" borderId="28" xfId="1" applyNumberFormat="1" applyFont="1" applyFill="1" applyBorder="1" applyAlignment="1" applyProtection="1">
      <alignment horizontal="center" vertical="center"/>
      <protection locked="0"/>
    </xf>
    <xf numFmtId="1" fontId="12" fillId="0" borderId="4" xfId="1" applyNumberFormat="1" applyFont="1" applyFill="1" applyBorder="1" applyAlignment="1" applyProtection="1">
      <alignment horizontal="center" vertical="center"/>
      <protection locked="0"/>
    </xf>
    <xf numFmtId="1" fontId="3" fillId="0" borderId="23" xfId="1" applyNumberFormat="1" applyFont="1" applyFill="1" applyBorder="1" applyAlignment="1" applyProtection="1">
      <alignment horizontal="center" vertical="center"/>
      <protection locked="0"/>
    </xf>
    <xf numFmtId="1" fontId="3" fillId="0" borderId="12" xfId="1" applyNumberFormat="1" applyFont="1" applyFill="1" applyBorder="1" applyAlignment="1" applyProtection="1">
      <alignment horizontal="center" vertical="center"/>
      <protection locked="0"/>
    </xf>
    <xf numFmtId="2" fontId="3" fillId="0" borderId="0" xfId="1" applyNumberFormat="1" applyFont="1" applyBorder="1" applyAlignment="1">
      <alignment horizontal="right" vertical="center"/>
    </xf>
    <xf numFmtId="164" fontId="3" fillId="0" borderId="0" xfId="2" applyNumberFormat="1" applyFont="1" applyBorder="1" applyAlignment="1">
      <alignment horizontal="center" vertical="center"/>
    </xf>
    <xf numFmtId="1" fontId="8" fillId="0" borderId="28" xfId="1" applyNumberFormat="1" applyFont="1" applyBorder="1" applyAlignment="1">
      <alignment horizontal="center" vertical="center"/>
    </xf>
    <xf numFmtId="1" fontId="8" fillId="0" borderId="21" xfId="1" applyNumberFormat="1" applyFont="1" applyBorder="1" applyAlignment="1">
      <alignment horizontal="center" vertical="center"/>
    </xf>
    <xf numFmtId="9" fontId="3" fillId="0" borderId="0" xfId="3" applyFont="1" applyBorder="1" applyAlignment="1">
      <alignment vertical="center"/>
    </xf>
    <xf numFmtId="49" fontId="19" fillId="0" borderId="0" xfId="1" applyNumberFormat="1" applyFont="1" applyFill="1" applyBorder="1" applyAlignment="1" applyProtection="1">
      <alignment horizontal="left" vertical="center"/>
      <protection locked="0"/>
    </xf>
    <xf numFmtId="2" fontId="8" fillId="0" borderId="0" xfId="1" applyNumberFormat="1" applyFont="1" applyFill="1" applyBorder="1" applyAlignment="1">
      <alignment horizontal="center" vertical="center"/>
    </xf>
    <xf numFmtId="2" fontId="3" fillId="0" borderId="0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4" fontId="3" fillId="0" borderId="2" xfId="1" applyNumberFormat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vertical="center"/>
    </xf>
    <xf numFmtId="2" fontId="1" fillId="0" borderId="0" xfId="1" applyNumberFormat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3" fontId="8" fillId="0" borderId="7" xfId="1" applyNumberFormat="1" applyFont="1" applyFill="1" applyBorder="1" applyAlignment="1">
      <alignment horizontal="center" vertical="center"/>
    </xf>
    <xf numFmtId="3" fontId="8" fillId="0" borderId="14" xfId="2" applyNumberFormat="1" applyFont="1" applyFill="1" applyBorder="1" applyAlignment="1">
      <alignment horizontal="center" vertical="center"/>
    </xf>
    <xf numFmtId="49" fontId="3" fillId="0" borderId="20" xfId="1" applyNumberFormat="1" applyFont="1" applyFill="1" applyBorder="1" applyAlignment="1" applyProtection="1">
      <alignment vertical="center"/>
      <protection locked="0"/>
    </xf>
    <xf numFmtId="2" fontId="3" fillId="0" borderId="20" xfId="1" applyNumberFormat="1" applyFont="1" applyFill="1" applyBorder="1" applyAlignment="1">
      <alignment horizontal="center" vertical="center"/>
    </xf>
    <xf numFmtId="4" fontId="3" fillId="0" borderId="43" xfId="2" applyNumberFormat="1" applyFont="1" applyFill="1" applyBorder="1" applyAlignment="1">
      <alignment horizontal="center" vertical="center"/>
    </xf>
    <xf numFmtId="49" fontId="3" fillId="0" borderId="16" xfId="1" applyNumberFormat="1" applyFont="1" applyFill="1" applyBorder="1" applyAlignment="1" applyProtection="1">
      <alignment vertical="center"/>
      <protection locked="0"/>
    </xf>
    <xf numFmtId="2" fontId="3" fillId="0" borderId="16" xfId="1" applyNumberFormat="1" applyFont="1" applyFill="1" applyBorder="1" applyAlignment="1">
      <alignment horizontal="center" vertical="center"/>
    </xf>
    <xf numFmtId="4" fontId="3" fillId="0" borderId="15" xfId="2" applyNumberFormat="1" applyFont="1" applyFill="1" applyBorder="1" applyAlignment="1">
      <alignment horizontal="center" vertical="center"/>
    </xf>
    <xf numFmtId="9" fontId="3" fillId="0" borderId="0" xfId="3" applyFont="1" applyFill="1" applyBorder="1" applyAlignment="1">
      <alignment vertical="center"/>
    </xf>
    <xf numFmtId="2" fontId="8" fillId="0" borderId="7" xfId="1" applyNumberFormat="1" applyFont="1" applyFill="1" applyBorder="1" applyAlignment="1">
      <alignment horizontal="center" vertical="center"/>
    </xf>
    <xf numFmtId="9" fontId="8" fillId="0" borderId="0" xfId="3" applyFont="1" applyFill="1" applyBorder="1" applyAlignment="1">
      <alignment vertical="center"/>
    </xf>
    <xf numFmtId="0" fontId="8" fillId="0" borderId="0" xfId="1" applyFont="1" applyFill="1" applyBorder="1" applyAlignment="1">
      <alignment vertical="center"/>
    </xf>
    <xf numFmtId="49" fontId="12" fillId="0" borderId="0" xfId="1" applyNumberFormat="1" applyFont="1" applyFill="1" applyBorder="1" applyAlignment="1" applyProtection="1">
      <alignment horizontal="right" vertical="center"/>
      <protection locked="0"/>
    </xf>
    <xf numFmtId="2" fontId="12" fillId="0" borderId="0" xfId="1" applyNumberFormat="1" applyFont="1" applyFill="1" applyBorder="1" applyAlignment="1">
      <alignment horizontal="center" vertical="center"/>
    </xf>
    <xf numFmtId="2" fontId="14" fillId="0" borderId="2" xfId="1" applyNumberFormat="1" applyFont="1" applyFill="1" applyBorder="1" applyAlignment="1">
      <alignment horizontal="center" vertical="center"/>
    </xf>
    <xf numFmtId="1" fontId="8" fillId="5" borderId="14" xfId="1" applyNumberFormat="1" applyFont="1" applyFill="1" applyBorder="1" applyAlignment="1">
      <alignment horizontal="center" vertical="center"/>
    </xf>
    <xf numFmtId="2" fontId="8" fillId="0" borderId="14" xfId="1" applyNumberFormat="1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49" fontId="8" fillId="0" borderId="0" xfId="1" applyNumberFormat="1" applyFont="1" applyFill="1" applyBorder="1" applyAlignment="1" applyProtection="1">
      <alignment horizontal="left" vertical="center"/>
      <protection locked="0"/>
    </xf>
    <xf numFmtId="41" fontId="8" fillId="0" borderId="0" xfId="2" applyNumberFormat="1" applyFont="1" applyBorder="1" applyAlignment="1">
      <alignment vertical="center"/>
    </xf>
    <xf numFmtId="3" fontId="3" fillId="0" borderId="0" xfId="1" applyNumberFormat="1" applyFont="1" applyBorder="1" applyAlignment="1">
      <alignment vertical="center"/>
    </xf>
    <xf numFmtId="0" fontId="3" fillId="0" borderId="0" xfId="1" applyFont="1" applyBorder="1" applyAlignment="1">
      <alignment vertical="center" textRotation="90"/>
    </xf>
    <xf numFmtId="4" fontId="3" fillId="0" borderId="0" xfId="1" applyNumberFormat="1" applyFont="1" applyBorder="1" applyAlignment="1">
      <alignment vertical="center"/>
    </xf>
    <xf numFmtId="0" fontId="3" fillId="0" borderId="0" xfId="0" applyFont="1"/>
    <xf numFmtId="0" fontId="8" fillId="0" borderId="0" xfId="0" applyFont="1"/>
    <xf numFmtId="4" fontId="0" fillId="0" borderId="0" xfId="0" applyNumberFormat="1"/>
    <xf numFmtId="3" fontId="0" fillId="0" borderId="0" xfId="0" applyNumberFormat="1"/>
    <xf numFmtId="0" fontId="3" fillId="0" borderId="0" xfId="1" applyFont="1" applyBorder="1" applyAlignment="1">
      <alignment vertical="center" wrapText="1"/>
    </xf>
    <xf numFmtId="4" fontId="8" fillId="0" borderId="0" xfId="0" applyNumberFormat="1" applyFont="1"/>
    <xf numFmtId="0" fontId="3" fillId="0" borderId="0" xfId="0" applyFont="1" applyAlignment="1">
      <alignment horizontal="center"/>
    </xf>
    <xf numFmtId="0" fontId="0" fillId="0" borderId="7" xfId="0" applyBorder="1"/>
    <xf numFmtId="0" fontId="12" fillId="0" borderId="0" xfId="0" applyFont="1"/>
    <xf numFmtId="41" fontId="0" fillId="0" borderId="0" xfId="0" applyNumberFormat="1"/>
    <xf numFmtId="41" fontId="0" fillId="0" borderId="7" xfId="0" applyNumberFormat="1" applyBorder="1"/>
    <xf numFmtId="0" fontId="15" fillId="0" borderId="11" xfId="1" applyFont="1" applyBorder="1" applyAlignment="1">
      <alignment horizontal="center" vertical="top" wrapText="1"/>
    </xf>
    <xf numFmtId="0" fontId="15" fillId="0" borderId="25" xfId="1" applyFont="1" applyBorder="1" applyAlignment="1">
      <alignment horizontal="center" vertical="top" wrapText="1"/>
    </xf>
    <xf numFmtId="0" fontId="15" fillId="0" borderId="26" xfId="1" applyFont="1" applyBorder="1" applyAlignment="1">
      <alignment horizontal="center" vertical="top" wrapText="1"/>
    </xf>
    <xf numFmtId="0" fontId="3" fillId="0" borderId="40" xfId="1" quotePrefix="1" applyFont="1" applyBorder="1" applyAlignment="1">
      <alignment horizontal="center" vertical="center" wrapText="1"/>
    </xf>
    <xf numFmtId="0" fontId="3" fillId="0" borderId="39" xfId="1" quotePrefix="1" applyFont="1" applyBorder="1" applyAlignment="1">
      <alignment horizontal="center" vertical="center" wrapText="1"/>
    </xf>
    <xf numFmtId="0" fontId="3" fillId="0" borderId="41" xfId="1" quotePrefix="1" applyFont="1" applyBorder="1" applyAlignment="1">
      <alignment horizontal="center" vertical="center" wrapText="1"/>
    </xf>
    <xf numFmtId="0" fontId="16" fillId="0" borderId="11" xfId="1" applyFont="1" applyBorder="1" applyAlignment="1">
      <alignment horizontal="center" vertical="top" wrapText="1"/>
    </xf>
    <xf numFmtId="0" fontId="16" fillId="0" borderId="26" xfId="1" applyFont="1" applyBorder="1" applyAlignment="1">
      <alignment horizontal="center" vertical="top" wrapText="1"/>
    </xf>
    <xf numFmtId="0" fontId="15" fillId="0" borderId="10" xfId="1" applyFont="1" applyBorder="1" applyAlignment="1">
      <alignment horizontal="center" vertical="top" wrapText="1"/>
    </xf>
    <xf numFmtId="0" fontId="15" fillId="0" borderId="19" xfId="1" applyFont="1" applyBorder="1" applyAlignment="1">
      <alignment horizontal="center" vertical="top" wrapText="1"/>
    </xf>
    <xf numFmtId="0" fontId="15" fillId="0" borderId="14" xfId="1" applyFont="1" applyBorder="1" applyAlignment="1">
      <alignment horizontal="center" vertical="top" wrapText="1"/>
    </xf>
    <xf numFmtId="0" fontId="15" fillId="0" borderId="8" xfId="1" applyFont="1" applyBorder="1" applyAlignment="1">
      <alignment horizontal="center" vertical="top" wrapText="1"/>
    </xf>
    <xf numFmtId="0" fontId="15" fillId="0" borderId="13" xfId="1" applyFont="1" applyBorder="1" applyAlignment="1">
      <alignment horizontal="center" vertical="top" wrapText="1"/>
    </xf>
    <xf numFmtId="0" fontId="15" fillId="0" borderId="7" xfId="1" applyFont="1" applyBorder="1" applyAlignment="1">
      <alignment horizontal="center" vertical="top" wrapText="1"/>
    </xf>
    <xf numFmtId="0" fontId="12" fillId="0" borderId="40" xfId="1" quotePrefix="1" applyFont="1" applyBorder="1" applyAlignment="1">
      <alignment horizontal="center" vertical="center" wrapText="1"/>
    </xf>
    <xf numFmtId="0" fontId="12" fillId="0" borderId="41" xfId="1" quotePrefix="1" applyFont="1" applyBorder="1" applyAlignment="1">
      <alignment horizontal="center" vertical="center" wrapText="1"/>
    </xf>
    <xf numFmtId="0" fontId="15" fillId="0" borderId="11" xfId="1" applyFont="1" applyBorder="1" applyAlignment="1">
      <alignment horizontal="center" vertical="top"/>
    </xf>
    <xf numFmtId="0" fontId="15" fillId="0" borderId="26" xfId="1" applyFont="1" applyBorder="1" applyAlignment="1">
      <alignment horizontal="center" vertical="top"/>
    </xf>
    <xf numFmtId="0" fontId="0" fillId="0" borderId="0" xfId="0" applyBorder="1"/>
    <xf numFmtId="2" fontId="3" fillId="6" borderId="16" xfId="1" applyNumberFormat="1" applyFont="1" applyFill="1" applyBorder="1" applyAlignment="1">
      <alignment horizontal="center" vertical="center"/>
    </xf>
    <xf numFmtId="0" fontId="22" fillId="0" borderId="0" xfId="0" applyFont="1"/>
    <xf numFmtId="0" fontId="23" fillId="0" borderId="0" xfId="0" applyFont="1"/>
    <xf numFmtId="4" fontId="0" fillId="0" borderId="7" xfId="0" applyNumberFormat="1" applyBorder="1"/>
    <xf numFmtId="3" fontId="8" fillId="0" borderId="0" xfId="0" applyNumberFormat="1" applyFont="1"/>
    <xf numFmtId="1" fontId="0" fillId="0" borderId="0" xfId="0" applyNumberFormat="1"/>
  </cellXfs>
  <cellStyles count="4">
    <cellStyle name="Komma" xfId="2" builtinId="3"/>
    <cellStyle name="Prozent" xfId="3" builtinId="5"/>
    <cellStyle name="Standard" xfId="0" builtinId="0"/>
    <cellStyle name="Standard_5747-Phasenplanung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211667</xdr:colOff>
      <xdr:row>44</xdr:row>
      <xdr:rowOff>116417</xdr:rowOff>
    </xdr:from>
    <xdr:to>
      <xdr:col>18</xdr:col>
      <xdr:colOff>539750</xdr:colOff>
      <xdr:row>52</xdr:row>
      <xdr:rowOff>179917</xdr:rowOff>
    </xdr:to>
    <xdr:sp macro="" textlink="">
      <xdr:nvSpPr>
        <xdr:cNvPr id="2" name="Textfeld 1"/>
        <xdr:cNvSpPr txBox="1"/>
      </xdr:nvSpPr>
      <xdr:spPr>
        <a:xfrm>
          <a:off x="12382500" y="10477500"/>
          <a:ext cx="328083" cy="17568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de-CH" sz="800">
              <a:latin typeface="Arial" panose="020B0604020202020204" pitchFamily="34" charset="0"/>
              <a:cs typeface="Arial" panose="020B0604020202020204" pitchFamily="34" charset="0"/>
            </a:rPr>
            <a:t>Restaufwandscätzung</a:t>
          </a:r>
        </a:p>
      </xdr:txBody>
    </xdr:sp>
    <xdr:clientData/>
  </xdr:twoCellAnchor>
  <xdr:twoCellAnchor>
    <xdr:from>
      <xdr:col>19</xdr:col>
      <xdr:colOff>116417</xdr:colOff>
      <xdr:row>44</xdr:row>
      <xdr:rowOff>95250</xdr:rowOff>
    </xdr:from>
    <xdr:to>
      <xdr:col>19</xdr:col>
      <xdr:colOff>444500</xdr:colOff>
      <xdr:row>52</xdr:row>
      <xdr:rowOff>158750</xdr:rowOff>
    </xdr:to>
    <xdr:sp macro="" textlink="">
      <xdr:nvSpPr>
        <xdr:cNvPr id="3" name="Textfeld 2"/>
        <xdr:cNvSpPr txBox="1"/>
      </xdr:nvSpPr>
      <xdr:spPr>
        <a:xfrm>
          <a:off x="12848167" y="10456333"/>
          <a:ext cx="328083" cy="17568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de-CH" sz="800">
              <a:latin typeface="Arial" panose="020B0604020202020204" pitchFamily="34" charset="0"/>
              <a:cs typeface="Arial" panose="020B0604020202020204" pitchFamily="34" charset="0"/>
            </a:rPr>
            <a:t>PrognoseAufwand bis ENde MK</a:t>
          </a:r>
        </a:p>
      </xdr:txBody>
    </xdr:sp>
    <xdr:clientData/>
  </xdr:twoCellAnchor>
  <xdr:twoCellAnchor>
    <xdr:from>
      <xdr:col>20</xdr:col>
      <xdr:colOff>158750</xdr:colOff>
      <xdr:row>45</xdr:row>
      <xdr:rowOff>0</xdr:rowOff>
    </xdr:from>
    <xdr:to>
      <xdr:col>20</xdr:col>
      <xdr:colOff>486833</xdr:colOff>
      <xdr:row>52</xdr:row>
      <xdr:rowOff>201084</xdr:rowOff>
    </xdr:to>
    <xdr:sp macro="" textlink="">
      <xdr:nvSpPr>
        <xdr:cNvPr id="4" name="Textfeld 3"/>
        <xdr:cNvSpPr txBox="1"/>
      </xdr:nvSpPr>
      <xdr:spPr>
        <a:xfrm>
          <a:off x="13451417" y="10498667"/>
          <a:ext cx="328083" cy="17568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de-CH" sz="800">
              <a:latin typeface="Arial" panose="020B0604020202020204" pitchFamily="34" charset="0"/>
              <a:cs typeface="Arial" panose="020B0604020202020204" pitchFamily="34" charset="0"/>
            </a:rPr>
            <a:t>Mehraufwand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86"/>
  <sheetViews>
    <sheetView topLeftCell="A32" zoomScale="90" zoomScaleNormal="90" zoomScaleSheetLayoutView="100" workbookViewId="0">
      <selection activeCell="S69" sqref="S69"/>
    </sheetView>
  </sheetViews>
  <sheetFormatPr baseColWidth="10" defaultColWidth="10.28515625" defaultRowHeight="12.75" x14ac:dyDescent="0.2"/>
  <cols>
    <col min="1" max="1" width="44.85546875" style="7" customWidth="1"/>
    <col min="2" max="2" width="14.140625" style="7" customWidth="1"/>
    <col min="3" max="4" width="8.85546875" style="1" customWidth="1"/>
    <col min="5" max="5" width="9" style="1" bestFit="1" customWidth="1"/>
    <col min="6" max="8" width="8.42578125" style="1" customWidth="1"/>
    <col min="9" max="10" width="9.5703125" style="1" customWidth="1"/>
    <col min="11" max="14" width="8.42578125" style="1" customWidth="1"/>
    <col min="15" max="15" width="10.28515625" style="1" customWidth="1"/>
    <col min="16" max="16" width="12.28515625" style="1" customWidth="1"/>
    <col min="17" max="26" width="8.42578125" style="1" customWidth="1"/>
    <col min="27" max="27" width="10.42578125" style="1" customWidth="1"/>
    <col min="28" max="16384" width="10.28515625" style="6"/>
  </cols>
  <sheetData>
    <row r="1" spans="1:37" s="4" customFormat="1" ht="32.1" customHeight="1" x14ac:dyDescent="0.35">
      <c r="A1" s="30" t="s">
        <v>5</v>
      </c>
      <c r="B1" s="31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37" s="4" customFormat="1" ht="4.5" customHeight="1" x14ac:dyDescent="0.35">
      <c r="A2" s="30"/>
      <c r="B2" s="31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3"/>
    </row>
    <row r="3" spans="1:37" s="4" customFormat="1" ht="32.1" customHeight="1" x14ac:dyDescent="0.2">
      <c r="A3" s="39" t="s">
        <v>68</v>
      </c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33" t="s">
        <v>64</v>
      </c>
    </row>
    <row r="4" spans="1:37" s="4" customFormat="1" ht="3.75" customHeight="1" x14ac:dyDescent="0.2">
      <c r="A4" s="11"/>
      <c r="B4" s="8"/>
    </row>
    <row r="5" spans="1:37" s="4" customFormat="1" ht="18.75" customHeight="1" x14ac:dyDescent="0.2">
      <c r="A5" s="11" t="s">
        <v>71</v>
      </c>
      <c r="B5" s="3"/>
      <c r="I5" s="21"/>
      <c r="J5" s="21"/>
    </row>
    <row r="6" spans="1:37" s="4" customFormat="1" ht="36.75" customHeight="1" x14ac:dyDescent="0.2">
      <c r="A6" s="12" t="s">
        <v>7</v>
      </c>
      <c r="C6" s="174" t="s">
        <v>82</v>
      </c>
      <c r="D6" s="175"/>
      <c r="E6" s="174" t="s">
        <v>66</v>
      </c>
      <c r="F6" s="178"/>
      <c r="G6" s="175"/>
      <c r="H6" s="172" t="s">
        <v>65</v>
      </c>
      <c r="I6" s="173"/>
      <c r="J6" s="166" t="s">
        <v>42</v>
      </c>
      <c r="K6" s="167"/>
      <c r="L6" s="168"/>
      <c r="M6" s="166" t="s">
        <v>69</v>
      </c>
      <c r="N6" s="167"/>
      <c r="O6" s="167"/>
      <c r="P6" s="168"/>
      <c r="Q6" s="166" t="s">
        <v>43</v>
      </c>
      <c r="R6" s="167"/>
      <c r="S6" s="167"/>
      <c r="T6" s="168"/>
      <c r="U6" s="166" t="s">
        <v>48</v>
      </c>
      <c r="V6" s="167"/>
      <c r="W6" s="168"/>
      <c r="X6" s="166" t="s">
        <v>4</v>
      </c>
      <c r="Y6" s="168"/>
      <c r="Z6" s="182" t="s">
        <v>67</v>
      </c>
      <c r="AA6" s="183"/>
    </row>
    <row r="7" spans="1:37" s="4" customFormat="1" ht="35.25" customHeight="1" x14ac:dyDescent="0.2">
      <c r="A7" s="34" t="s">
        <v>25</v>
      </c>
      <c r="B7" s="35"/>
      <c r="C7" s="176"/>
      <c r="D7" s="177"/>
      <c r="E7" s="176"/>
      <c r="F7" s="179"/>
      <c r="G7" s="177"/>
      <c r="H7" s="180" t="s">
        <v>51</v>
      </c>
      <c r="I7" s="181"/>
      <c r="J7" s="169" t="s">
        <v>45</v>
      </c>
      <c r="K7" s="170"/>
      <c r="L7" s="171"/>
      <c r="M7" s="169" t="s">
        <v>52</v>
      </c>
      <c r="N7" s="170"/>
      <c r="O7" s="170"/>
      <c r="P7" s="171"/>
      <c r="Q7" s="169" t="s">
        <v>46</v>
      </c>
      <c r="R7" s="170"/>
      <c r="S7" s="170"/>
      <c r="T7" s="171"/>
      <c r="U7" s="169" t="s">
        <v>49</v>
      </c>
      <c r="V7" s="170"/>
      <c r="W7" s="171"/>
      <c r="X7" s="169" t="s">
        <v>50</v>
      </c>
      <c r="Y7" s="171"/>
      <c r="Z7" s="169" t="s">
        <v>47</v>
      </c>
      <c r="AA7" s="171"/>
    </row>
    <row r="8" spans="1:37" s="4" customFormat="1" ht="26.25" customHeight="1" x14ac:dyDescent="0.2">
      <c r="A8" s="22" t="s">
        <v>53</v>
      </c>
      <c r="B8" s="23"/>
      <c r="C8" s="70" t="s">
        <v>81</v>
      </c>
      <c r="D8" s="50" t="s">
        <v>6</v>
      </c>
      <c r="E8" s="70" t="s">
        <v>81</v>
      </c>
      <c r="F8" s="24" t="s">
        <v>70</v>
      </c>
      <c r="G8" s="46" t="s">
        <v>73</v>
      </c>
      <c r="H8" s="70" t="s">
        <v>81</v>
      </c>
      <c r="I8" s="50" t="s">
        <v>72</v>
      </c>
      <c r="J8" s="70" t="s">
        <v>81</v>
      </c>
      <c r="K8" s="24" t="s">
        <v>6</v>
      </c>
      <c r="L8" s="46" t="s">
        <v>72</v>
      </c>
      <c r="M8" s="70" t="s">
        <v>81</v>
      </c>
      <c r="N8" s="45" t="s">
        <v>6</v>
      </c>
      <c r="O8" s="45" t="s">
        <v>74</v>
      </c>
      <c r="P8" s="58" t="s">
        <v>72</v>
      </c>
      <c r="Q8" s="70" t="s">
        <v>81</v>
      </c>
      <c r="R8" s="45" t="s">
        <v>6</v>
      </c>
      <c r="S8" s="45" t="s">
        <v>74</v>
      </c>
      <c r="T8" s="58" t="s">
        <v>72</v>
      </c>
      <c r="U8" s="70" t="s">
        <v>81</v>
      </c>
      <c r="V8" s="45" t="s">
        <v>6</v>
      </c>
      <c r="W8" s="58" t="s">
        <v>72</v>
      </c>
      <c r="X8" s="70" t="s">
        <v>81</v>
      </c>
      <c r="Y8" s="50" t="s">
        <v>75</v>
      </c>
      <c r="Z8" s="70" t="s">
        <v>81</v>
      </c>
      <c r="AA8" s="50" t="s">
        <v>72</v>
      </c>
    </row>
    <row r="9" spans="1:37" s="4" customFormat="1" ht="21" customHeight="1" x14ac:dyDescent="0.2">
      <c r="A9" s="42"/>
      <c r="B9" s="43"/>
      <c r="C9" s="71"/>
      <c r="D9" s="51"/>
      <c r="E9" s="71"/>
      <c r="F9" s="44">
        <v>0.8</v>
      </c>
      <c r="G9" s="47">
        <v>0.2</v>
      </c>
      <c r="H9" s="71"/>
      <c r="I9" s="51"/>
      <c r="J9" s="71"/>
      <c r="K9" s="44">
        <v>0.2</v>
      </c>
      <c r="L9" s="47">
        <v>0.8</v>
      </c>
      <c r="M9" s="71"/>
      <c r="N9" s="61">
        <v>0.2</v>
      </c>
      <c r="O9" s="61">
        <v>0.5</v>
      </c>
      <c r="P9" s="62">
        <v>0.3</v>
      </c>
      <c r="Q9" s="71"/>
      <c r="R9" s="61">
        <v>0.2</v>
      </c>
      <c r="S9" s="61">
        <v>0.5</v>
      </c>
      <c r="T9" s="62">
        <v>0.3</v>
      </c>
      <c r="U9" s="71"/>
      <c r="V9" s="61">
        <v>0.2</v>
      </c>
      <c r="W9" s="62">
        <v>0.8</v>
      </c>
      <c r="X9" s="71"/>
      <c r="Y9" s="51"/>
      <c r="Z9" s="71"/>
      <c r="AA9" s="51"/>
    </row>
    <row r="10" spans="1:37" s="5" customFormat="1" ht="17.25" customHeight="1" x14ac:dyDescent="0.2">
      <c r="A10" s="17" t="s">
        <v>44</v>
      </c>
      <c r="B10" s="13"/>
      <c r="C10" s="72"/>
      <c r="D10" s="52"/>
      <c r="E10" s="72"/>
      <c r="F10" s="16"/>
      <c r="G10" s="48"/>
      <c r="H10" s="72"/>
      <c r="I10" s="56"/>
      <c r="J10" s="72"/>
      <c r="K10" s="16"/>
      <c r="L10" s="48"/>
      <c r="M10" s="72"/>
      <c r="N10" s="54"/>
      <c r="O10" s="54"/>
      <c r="P10" s="59"/>
      <c r="Q10" s="72"/>
      <c r="R10" s="54"/>
      <c r="S10" s="54"/>
      <c r="T10" s="59"/>
      <c r="U10" s="72"/>
      <c r="V10" s="54"/>
      <c r="W10" s="59"/>
      <c r="X10" s="72"/>
      <c r="Y10" s="52"/>
      <c r="Z10" s="72"/>
      <c r="AA10" s="52"/>
    </row>
    <row r="11" spans="1:37" s="74" customFormat="1" ht="17.25" customHeight="1" x14ac:dyDescent="0.2">
      <c r="A11" s="76" t="s">
        <v>26</v>
      </c>
      <c r="B11" s="77" t="s">
        <v>115</v>
      </c>
      <c r="C11" s="73">
        <v>0</v>
      </c>
      <c r="D11" s="53">
        <f t="shared" ref="D11" si="0">C11</f>
        <v>0</v>
      </c>
      <c r="E11" s="73">
        <v>0</v>
      </c>
      <c r="F11" s="20">
        <f>E11*$F$9</f>
        <v>0</v>
      </c>
      <c r="G11" s="49">
        <f t="shared" ref="G11:G23" si="1">E11*$G$9</f>
        <v>0</v>
      </c>
      <c r="H11" s="73">
        <v>0</v>
      </c>
      <c r="I11" s="57">
        <v>0</v>
      </c>
      <c r="J11" s="73">
        <v>0</v>
      </c>
      <c r="K11" s="20">
        <f>J11*$K$9</f>
        <v>0</v>
      </c>
      <c r="L11" s="49">
        <f>J11*$L$9</f>
        <v>0</v>
      </c>
      <c r="M11" s="73">
        <v>0</v>
      </c>
      <c r="N11" s="20">
        <f>M11*$N$9</f>
        <v>0</v>
      </c>
      <c r="O11" s="55">
        <f>M11*$O$9</f>
        <v>0</v>
      </c>
      <c r="P11" s="60">
        <f>M11*$P$9</f>
        <v>0</v>
      </c>
      <c r="Q11" s="73">
        <v>0</v>
      </c>
      <c r="R11" s="20">
        <f>Q11*$R$9</f>
        <v>0</v>
      </c>
      <c r="S11" s="55">
        <f>Q11*$S$9</f>
        <v>0</v>
      </c>
      <c r="T11" s="60">
        <f>Q11*$T$9</f>
        <v>0</v>
      </c>
      <c r="U11" s="73">
        <v>0</v>
      </c>
      <c r="V11" s="20">
        <f>U11*$V$9</f>
        <v>0</v>
      </c>
      <c r="W11" s="49">
        <f>U11*$W$9</f>
        <v>0</v>
      </c>
      <c r="X11" s="73">
        <v>0</v>
      </c>
      <c r="Y11" s="53">
        <f>X11</f>
        <v>0</v>
      </c>
      <c r="Z11" s="73">
        <v>0</v>
      </c>
      <c r="AA11" s="53">
        <f>Z11</f>
        <v>0</v>
      </c>
      <c r="AC11" s="75"/>
      <c r="AD11" s="75"/>
      <c r="AE11" s="75"/>
      <c r="AF11" s="75"/>
      <c r="AG11" s="75"/>
      <c r="AH11" s="75"/>
      <c r="AI11" s="75"/>
      <c r="AJ11" s="75"/>
      <c r="AK11" s="75"/>
    </row>
    <row r="12" spans="1:37" s="74" customFormat="1" ht="17.25" customHeight="1" x14ac:dyDescent="0.2">
      <c r="A12" s="18" t="s">
        <v>27</v>
      </c>
      <c r="B12" s="78">
        <v>1.671</v>
      </c>
      <c r="C12" s="73">
        <f>8.5*0.85</f>
        <v>7.2249999999999996</v>
      </c>
      <c r="D12" s="53">
        <f>C12</f>
        <v>7.2249999999999996</v>
      </c>
      <c r="E12" s="73">
        <f>3*8.5*0.85</f>
        <v>21.675000000000001</v>
      </c>
      <c r="F12" s="20">
        <f t="shared" ref="F12:F38" si="2">E12*$F$9</f>
        <v>17.34</v>
      </c>
      <c r="G12" s="49">
        <f t="shared" si="1"/>
        <v>4.335</v>
      </c>
      <c r="H12" s="73">
        <f>0</f>
        <v>0</v>
      </c>
      <c r="I12" s="57">
        <v>0</v>
      </c>
      <c r="J12" s="73">
        <f>8.5*0.85</f>
        <v>7.2249999999999996</v>
      </c>
      <c r="K12" s="20">
        <f t="shared" ref="K12:K38" si="3">J12*$K$9</f>
        <v>1.4450000000000001</v>
      </c>
      <c r="L12" s="49">
        <f t="shared" ref="L12:L23" si="4">J12*$L$9</f>
        <v>5.78</v>
      </c>
      <c r="M12" s="73">
        <f>10*8.5*0.85</f>
        <v>72.25</v>
      </c>
      <c r="N12" s="55">
        <f t="shared" ref="N12:N38" si="5">M12*$N$9</f>
        <v>14.450000000000001</v>
      </c>
      <c r="O12" s="55">
        <f t="shared" ref="O12:O23" si="6">M12*$O$9</f>
        <v>36.125</v>
      </c>
      <c r="P12" s="60">
        <f t="shared" ref="P12:P23" si="7">M12*$P$9</f>
        <v>21.675000000000001</v>
      </c>
      <c r="Q12" s="73">
        <f>8.5*0.85</f>
        <v>7.2249999999999996</v>
      </c>
      <c r="R12" s="55">
        <f t="shared" ref="R12:R38" si="8">Q12*$R$9</f>
        <v>1.4450000000000001</v>
      </c>
      <c r="S12" s="55">
        <f t="shared" ref="S12:S23" si="9">Q12*$S$9</f>
        <v>3.6124999999999998</v>
      </c>
      <c r="T12" s="60">
        <f t="shared" ref="T12:T23" si="10">Q12*$T$9</f>
        <v>2.1675</v>
      </c>
      <c r="U12" s="73">
        <f>3*8.5*0.85</f>
        <v>21.675000000000001</v>
      </c>
      <c r="V12" s="55">
        <f t="shared" ref="V12:V38" si="11">U12*$V$9</f>
        <v>4.335</v>
      </c>
      <c r="W12" s="60">
        <f t="shared" ref="W12:W23" si="12">U12*$W$9</f>
        <v>17.34</v>
      </c>
      <c r="X12" s="73">
        <f>2*8.5*0.85</f>
        <v>14.45</v>
      </c>
      <c r="Y12" s="53">
        <f t="shared" ref="Y12:Y38" si="13">X12</f>
        <v>14.45</v>
      </c>
      <c r="Z12" s="73">
        <f>8.5*0.85</f>
        <v>7.2249999999999996</v>
      </c>
      <c r="AA12" s="53">
        <f t="shared" ref="AA12:AA38" si="14">Z12</f>
        <v>7.2249999999999996</v>
      </c>
      <c r="AC12" s="75"/>
      <c r="AD12" s="75"/>
      <c r="AE12" s="75"/>
      <c r="AF12" s="75"/>
      <c r="AG12" s="75"/>
      <c r="AH12" s="75"/>
      <c r="AI12" s="75"/>
      <c r="AJ12" s="75"/>
      <c r="AK12" s="75"/>
    </row>
    <row r="13" spans="1:37" s="74" customFormat="1" ht="17.25" customHeight="1" x14ac:dyDescent="0.2">
      <c r="A13" s="18" t="s">
        <v>28</v>
      </c>
      <c r="B13" s="78" t="s">
        <v>116</v>
      </c>
      <c r="C13" s="73">
        <f>8.5*0.85</f>
        <v>7.2249999999999996</v>
      </c>
      <c r="D13" s="53">
        <f t="shared" ref="D13:D38" si="15">C13</f>
        <v>7.2249999999999996</v>
      </c>
      <c r="E13" s="73">
        <f>3*8.5*0.85</f>
        <v>21.675000000000001</v>
      </c>
      <c r="F13" s="20">
        <f t="shared" si="2"/>
        <v>17.34</v>
      </c>
      <c r="G13" s="49">
        <f t="shared" si="1"/>
        <v>4.335</v>
      </c>
      <c r="H13" s="73">
        <f>0</f>
        <v>0</v>
      </c>
      <c r="I13" s="57">
        <v>0</v>
      </c>
      <c r="J13" s="73">
        <f>8.5*0.85</f>
        <v>7.2249999999999996</v>
      </c>
      <c r="K13" s="20">
        <f t="shared" si="3"/>
        <v>1.4450000000000001</v>
      </c>
      <c r="L13" s="49">
        <f t="shared" si="4"/>
        <v>5.78</v>
      </c>
      <c r="M13" s="73">
        <v>0</v>
      </c>
      <c r="N13" s="55">
        <f t="shared" si="5"/>
        <v>0</v>
      </c>
      <c r="O13" s="55">
        <f t="shared" si="6"/>
        <v>0</v>
      </c>
      <c r="P13" s="60">
        <f t="shared" si="7"/>
        <v>0</v>
      </c>
      <c r="Q13" s="73">
        <v>0</v>
      </c>
      <c r="R13" s="55">
        <f t="shared" si="8"/>
        <v>0</v>
      </c>
      <c r="S13" s="55">
        <f t="shared" si="9"/>
        <v>0</v>
      </c>
      <c r="T13" s="60">
        <f t="shared" si="10"/>
        <v>0</v>
      </c>
      <c r="U13" s="73">
        <f>3*8.5*0.85</f>
        <v>21.675000000000001</v>
      </c>
      <c r="V13" s="55">
        <f t="shared" si="11"/>
        <v>4.335</v>
      </c>
      <c r="W13" s="60">
        <f t="shared" si="12"/>
        <v>17.34</v>
      </c>
      <c r="X13" s="73">
        <f>2*8.5*0.85</f>
        <v>14.45</v>
      </c>
      <c r="Y13" s="53">
        <f t="shared" si="13"/>
        <v>14.45</v>
      </c>
      <c r="Z13" s="73">
        <f>8.5*0.85</f>
        <v>7.2249999999999996</v>
      </c>
      <c r="AA13" s="53">
        <f t="shared" si="14"/>
        <v>7.2249999999999996</v>
      </c>
      <c r="AB13" s="74" t="s">
        <v>83</v>
      </c>
      <c r="AC13" s="75" t="s">
        <v>84</v>
      </c>
      <c r="AD13" s="75"/>
      <c r="AE13" s="75"/>
      <c r="AF13" s="75"/>
      <c r="AG13" s="75"/>
      <c r="AH13" s="75"/>
      <c r="AI13" s="75"/>
      <c r="AJ13" s="75"/>
      <c r="AK13" s="75"/>
    </row>
    <row r="14" spans="1:37" s="74" customFormat="1" ht="17.25" customHeight="1" x14ac:dyDescent="0.2">
      <c r="A14" s="81" t="s">
        <v>29</v>
      </c>
      <c r="B14" s="82" t="s">
        <v>117</v>
      </c>
      <c r="C14" s="83">
        <f>8.5*0.85</f>
        <v>7.2249999999999996</v>
      </c>
      <c r="D14" s="84">
        <f t="shared" si="15"/>
        <v>7.2249999999999996</v>
      </c>
      <c r="E14" s="83">
        <v>0</v>
      </c>
      <c r="F14" s="85">
        <f t="shared" si="2"/>
        <v>0</v>
      </c>
      <c r="G14" s="86">
        <f t="shared" si="1"/>
        <v>0</v>
      </c>
      <c r="H14" s="83">
        <f>0</f>
        <v>0</v>
      </c>
      <c r="I14" s="87">
        <v>0</v>
      </c>
      <c r="J14" s="83">
        <f>8.5*0.85</f>
        <v>7.2249999999999996</v>
      </c>
      <c r="K14" s="85">
        <f t="shared" si="3"/>
        <v>1.4450000000000001</v>
      </c>
      <c r="L14" s="86">
        <f t="shared" si="4"/>
        <v>5.78</v>
      </c>
      <c r="M14" s="83">
        <f>5*8.5*0.85</f>
        <v>36.125</v>
      </c>
      <c r="N14" s="88">
        <f t="shared" si="5"/>
        <v>7.2250000000000005</v>
      </c>
      <c r="O14" s="88">
        <f t="shared" si="6"/>
        <v>18.0625</v>
      </c>
      <c r="P14" s="89">
        <f t="shared" si="7"/>
        <v>10.8375</v>
      </c>
      <c r="Q14" s="83">
        <f>8.5*0.85</f>
        <v>7.2249999999999996</v>
      </c>
      <c r="R14" s="88">
        <f t="shared" si="8"/>
        <v>1.4450000000000001</v>
      </c>
      <c r="S14" s="88">
        <f t="shared" si="9"/>
        <v>3.6124999999999998</v>
      </c>
      <c r="T14" s="89">
        <f t="shared" si="10"/>
        <v>2.1675</v>
      </c>
      <c r="U14" s="83">
        <v>0</v>
      </c>
      <c r="V14" s="88">
        <f t="shared" si="11"/>
        <v>0</v>
      </c>
      <c r="W14" s="89">
        <f t="shared" si="12"/>
        <v>0</v>
      </c>
      <c r="X14" s="83">
        <v>0</v>
      </c>
      <c r="Y14" s="84">
        <f t="shared" si="13"/>
        <v>0</v>
      </c>
      <c r="Z14" s="83">
        <v>0</v>
      </c>
      <c r="AA14" s="84">
        <f t="shared" si="14"/>
        <v>0</v>
      </c>
      <c r="AB14" s="74">
        <f>(SUM(C11:C14)+SUM(E11:E14)+SUM(H11:H14)+SUM(J11:J14)+SUM(M11:M14)+SUM(Q11:Q14)+SUM(U11:U14)+SUM(X11:X14)+SUM(Z11:Z14))/8.5/0.85</f>
        <v>40.999999999999993</v>
      </c>
      <c r="AC14" s="75">
        <v>41</v>
      </c>
      <c r="AD14" s="75"/>
      <c r="AE14" s="75"/>
      <c r="AF14" s="75"/>
      <c r="AG14" s="75"/>
      <c r="AH14" s="75"/>
      <c r="AI14" s="75"/>
      <c r="AJ14" s="75"/>
      <c r="AK14" s="75"/>
    </row>
    <row r="15" spans="1:37" s="74" customFormat="1" ht="17.25" customHeight="1" x14ac:dyDescent="0.2">
      <c r="A15" s="18" t="s">
        <v>36</v>
      </c>
      <c r="B15" s="78" t="s">
        <v>118</v>
      </c>
      <c r="C15" s="73">
        <v>0</v>
      </c>
      <c r="D15" s="53">
        <f t="shared" si="15"/>
        <v>0</v>
      </c>
      <c r="E15" s="73">
        <v>0</v>
      </c>
      <c r="F15" s="20">
        <f t="shared" si="2"/>
        <v>0</v>
      </c>
      <c r="G15" s="49">
        <f t="shared" si="1"/>
        <v>0</v>
      </c>
      <c r="H15" s="73">
        <f>0</f>
        <v>0</v>
      </c>
      <c r="I15" s="57">
        <v>0</v>
      </c>
      <c r="J15" s="73">
        <v>0</v>
      </c>
      <c r="K15" s="20">
        <f t="shared" si="3"/>
        <v>0</v>
      </c>
      <c r="L15" s="49">
        <f t="shared" si="4"/>
        <v>0</v>
      </c>
      <c r="M15" s="73">
        <v>0</v>
      </c>
      <c r="N15" s="55">
        <f t="shared" si="5"/>
        <v>0</v>
      </c>
      <c r="O15" s="55">
        <f t="shared" si="6"/>
        <v>0</v>
      </c>
      <c r="P15" s="60">
        <f t="shared" si="7"/>
        <v>0</v>
      </c>
      <c r="Q15" s="73">
        <v>0</v>
      </c>
      <c r="R15" s="55">
        <f t="shared" si="8"/>
        <v>0</v>
      </c>
      <c r="S15" s="55">
        <f t="shared" si="9"/>
        <v>0</v>
      </c>
      <c r="T15" s="60">
        <f t="shared" si="10"/>
        <v>0</v>
      </c>
      <c r="U15" s="73">
        <v>0</v>
      </c>
      <c r="V15" s="55">
        <f t="shared" si="11"/>
        <v>0</v>
      </c>
      <c r="W15" s="60">
        <f t="shared" si="12"/>
        <v>0</v>
      </c>
      <c r="X15" s="73">
        <v>0</v>
      </c>
      <c r="Y15" s="53">
        <f t="shared" si="13"/>
        <v>0</v>
      </c>
      <c r="Z15" s="73">
        <v>0</v>
      </c>
      <c r="AA15" s="53">
        <f t="shared" si="14"/>
        <v>0</v>
      </c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s="74" customFormat="1" ht="17.25" customHeight="1" x14ac:dyDescent="0.2">
      <c r="A16" s="18" t="s">
        <v>30</v>
      </c>
      <c r="B16" s="78">
        <v>2.6720000000000002</v>
      </c>
      <c r="C16" s="73">
        <f t="shared" ref="C16:C22" si="16">8.5*0.85</f>
        <v>7.2249999999999996</v>
      </c>
      <c r="D16" s="53">
        <f t="shared" si="15"/>
        <v>7.2249999999999996</v>
      </c>
      <c r="E16" s="73">
        <f>3*8.5*0.85</f>
        <v>21.675000000000001</v>
      </c>
      <c r="F16" s="20">
        <f t="shared" si="2"/>
        <v>17.34</v>
      </c>
      <c r="G16" s="49">
        <f t="shared" si="1"/>
        <v>4.335</v>
      </c>
      <c r="H16" s="73">
        <f>0</f>
        <v>0</v>
      </c>
      <c r="I16" s="57">
        <v>0</v>
      </c>
      <c r="J16" s="73">
        <f t="shared" ref="J16:J22" si="17">0.5*8.5*0.85</f>
        <v>3.6124999999999998</v>
      </c>
      <c r="K16" s="20">
        <f t="shared" si="3"/>
        <v>0.72250000000000003</v>
      </c>
      <c r="L16" s="49">
        <f t="shared" si="4"/>
        <v>2.89</v>
      </c>
      <c r="M16" s="73">
        <f t="shared" ref="M16:M22" si="18">8*8.5*0.85</f>
        <v>57.8</v>
      </c>
      <c r="N16" s="55">
        <f t="shared" si="5"/>
        <v>11.56</v>
      </c>
      <c r="O16" s="55">
        <f t="shared" si="6"/>
        <v>28.9</v>
      </c>
      <c r="P16" s="60">
        <f t="shared" si="7"/>
        <v>17.34</v>
      </c>
      <c r="Q16" s="73">
        <f t="shared" ref="Q16:Q22" si="19">8.5*0.85</f>
        <v>7.2249999999999996</v>
      </c>
      <c r="R16" s="55">
        <f t="shared" si="8"/>
        <v>1.4450000000000001</v>
      </c>
      <c r="S16" s="55">
        <f t="shared" si="9"/>
        <v>3.6124999999999998</v>
      </c>
      <c r="T16" s="60">
        <f t="shared" si="10"/>
        <v>2.1675</v>
      </c>
      <c r="U16" s="73">
        <f>2*8.5*0.85</f>
        <v>14.45</v>
      </c>
      <c r="V16" s="55">
        <f t="shared" si="11"/>
        <v>2.89</v>
      </c>
      <c r="W16" s="60">
        <f t="shared" si="12"/>
        <v>11.56</v>
      </c>
      <c r="X16" s="73">
        <f>2*8.5*0.85</f>
        <v>14.45</v>
      </c>
      <c r="Y16" s="53">
        <f t="shared" si="13"/>
        <v>14.45</v>
      </c>
      <c r="Z16" s="73">
        <f>8.5*0.85</f>
        <v>7.2249999999999996</v>
      </c>
      <c r="AA16" s="53">
        <f t="shared" si="14"/>
        <v>7.2249999999999996</v>
      </c>
      <c r="AC16" s="75"/>
      <c r="AD16" s="75"/>
      <c r="AE16" s="75"/>
      <c r="AF16" s="75"/>
      <c r="AG16" s="75"/>
      <c r="AH16" s="75"/>
      <c r="AI16" s="75"/>
      <c r="AJ16" s="75"/>
      <c r="AK16" s="75"/>
    </row>
    <row r="17" spans="1:37" s="5" customFormat="1" ht="17.25" customHeight="1" x14ac:dyDescent="0.2">
      <c r="A17" s="18" t="s">
        <v>31</v>
      </c>
      <c r="B17" s="78">
        <v>2.673</v>
      </c>
      <c r="C17" s="73">
        <f t="shared" si="16"/>
        <v>7.2249999999999996</v>
      </c>
      <c r="D17" s="53">
        <f t="shared" si="15"/>
        <v>7.2249999999999996</v>
      </c>
      <c r="E17" s="73">
        <f>3*8.5*0.85</f>
        <v>21.675000000000001</v>
      </c>
      <c r="F17" s="20">
        <f t="shared" si="2"/>
        <v>17.34</v>
      </c>
      <c r="G17" s="49">
        <f t="shared" si="1"/>
        <v>4.335</v>
      </c>
      <c r="H17" s="73">
        <f>0</f>
        <v>0</v>
      </c>
      <c r="I17" s="57">
        <v>0</v>
      </c>
      <c r="J17" s="73">
        <f t="shared" si="17"/>
        <v>3.6124999999999998</v>
      </c>
      <c r="K17" s="20">
        <f t="shared" si="3"/>
        <v>0.72250000000000003</v>
      </c>
      <c r="L17" s="49">
        <f t="shared" si="4"/>
        <v>2.89</v>
      </c>
      <c r="M17" s="73">
        <f t="shared" si="18"/>
        <v>57.8</v>
      </c>
      <c r="N17" s="55">
        <f t="shared" si="5"/>
        <v>11.56</v>
      </c>
      <c r="O17" s="55">
        <f t="shared" si="6"/>
        <v>28.9</v>
      </c>
      <c r="P17" s="60">
        <f t="shared" si="7"/>
        <v>17.34</v>
      </c>
      <c r="Q17" s="73">
        <f t="shared" si="19"/>
        <v>7.2249999999999996</v>
      </c>
      <c r="R17" s="55">
        <f t="shared" si="8"/>
        <v>1.4450000000000001</v>
      </c>
      <c r="S17" s="55">
        <f t="shared" si="9"/>
        <v>3.6124999999999998</v>
      </c>
      <c r="T17" s="60">
        <f t="shared" si="10"/>
        <v>2.1675</v>
      </c>
      <c r="U17" s="73">
        <f>2*8.5*0.85</f>
        <v>14.45</v>
      </c>
      <c r="V17" s="55">
        <f t="shared" si="11"/>
        <v>2.89</v>
      </c>
      <c r="W17" s="60">
        <f t="shared" si="12"/>
        <v>11.56</v>
      </c>
      <c r="X17" s="73">
        <f>2*8.5*0.85</f>
        <v>14.45</v>
      </c>
      <c r="Y17" s="53">
        <f t="shared" si="13"/>
        <v>14.45</v>
      </c>
      <c r="Z17" s="73">
        <f>8.5*0.85</f>
        <v>7.2249999999999996</v>
      </c>
      <c r="AA17" s="53">
        <f t="shared" si="14"/>
        <v>7.2249999999999996</v>
      </c>
      <c r="AC17" s="15"/>
      <c r="AD17" s="15"/>
      <c r="AE17" s="15"/>
      <c r="AF17" s="15"/>
      <c r="AG17" s="15"/>
      <c r="AH17" s="15"/>
      <c r="AI17" s="15"/>
      <c r="AJ17" s="15"/>
      <c r="AK17" s="15"/>
    </row>
    <row r="18" spans="1:37" s="5" customFormat="1" ht="17.25" customHeight="1" x14ac:dyDescent="0.2">
      <c r="A18" s="18" t="s">
        <v>32</v>
      </c>
      <c r="B18" s="78">
        <v>2.677</v>
      </c>
      <c r="C18" s="73">
        <f t="shared" si="16"/>
        <v>7.2249999999999996</v>
      </c>
      <c r="D18" s="53">
        <f t="shared" si="15"/>
        <v>7.2249999999999996</v>
      </c>
      <c r="E18" s="73">
        <f>1.5*8.5*0.85</f>
        <v>10.8375</v>
      </c>
      <c r="F18" s="20">
        <f t="shared" si="2"/>
        <v>8.67</v>
      </c>
      <c r="G18" s="49">
        <f t="shared" si="1"/>
        <v>2.1675</v>
      </c>
      <c r="H18" s="73">
        <f>0</f>
        <v>0</v>
      </c>
      <c r="I18" s="57">
        <v>0</v>
      </c>
      <c r="J18" s="73">
        <f t="shared" si="17"/>
        <v>3.6124999999999998</v>
      </c>
      <c r="K18" s="20">
        <f t="shared" si="3"/>
        <v>0.72250000000000003</v>
      </c>
      <c r="L18" s="49">
        <f t="shared" si="4"/>
        <v>2.89</v>
      </c>
      <c r="M18" s="73">
        <f t="shared" si="18"/>
        <v>57.8</v>
      </c>
      <c r="N18" s="55">
        <f t="shared" si="5"/>
        <v>11.56</v>
      </c>
      <c r="O18" s="55">
        <f t="shared" si="6"/>
        <v>28.9</v>
      </c>
      <c r="P18" s="60">
        <f t="shared" si="7"/>
        <v>17.34</v>
      </c>
      <c r="Q18" s="73">
        <f t="shared" si="19"/>
        <v>7.2249999999999996</v>
      </c>
      <c r="R18" s="55">
        <f t="shared" si="8"/>
        <v>1.4450000000000001</v>
      </c>
      <c r="S18" s="55">
        <f t="shared" si="9"/>
        <v>3.6124999999999998</v>
      </c>
      <c r="T18" s="60">
        <f t="shared" si="10"/>
        <v>2.1675</v>
      </c>
      <c r="U18" s="73">
        <v>0</v>
      </c>
      <c r="V18" s="55">
        <f t="shared" si="11"/>
        <v>0</v>
      </c>
      <c r="W18" s="60">
        <f t="shared" si="12"/>
        <v>0</v>
      </c>
      <c r="X18" s="73">
        <v>0</v>
      </c>
      <c r="Y18" s="53">
        <f t="shared" si="13"/>
        <v>0</v>
      </c>
      <c r="Z18" s="73">
        <v>0</v>
      </c>
      <c r="AA18" s="53">
        <f t="shared" si="14"/>
        <v>0</v>
      </c>
      <c r="AC18" s="15"/>
      <c r="AD18" s="15"/>
      <c r="AE18" s="15"/>
      <c r="AF18" s="15"/>
      <c r="AG18" s="15"/>
      <c r="AH18" s="15"/>
      <c r="AI18" s="15"/>
      <c r="AJ18" s="15"/>
      <c r="AK18" s="15"/>
    </row>
    <row r="19" spans="1:37" s="5" customFormat="1" ht="17.25" customHeight="1" x14ac:dyDescent="0.2">
      <c r="A19" s="18" t="s">
        <v>33</v>
      </c>
      <c r="B19" s="78">
        <v>2.6779999999999999</v>
      </c>
      <c r="C19" s="73">
        <f t="shared" si="16"/>
        <v>7.2249999999999996</v>
      </c>
      <c r="D19" s="53">
        <f t="shared" si="15"/>
        <v>7.2249999999999996</v>
      </c>
      <c r="E19" s="73">
        <f>1.5*8.5*0.85</f>
        <v>10.8375</v>
      </c>
      <c r="F19" s="20">
        <f t="shared" si="2"/>
        <v>8.67</v>
      </c>
      <c r="G19" s="49">
        <f t="shared" si="1"/>
        <v>2.1675</v>
      </c>
      <c r="H19" s="73">
        <f>0</f>
        <v>0</v>
      </c>
      <c r="I19" s="57">
        <v>0</v>
      </c>
      <c r="J19" s="73">
        <f t="shared" si="17"/>
        <v>3.6124999999999998</v>
      </c>
      <c r="K19" s="20">
        <f t="shared" si="3"/>
        <v>0.72250000000000003</v>
      </c>
      <c r="L19" s="49">
        <f t="shared" si="4"/>
        <v>2.89</v>
      </c>
      <c r="M19" s="73">
        <f t="shared" si="18"/>
        <v>57.8</v>
      </c>
      <c r="N19" s="55">
        <f t="shared" si="5"/>
        <v>11.56</v>
      </c>
      <c r="O19" s="55">
        <f t="shared" si="6"/>
        <v>28.9</v>
      </c>
      <c r="P19" s="60">
        <f t="shared" si="7"/>
        <v>17.34</v>
      </c>
      <c r="Q19" s="73">
        <f t="shared" si="19"/>
        <v>7.2249999999999996</v>
      </c>
      <c r="R19" s="55">
        <f t="shared" si="8"/>
        <v>1.4450000000000001</v>
      </c>
      <c r="S19" s="55">
        <f t="shared" si="9"/>
        <v>3.6124999999999998</v>
      </c>
      <c r="T19" s="60">
        <f t="shared" si="10"/>
        <v>2.1675</v>
      </c>
      <c r="U19" s="73">
        <v>0</v>
      </c>
      <c r="V19" s="55">
        <f t="shared" si="11"/>
        <v>0</v>
      </c>
      <c r="W19" s="60">
        <f t="shared" si="12"/>
        <v>0</v>
      </c>
      <c r="X19" s="73">
        <v>0</v>
      </c>
      <c r="Y19" s="53">
        <f t="shared" si="13"/>
        <v>0</v>
      </c>
      <c r="Z19" s="73">
        <v>0</v>
      </c>
      <c r="AA19" s="53">
        <f t="shared" si="14"/>
        <v>0</v>
      </c>
      <c r="AC19" s="15"/>
      <c r="AD19" s="15"/>
      <c r="AE19" s="15"/>
      <c r="AF19" s="15"/>
      <c r="AG19" s="15"/>
      <c r="AH19" s="15"/>
      <c r="AI19" s="15"/>
      <c r="AJ19" s="15"/>
      <c r="AK19" s="15"/>
    </row>
    <row r="20" spans="1:37" s="5" customFormat="1" ht="17.25" customHeight="1" x14ac:dyDescent="0.2">
      <c r="A20" s="18" t="s">
        <v>34</v>
      </c>
      <c r="B20" s="78">
        <v>2.6789999999999998</v>
      </c>
      <c r="C20" s="73">
        <f t="shared" si="16"/>
        <v>7.2249999999999996</v>
      </c>
      <c r="D20" s="53">
        <f t="shared" si="15"/>
        <v>7.2249999999999996</v>
      </c>
      <c r="E20" s="73">
        <f>3*8.5*0.85</f>
        <v>21.675000000000001</v>
      </c>
      <c r="F20" s="20">
        <f t="shared" si="2"/>
        <v>17.34</v>
      </c>
      <c r="G20" s="49">
        <f t="shared" si="1"/>
        <v>4.335</v>
      </c>
      <c r="H20" s="73">
        <f>0</f>
        <v>0</v>
      </c>
      <c r="I20" s="57">
        <v>0</v>
      </c>
      <c r="J20" s="73">
        <f t="shared" si="17"/>
        <v>3.6124999999999998</v>
      </c>
      <c r="K20" s="20">
        <f t="shared" si="3"/>
        <v>0.72250000000000003</v>
      </c>
      <c r="L20" s="49">
        <f t="shared" si="4"/>
        <v>2.89</v>
      </c>
      <c r="M20" s="73">
        <f t="shared" si="18"/>
        <v>57.8</v>
      </c>
      <c r="N20" s="55">
        <f t="shared" si="5"/>
        <v>11.56</v>
      </c>
      <c r="O20" s="55">
        <f t="shared" si="6"/>
        <v>28.9</v>
      </c>
      <c r="P20" s="60">
        <f t="shared" si="7"/>
        <v>17.34</v>
      </c>
      <c r="Q20" s="73">
        <f t="shared" si="19"/>
        <v>7.2249999999999996</v>
      </c>
      <c r="R20" s="55">
        <f t="shared" si="8"/>
        <v>1.4450000000000001</v>
      </c>
      <c r="S20" s="55">
        <f t="shared" si="9"/>
        <v>3.6124999999999998</v>
      </c>
      <c r="T20" s="60">
        <f t="shared" si="10"/>
        <v>2.1675</v>
      </c>
      <c r="U20" s="73">
        <f>2*8.5*0.85</f>
        <v>14.45</v>
      </c>
      <c r="V20" s="55">
        <f t="shared" si="11"/>
        <v>2.89</v>
      </c>
      <c r="W20" s="60">
        <f t="shared" si="12"/>
        <v>11.56</v>
      </c>
      <c r="X20" s="73">
        <f>2*8.5*0.85</f>
        <v>14.45</v>
      </c>
      <c r="Y20" s="53">
        <f t="shared" si="13"/>
        <v>14.45</v>
      </c>
      <c r="Z20" s="73">
        <f>8.5*0.85</f>
        <v>7.2249999999999996</v>
      </c>
      <c r="AA20" s="53">
        <f t="shared" si="14"/>
        <v>7.2249999999999996</v>
      </c>
      <c r="AC20" s="15"/>
      <c r="AD20" s="15"/>
      <c r="AE20" s="15"/>
      <c r="AF20" s="15"/>
      <c r="AG20" s="15"/>
      <c r="AH20" s="15"/>
      <c r="AI20" s="15"/>
      <c r="AJ20" s="15"/>
      <c r="AK20" s="15"/>
    </row>
    <row r="21" spans="1:37" s="5" customFormat="1" ht="17.25" customHeight="1" x14ac:dyDescent="0.2">
      <c r="A21" s="76" t="s">
        <v>35</v>
      </c>
      <c r="B21" s="77">
        <v>2.681</v>
      </c>
      <c r="C21" s="90">
        <f t="shared" si="16"/>
        <v>7.2249999999999996</v>
      </c>
      <c r="D21" s="91">
        <f t="shared" si="15"/>
        <v>7.2249999999999996</v>
      </c>
      <c r="E21" s="90">
        <f>1.5*8.5*0.85</f>
        <v>10.8375</v>
      </c>
      <c r="F21" s="92">
        <f t="shared" si="2"/>
        <v>8.67</v>
      </c>
      <c r="G21" s="93">
        <f t="shared" si="1"/>
        <v>2.1675</v>
      </c>
      <c r="H21" s="90">
        <f>0</f>
        <v>0</v>
      </c>
      <c r="I21" s="94">
        <v>0</v>
      </c>
      <c r="J21" s="90">
        <f t="shared" si="17"/>
        <v>3.6124999999999998</v>
      </c>
      <c r="K21" s="92">
        <f t="shared" si="3"/>
        <v>0.72250000000000003</v>
      </c>
      <c r="L21" s="93">
        <f t="shared" si="4"/>
        <v>2.89</v>
      </c>
      <c r="M21" s="90">
        <f t="shared" si="18"/>
        <v>57.8</v>
      </c>
      <c r="N21" s="95">
        <f t="shared" si="5"/>
        <v>11.56</v>
      </c>
      <c r="O21" s="95">
        <f t="shared" si="6"/>
        <v>28.9</v>
      </c>
      <c r="P21" s="96">
        <f t="shared" si="7"/>
        <v>17.34</v>
      </c>
      <c r="Q21" s="90">
        <f t="shared" si="19"/>
        <v>7.2249999999999996</v>
      </c>
      <c r="R21" s="95">
        <f t="shared" si="8"/>
        <v>1.4450000000000001</v>
      </c>
      <c r="S21" s="95">
        <f t="shared" si="9"/>
        <v>3.6124999999999998</v>
      </c>
      <c r="T21" s="96">
        <f t="shared" si="10"/>
        <v>2.1675</v>
      </c>
      <c r="U21" s="90">
        <v>0</v>
      </c>
      <c r="V21" s="95">
        <f t="shared" si="11"/>
        <v>0</v>
      </c>
      <c r="W21" s="96">
        <f t="shared" si="12"/>
        <v>0</v>
      </c>
      <c r="X21" s="90">
        <v>0</v>
      </c>
      <c r="Y21" s="91">
        <f t="shared" si="13"/>
        <v>0</v>
      </c>
      <c r="Z21" s="90">
        <v>0</v>
      </c>
      <c r="AA21" s="91">
        <f t="shared" si="14"/>
        <v>0</v>
      </c>
      <c r="AC21" s="15"/>
      <c r="AD21" s="15"/>
      <c r="AE21" s="15"/>
      <c r="AF21" s="15"/>
      <c r="AG21" s="15"/>
      <c r="AH21" s="15"/>
      <c r="AI21" s="15"/>
      <c r="AJ21" s="15"/>
      <c r="AK21" s="15"/>
    </row>
    <row r="22" spans="1:37" s="5" customFormat="1" ht="17.25" customHeight="1" x14ac:dyDescent="0.2">
      <c r="A22" s="79" t="s">
        <v>37</v>
      </c>
      <c r="B22" s="80">
        <v>2.6819999999999999</v>
      </c>
      <c r="C22" s="97">
        <f t="shared" si="16"/>
        <v>7.2249999999999996</v>
      </c>
      <c r="D22" s="98">
        <f t="shared" si="15"/>
        <v>7.2249999999999996</v>
      </c>
      <c r="E22" s="97">
        <f>3*8.5*0.85</f>
        <v>21.675000000000001</v>
      </c>
      <c r="F22" s="99">
        <f t="shared" si="2"/>
        <v>17.34</v>
      </c>
      <c r="G22" s="100">
        <f t="shared" si="1"/>
        <v>4.335</v>
      </c>
      <c r="H22" s="97">
        <f>0</f>
        <v>0</v>
      </c>
      <c r="I22" s="101">
        <v>0</v>
      </c>
      <c r="J22" s="97">
        <f t="shared" si="17"/>
        <v>3.6124999999999998</v>
      </c>
      <c r="K22" s="99">
        <f t="shared" si="3"/>
        <v>0.72250000000000003</v>
      </c>
      <c r="L22" s="100">
        <f t="shared" si="4"/>
        <v>2.89</v>
      </c>
      <c r="M22" s="97">
        <f t="shared" si="18"/>
        <v>57.8</v>
      </c>
      <c r="N22" s="102">
        <f t="shared" si="5"/>
        <v>11.56</v>
      </c>
      <c r="O22" s="102">
        <f t="shared" si="6"/>
        <v>28.9</v>
      </c>
      <c r="P22" s="103">
        <f t="shared" si="7"/>
        <v>17.34</v>
      </c>
      <c r="Q22" s="97">
        <f t="shared" si="19"/>
        <v>7.2249999999999996</v>
      </c>
      <c r="R22" s="102">
        <f t="shared" si="8"/>
        <v>1.4450000000000001</v>
      </c>
      <c r="S22" s="102">
        <f t="shared" si="9"/>
        <v>3.6124999999999998</v>
      </c>
      <c r="T22" s="103">
        <f t="shared" si="10"/>
        <v>2.1675</v>
      </c>
      <c r="U22" s="97">
        <f>2*8.5*0.85</f>
        <v>14.45</v>
      </c>
      <c r="V22" s="102">
        <f t="shared" si="11"/>
        <v>2.89</v>
      </c>
      <c r="W22" s="103">
        <f t="shared" si="12"/>
        <v>11.56</v>
      </c>
      <c r="X22" s="97">
        <f>2*8.5*0.85</f>
        <v>14.45</v>
      </c>
      <c r="Y22" s="98">
        <f t="shared" si="13"/>
        <v>14.45</v>
      </c>
      <c r="Z22" s="97">
        <f>8.5*0.85</f>
        <v>7.2249999999999996</v>
      </c>
      <c r="AA22" s="98">
        <f t="shared" si="14"/>
        <v>7.2249999999999996</v>
      </c>
      <c r="AB22" s="74">
        <f>(SUM(C15:C22)+SUM(E15:E22)+SUM(H15:H22)+SUM(J15:J22)+SUM(M15:M22)+SUM(Q15:Q22)+SUM(U15:U22)+SUM(X15:X22)+SUM(Z15:Z22))/8.5/0.85</f>
        <v>110</v>
      </c>
      <c r="AC22" s="15">
        <v>110</v>
      </c>
      <c r="AD22" s="15"/>
      <c r="AE22" s="15"/>
      <c r="AF22" s="15"/>
      <c r="AG22" s="15"/>
      <c r="AH22" s="15"/>
      <c r="AI22" s="15"/>
      <c r="AJ22" s="15"/>
      <c r="AK22" s="15"/>
    </row>
    <row r="23" spans="1:37" s="5" customFormat="1" ht="17.25" customHeight="1" x14ac:dyDescent="0.2">
      <c r="A23" s="18" t="s">
        <v>85</v>
      </c>
      <c r="B23" s="13">
        <v>7.3010000000000002</v>
      </c>
      <c r="C23" s="73">
        <v>0</v>
      </c>
      <c r="D23" s="53">
        <f t="shared" si="15"/>
        <v>0</v>
      </c>
      <c r="E23" s="73">
        <v>0</v>
      </c>
      <c r="F23" s="20">
        <f>E23*$F$9</f>
        <v>0</v>
      </c>
      <c r="G23" s="49">
        <f t="shared" si="1"/>
        <v>0</v>
      </c>
      <c r="H23" s="73">
        <v>0</v>
      </c>
      <c r="I23" s="57">
        <f>H23</f>
        <v>0</v>
      </c>
      <c r="J23" s="73">
        <v>0</v>
      </c>
      <c r="K23" s="20">
        <f>J23*$K$9</f>
        <v>0</v>
      </c>
      <c r="L23" s="49">
        <f t="shared" si="4"/>
        <v>0</v>
      </c>
      <c r="M23" s="73">
        <v>0</v>
      </c>
      <c r="N23" s="55">
        <f t="shared" si="5"/>
        <v>0</v>
      </c>
      <c r="O23" s="55">
        <f t="shared" si="6"/>
        <v>0</v>
      </c>
      <c r="P23" s="60">
        <f t="shared" si="7"/>
        <v>0</v>
      </c>
      <c r="Q23" s="73">
        <v>0</v>
      </c>
      <c r="R23" s="55">
        <f t="shared" si="8"/>
        <v>0</v>
      </c>
      <c r="S23" s="55">
        <f t="shared" si="9"/>
        <v>0</v>
      </c>
      <c r="T23" s="60">
        <f t="shared" si="10"/>
        <v>0</v>
      </c>
      <c r="U23" s="73">
        <v>0</v>
      </c>
      <c r="V23" s="55">
        <f t="shared" si="11"/>
        <v>0</v>
      </c>
      <c r="W23" s="60">
        <f t="shared" si="12"/>
        <v>0</v>
      </c>
      <c r="X23" s="73">
        <v>0</v>
      </c>
      <c r="Y23" s="53">
        <f t="shared" si="13"/>
        <v>0</v>
      </c>
      <c r="Z23" s="73">
        <v>0</v>
      </c>
      <c r="AA23" s="53">
        <f t="shared" si="14"/>
        <v>0</v>
      </c>
      <c r="AC23" s="15"/>
      <c r="AD23" s="15"/>
      <c r="AE23" s="15"/>
      <c r="AF23" s="15"/>
      <c r="AG23" s="15"/>
      <c r="AH23" s="15"/>
      <c r="AI23" s="15"/>
      <c r="AJ23" s="15"/>
      <c r="AK23" s="15"/>
    </row>
    <row r="24" spans="1:37" s="5" customFormat="1" ht="17.25" customHeight="1" x14ac:dyDescent="0.2">
      <c r="A24" s="18" t="s">
        <v>38</v>
      </c>
      <c r="B24" s="13" t="s">
        <v>119</v>
      </c>
      <c r="C24" s="73">
        <f>8.5*0.85</f>
        <v>7.2249999999999996</v>
      </c>
      <c r="D24" s="53">
        <f t="shared" si="15"/>
        <v>7.2249999999999996</v>
      </c>
      <c r="E24" s="73">
        <f>1.5*8.5*0.85</f>
        <v>10.8375</v>
      </c>
      <c r="F24" s="20">
        <f t="shared" ref="F24:F37" si="20">E24*$F$9</f>
        <v>8.67</v>
      </c>
      <c r="G24" s="49">
        <f t="shared" ref="G24:G28" si="21">E24*$G$9</f>
        <v>2.1675</v>
      </c>
      <c r="H24" s="73">
        <f>0</f>
        <v>0</v>
      </c>
      <c r="I24" s="57">
        <v>0</v>
      </c>
      <c r="J24" s="73">
        <f>0.5*8.5*0.85</f>
        <v>3.6124999999999998</v>
      </c>
      <c r="K24" s="20">
        <f t="shared" ref="K24:K37" si="22">J24*$K$9</f>
        <v>0.72250000000000003</v>
      </c>
      <c r="L24" s="49">
        <f t="shared" ref="L24:L28" si="23">J24*$L$9</f>
        <v>2.89</v>
      </c>
      <c r="M24" s="73">
        <f>8*8.5*0.85</f>
        <v>57.8</v>
      </c>
      <c r="N24" s="55">
        <f t="shared" si="5"/>
        <v>11.56</v>
      </c>
      <c r="O24" s="55">
        <f t="shared" ref="O24:O28" si="24">M24*$O$9</f>
        <v>28.9</v>
      </c>
      <c r="P24" s="60">
        <f t="shared" ref="P24:P28" si="25">M24*$P$9</f>
        <v>17.34</v>
      </c>
      <c r="Q24" s="73">
        <f>8.5*0.85</f>
        <v>7.2249999999999996</v>
      </c>
      <c r="R24" s="55">
        <f t="shared" si="8"/>
        <v>1.4450000000000001</v>
      </c>
      <c r="S24" s="55">
        <f t="shared" ref="S24:S28" si="26">Q24*$S$9</f>
        <v>3.6124999999999998</v>
      </c>
      <c r="T24" s="60">
        <f t="shared" ref="T24:T28" si="27">Q24*$T$9</f>
        <v>2.1675</v>
      </c>
      <c r="U24" s="73">
        <v>0</v>
      </c>
      <c r="V24" s="55">
        <f t="shared" si="11"/>
        <v>0</v>
      </c>
      <c r="W24" s="60">
        <f t="shared" ref="W24:W28" si="28">U24*$W$9</f>
        <v>0</v>
      </c>
      <c r="X24" s="73">
        <v>0</v>
      </c>
      <c r="Y24" s="53">
        <f t="shared" si="13"/>
        <v>0</v>
      </c>
      <c r="Z24" s="73">
        <v>0</v>
      </c>
      <c r="AA24" s="53">
        <f t="shared" si="14"/>
        <v>0</v>
      </c>
      <c r="AC24" s="15"/>
      <c r="AD24" s="15"/>
      <c r="AE24" s="15"/>
      <c r="AF24" s="15"/>
      <c r="AG24" s="15"/>
      <c r="AH24" s="15"/>
      <c r="AI24" s="15"/>
      <c r="AJ24" s="15"/>
      <c r="AK24" s="15"/>
    </row>
    <row r="25" spans="1:37" s="5" customFormat="1" ht="17.25" customHeight="1" x14ac:dyDescent="0.2">
      <c r="A25" s="18" t="s">
        <v>39</v>
      </c>
      <c r="B25" s="13">
        <v>7.3029999999999999</v>
      </c>
      <c r="C25" s="73">
        <f>8.5*0.85</f>
        <v>7.2249999999999996</v>
      </c>
      <c r="D25" s="53">
        <f t="shared" si="15"/>
        <v>7.2249999999999996</v>
      </c>
      <c r="E25" s="73">
        <f>1.5*8.5*0.85</f>
        <v>10.8375</v>
      </c>
      <c r="F25" s="20">
        <f t="shared" si="20"/>
        <v>8.67</v>
      </c>
      <c r="G25" s="49">
        <f t="shared" ref="G25" si="29">E25*$G$9</f>
        <v>2.1675</v>
      </c>
      <c r="H25" s="73">
        <f>0</f>
        <v>0</v>
      </c>
      <c r="I25" s="57">
        <v>0</v>
      </c>
      <c r="J25" s="73">
        <f>0.5*8.5*0.85</f>
        <v>3.6124999999999998</v>
      </c>
      <c r="K25" s="20">
        <f t="shared" si="22"/>
        <v>0.72250000000000003</v>
      </c>
      <c r="L25" s="49">
        <f t="shared" ref="L25" si="30">J25*$L$9</f>
        <v>2.89</v>
      </c>
      <c r="M25" s="73">
        <f>8*8.5*0.85</f>
        <v>57.8</v>
      </c>
      <c r="N25" s="55">
        <f t="shared" si="5"/>
        <v>11.56</v>
      </c>
      <c r="O25" s="55">
        <f t="shared" ref="O25" si="31">M25*$O$9</f>
        <v>28.9</v>
      </c>
      <c r="P25" s="60">
        <f t="shared" ref="P25" si="32">M25*$P$9</f>
        <v>17.34</v>
      </c>
      <c r="Q25" s="73">
        <f>8.5*0.85</f>
        <v>7.2249999999999996</v>
      </c>
      <c r="R25" s="55">
        <f t="shared" si="8"/>
        <v>1.4450000000000001</v>
      </c>
      <c r="S25" s="55">
        <f t="shared" ref="S25" si="33">Q25*$S$9</f>
        <v>3.6124999999999998</v>
      </c>
      <c r="T25" s="60">
        <f t="shared" ref="T25" si="34">Q25*$T$9</f>
        <v>2.1675</v>
      </c>
      <c r="U25" s="73">
        <v>0</v>
      </c>
      <c r="V25" s="55">
        <f t="shared" si="11"/>
        <v>0</v>
      </c>
      <c r="W25" s="60">
        <f t="shared" ref="W25" si="35">U25*$W$9</f>
        <v>0</v>
      </c>
      <c r="X25" s="73">
        <v>0</v>
      </c>
      <c r="Y25" s="53">
        <f t="shared" si="13"/>
        <v>0</v>
      </c>
      <c r="Z25" s="73">
        <v>0</v>
      </c>
      <c r="AA25" s="53">
        <f t="shared" si="14"/>
        <v>0</v>
      </c>
      <c r="AC25" s="15"/>
      <c r="AD25" s="15"/>
      <c r="AE25" s="15"/>
      <c r="AF25" s="15"/>
      <c r="AG25" s="15"/>
      <c r="AH25" s="15"/>
      <c r="AI25" s="15"/>
      <c r="AJ25" s="15"/>
      <c r="AK25" s="15"/>
    </row>
    <row r="26" spans="1:37" s="5" customFormat="1" ht="17.25" customHeight="1" x14ac:dyDescent="0.2">
      <c r="A26" s="18" t="s">
        <v>86</v>
      </c>
      <c r="B26" s="13">
        <v>7.3040000000000003</v>
      </c>
      <c r="C26" s="73">
        <v>0</v>
      </c>
      <c r="D26" s="53">
        <v>0</v>
      </c>
      <c r="E26" s="73">
        <v>0</v>
      </c>
      <c r="F26" s="20">
        <f t="shared" si="20"/>
        <v>0</v>
      </c>
      <c r="G26" s="49">
        <f t="shared" si="21"/>
        <v>0</v>
      </c>
      <c r="H26" s="73">
        <v>0</v>
      </c>
      <c r="I26" s="57">
        <v>0</v>
      </c>
      <c r="J26" s="73">
        <v>0</v>
      </c>
      <c r="K26" s="20">
        <f t="shared" si="22"/>
        <v>0</v>
      </c>
      <c r="L26" s="49">
        <f t="shared" si="23"/>
        <v>0</v>
      </c>
      <c r="M26" s="73">
        <v>0</v>
      </c>
      <c r="N26" s="55">
        <f t="shared" si="5"/>
        <v>0</v>
      </c>
      <c r="O26" s="55">
        <f t="shared" si="24"/>
        <v>0</v>
      </c>
      <c r="P26" s="60">
        <f t="shared" si="25"/>
        <v>0</v>
      </c>
      <c r="Q26" s="73">
        <v>0</v>
      </c>
      <c r="R26" s="55">
        <f t="shared" si="8"/>
        <v>0</v>
      </c>
      <c r="S26" s="55">
        <f t="shared" si="26"/>
        <v>0</v>
      </c>
      <c r="T26" s="60">
        <f t="shared" si="27"/>
        <v>0</v>
      </c>
      <c r="U26" s="73">
        <v>0</v>
      </c>
      <c r="V26" s="55">
        <f t="shared" si="11"/>
        <v>0</v>
      </c>
      <c r="W26" s="60">
        <f t="shared" si="28"/>
        <v>0</v>
      </c>
      <c r="X26" s="73">
        <v>0</v>
      </c>
      <c r="Y26" s="53">
        <f t="shared" si="13"/>
        <v>0</v>
      </c>
      <c r="Z26" s="73">
        <v>0</v>
      </c>
      <c r="AA26" s="53">
        <f t="shared" si="14"/>
        <v>0</v>
      </c>
      <c r="AC26" s="15"/>
      <c r="AD26" s="15"/>
      <c r="AE26" s="15"/>
      <c r="AF26" s="15"/>
      <c r="AG26" s="15"/>
      <c r="AH26" s="15"/>
      <c r="AI26" s="15"/>
      <c r="AJ26" s="15"/>
      <c r="AK26" s="15"/>
    </row>
    <row r="27" spans="1:37" s="5" customFormat="1" ht="17.25" customHeight="1" x14ac:dyDescent="0.2">
      <c r="A27" s="18" t="s">
        <v>87</v>
      </c>
      <c r="B27" s="13">
        <v>7.3049999999999997</v>
      </c>
      <c r="C27" s="73">
        <v>0</v>
      </c>
      <c r="D27" s="53">
        <v>0</v>
      </c>
      <c r="E27" s="73">
        <v>0</v>
      </c>
      <c r="F27" s="20">
        <f t="shared" si="20"/>
        <v>0</v>
      </c>
      <c r="G27" s="49">
        <f t="shared" ref="G27" si="36">E27*$G$9</f>
        <v>0</v>
      </c>
      <c r="H27" s="73">
        <v>0</v>
      </c>
      <c r="I27" s="57">
        <v>0</v>
      </c>
      <c r="J27" s="73">
        <v>0</v>
      </c>
      <c r="K27" s="20">
        <f t="shared" si="22"/>
        <v>0</v>
      </c>
      <c r="L27" s="49">
        <f t="shared" ref="L27" si="37">J27*$L$9</f>
        <v>0</v>
      </c>
      <c r="M27" s="73">
        <v>0</v>
      </c>
      <c r="N27" s="55">
        <f t="shared" si="5"/>
        <v>0</v>
      </c>
      <c r="O27" s="55">
        <f t="shared" ref="O27" si="38">M27*$O$9</f>
        <v>0</v>
      </c>
      <c r="P27" s="60">
        <f t="shared" ref="P27" si="39">M27*$P$9</f>
        <v>0</v>
      </c>
      <c r="Q27" s="73">
        <v>0</v>
      </c>
      <c r="R27" s="55">
        <f t="shared" si="8"/>
        <v>0</v>
      </c>
      <c r="S27" s="55">
        <f t="shared" ref="S27" si="40">Q27*$S$9</f>
        <v>0</v>
      </c>
      <c r="T27" s="60">
        <f t="shared" ref="T27" si="41">Q27*$T$9</f>
        <v>0</v>
      </c>
      <c r="U27" s="73">
        <v>0</v>
      </c>
      <c r="V27" s="55">
        <f t="shared" si="11"/>
        <v>0</v>
      </c>
      <c r="W27" s="60">
        <f t="shared" ref="W27" si="42">U27*$W$9</f>
        <v>0</v>
      </c>
      <c r="X27" s="73">
        <v>0</v>
      </c>
      <c r="Y27" s="53">
        <f t="shared" si="13"/>
        <v>0</v>
      </c>
      <c r="Z27" s="73">
        <v>0</v>
      </c>
      <c r="AA27" s="53">
        <f t="shared" si="14"/>
        <v>0</v>
      </c>
      <c r="AC27" s="15"/>
      <c r="AD27" s="15"/>
      <c r="AE27" s="15"/>
      <c r="AF27" s="15"/>
      <c r="AG27" s="15"/>
      <c r="AH27" s="15"/>
      <c r="AI27" s="15"/>
      <c r="AJ27" s="15"/>
      <c r="AK27" s="15"/>
    </row>
    <row r="28" spans="1:37" s="5" customFormat="1" ht="17.25" customHeight="1" x14ac:dyDescent="0.2">
      <c r="A28" s="18" t="s">
        <v>40</v>
      </c>
      <c r="B28" s="13">
        <v>7.306</v>
      </c>
      <c r="C28" s="73">
        <f>8.5*0.85</f>
        <v>7.2249999999999996</v>
      </c>
      <c r="D28" s="53">
        <f t="shared" si="15"/>
        <v>7.2249999999999996</v>
      </c>
      <c r="E28" s="73">
        <f>2*8.5*0.85</f>
        <v>14.45</v>
      </c>
      <c r="F28" s="20">
        <f t="shared" si="20"/>
        <v>11.56</v>
      </c>
      <c r="G28" s="49">
        <f t="shared" si="21"/>
        <v>2.89</v>
      </c>
      <c r="H28" s="73">
        <f>0</f>
        <v>0</v>
      </c>
      <c r="I28" s="57">
        <v>0</v>
      </c>
      <c r="J28" s="73">
        <f>0.5*8.5*0.85</f>
        <v>3.6124999999999998</v>
      </c>
      <c r="K28" s="20">
        <f t="shared" si="22"/>
        <v>0.72250000000000003</v>
      </c>
      <c r="L28" s="49">
        <f t="shared" si="23"/>
        <v>2.89</v>
      </c>
      <c r="M28" s="73">
        <v>0</v>
      </c>
      <c r="N28" s="55">
        <f t="shared" si="5"/>
        <v>0</v>
      </c>
      <c r="O28" s="55">
        <f t="shared" si="24"/>
        <v>0</v>
      </c>
      <c r="P28" s="60">
        <f t="shared" si="25"/>
        <v>0</v>
      </c>
      <c r="Q28" s="73">
        <v>0</v>
      </c>
      <c r="R28" s="55">
        <f t="shared" si="8"/>
        <v>0</v>
      </c>
      <c r="S28" s="55">
        <f t="shared" si="26"/>
        <v>0</v>
      </c>
      <c r="T28" s="60">
        <f t="shared" si="27"/>
        <v>0</v>
      </c>
      <c r="U28" s="73">
        <f>2*8.5*0.85</f>
        <v>14.45</v>
      </c>
      <c r="V28" s="55">
        <f t="shared" si="11"/>
        <v>2.89</v>
      </c>
      <c r="W28" s="60">
        <f t="shared" si="28"/>
        <v>11.56</v>
      </c>
      <c r="X28" s="73">
        <f>2*8.5*0.85</f>
        <v>14.45</v>
      </c>
      <c r="Y28" s="53">
        <f t="shared" si="13"/>
        <v>14.45</v>
      </c>
      <c r="Z28" s="73">
        <f>8.5*0.85</f>
        <v>7.2249999999999996</v>
      </c>
      <c r="AA28" s="53">
        <f t="shared" si="14"/>
        <v>7.2249999999999996</v>
      </c>
      <c r="AC28" s="15"/>
      <c r="AD28" s="15"/>
      <c r="AE28" s="15"/>
      <c r="AF28" s="15"/>
      <c r="AG28" s="15"/>
      <c r="AH28" s="15"/>
      <c r="AI28" s="15"/>
      <c r="AJ28" s="15"/>
      <c r="AK28" s="15"/>
    </row>
    <row r="29" spans="1:37" s="5" customFormat="1" ht="17.25" customHeight="1" x14ac:dyDescent="0.2">
      <c r="A29" s="18" t="s">
        <v>41</v>
      </c>
      <c r="B29" s="13">
        <v>7.3070000000000004</v>
      </c>
      <c r="C29" s="73">
        <f>8.5*0.85</f>
        <v>7.2249999999999996</v>
      </c>
      <c r="D29" s="53">
        <f t="shared" si="15"/>
        <v>7.2249999999999996</v>
      </c>
      <c r="E29" s="73">
        <f>2*8.5*0.85</f>
        <v>14.45</v>
      </c>
      <c r="F29" s="20">
        <f t="shared" si="20"/>
        <v>11.56</v>
      </c>
      <c r="G29" s="49">
        <f t="shared" ref="G29:G37" si="43">E29*$G$9</f>
        <v>2.89</v>
      </c>
      <c r="H29" s="73">
        <f>0</f>
        <v>0</v>
      </c>
      <c r="I29" s="57">
        <v>0</v>
      </c>
      <c r="J29" s="73">
        <f>0.5*8.5*0.85</f>
        <v>3.6124999999999998</v>
      </c>
      <c r="K29" s="20">
        <f t="shared" si="22"/>
        <v>0.72250000000000003</v>
      </c>
      <c r="L29" s="49">
        <f t="shared" ref="L29:L37" si="44">J29*$L$9</f>
        <v>2.89</v>
      </c>
      <c r="M29" s="73">
        <v>0</v>
      </c>
      <c r="N29" s="55">
        <f t="shared" si="5"/>
        <v>0</v>
      </c>
      <c r="O29" s="55">
        <f t="shared" ref="O29:O37" si="45">M29*$O$9</f>
        <v>0</v>
      </c>
      <c r="P29" s="60">
        <f t="shared" ref="P29:P37" si="46">M29*$P$9</f>
        <v>0</v>
      </c>
      <c r="Q29" s="73">
        <v>0</v>
      </c>
      <c r="R29" s="55">
        <f t="shared" si="8"/>
        <v>0</v>
      </c>
      <c r="S29" s="55">
        <f t="shared" ref="S29:S37" si="47">Q29*$S$9</f>
        <v>0</v>
      </c>
      <c r="T29" s="60">
        <f t="shared" ref="T29:T37" si="48">Q29*$T$9</f>
        <v>0</v>
      </c>
      <c r="U29" s="73">
        <f>2*8.5*0.85</f>
        <v>14.45</v>
      </c>
      <c r="V29" s="55">
        <f t="shared" si="11"/>
        <v>2.89</v>
      </c>
      <c r="W29" s="60">
        <f t="shared" ref="W29:W37" si="49">U29*$W$9</f>
        <v>11.56</v>
      </c>
      <c r="X29" s="73">
        <f>2*8.5*0.85</f>
        <v>14.45</v>
      </c>
      <c r="Y29" s="53">
        <f t="shared" si="13"/>
        <v>14.45</v>
      </c>
      <c r="Z29" s="73">
        <f>8.5*0.85</f>
        <v>7.2249999999999996</v>
      </c>
      <c r="AA29" s="53">
        <f t="shared" si="14"/>
        <v>7.2249999999999996</v>
      </c>
      <c r="AC29" s="15"/>
      <c r="AD29" s="15"/>
      <c r="AE29" s="15"/>
      <c r="AF29" s="15"/>
      <c r="AG29" s="15"/>
      <c r="AH29" s="15"/>
      <c r="AI29" s="15"/>
      <c r="AJ29" s="15"/>
      <c r="AK29" s="15"/>
    </row>
    <row r="30" spans="1:37" s="5" customFormat="1" ht="17.25" customHeight="1" x14ac:dyDescent="0.2">
      <c r="A30" s="18" t="s">
        <v>88</v>
      </c>
      <c r="B30" s="13" t="s">
        <v>89</v>
      </c>
      <c r="C30" s="73">
        <v>0</v>
      </c>
      <c r="D30" s="53">
        <v>0</v>
      </c>
      <c r="E30" s="73">
        <v>0</v>
      </c>
      <c r="F30" s="20">
        <f t="shared" si="20"/>
        <v>0</v>
      </c>
      <c r="G30" s="49">
        <f t="shared" si="43"/>
        <v>0</v>
      </c>
      <c r="H30" s="73">
        <v>0</v>
      </c>
      <c r="I30" s="57">
        <v>0</v>
      </c>
      <c r="J30" s="73">
        <v>0</v>
      </c>
      <c r="K30" s="20">
        <f t="shared" si="22"/>
        <v>0</v>
      </c>
      <c r="L30" s="49">
        <f t="shared" si="44"/>
        <v>0</v>
      </c>
      <c r="M30" s="73">
        <v>0</v>
      </c>
      <c r="N30" s="55">
        <f t="shared" si="5"/>
        <v>0</v>
      </c>
      <c r="O30" s="55">
        <f t="shared" si="45"/>
        <v>0</v>
      </c>
      <c r="P30" s="60">
        <f t="shared" si="46"/>
        <v>0</v>
      </c>
      <c r="Q30" s="73">
        <v>0</v>
      </c>
      <c r="R30" s="55">
        <f t="shared" si="8"/>
        <v>0</v>
      </c>
      <c r="S30" s="55">
        <f t="shared" si="47"/>
        <v>0</v>
      </c>
      <c r="T30" s="60">
        <f t="shared" si="48"/>
        <v>0</v>
      </c>
      <c r="U30" s="73">
        <v>0</v>
      </c>
      <c r="V30" s="55">
        <f t="shared" si="11"/>
        <v>0</v>
      </c>
      <c r="W30" s="60">
        <f t="shared" si="49"/>
        <v>0</v>
      </c>
      <c r="X30" s="73">
        <v>0</v>
      </c>
      <c r="Y30" s="53">
        <f t="shared" si="13"/>
        <v>0</v>
      </c>
      <c r="Z30" s="73">
        <v>0</v>
      </c>
      <c r="AA30" s="53">
        <f t="shared" si="14"/>
        <v>0</v>
      </c>
      <c r="AC30" s="15"/>
      <c r="AD30" s="15"/>
      <c r="AE30" s="15"/>
      <c r="AF30" s="15"/>
      <c r="AG30" s="15"/>
      <c r="AH30" s="15"/>
      <c r="AI30" s="15"/>
      <c r="AJ30" s="15"/>
      <c r="AK30" s="15"/>
    </row>
    <row r="31" spans="1:37" s="5" customFormat="1" ht="17.25" customHeight="1" x14ac:dyDescent="0.2">
      <c r="A31" s="18" t="s">
        <v>90</v>
      </c>
      <c r="B31" s="13" t="s">
        <v>91</v>
      </c>
      <c r="C31" s="73">
        <v>0</v>
      </c>
      <c r="D31" s="53">
        <v>0</v>
      </c>
      <c r="E31" s="73">
        <v>0</v>
      </c>
      <c r="F31" s="20">
        <f t="shared" si="20"/>
        <v>0</v>
      </c>
      <c r="G31" s="49">
        <f t="shared" si="43"/>
        <v>0</v>
      </c>
      <c r="H31" s="73">
        <v>0</v>
      </c>
      <c r="I31" s="57">
        <v>0</v>
      </c>
      <c r="J31" s="73">
        <v>0</v>
      </c>
      <c r="K31" s="20">
        <f t="shared" si="22"/>
        <v>0</v>
      </c>
      <c r="L31" s="49">
        <f t="shared" si="44"/>
        <v>0</v>
      </c>
      <c r="M31" s="73">
        <v>0</v>
      </c>
      <c r="N31" s="55">
        <f t="shared" si="5"/>
        <v>0</v>
      </c>
      <c r="O31" s="55">
        <f t="shared" si="45"/>
        <v>0</v>
      </c>
      <c r="P31" s="60">
        <f t="shared" si="46"/>
        <v>0</v>
      </c>
      <c r="Q31" s="73">
        <v>0</v>
      </c>
      <c r="R31" s="55">
        <f t="shared" si="8"/>
        <v>0</v>
      </c>
      <c r="S31" s="55">
        <f t="shared" si="47"/>
        <v>0</v>
      </c>
      <c r="T31" s="60">
        <f t="shared" si="48"/>
        <v>0</v>
      </c>
      <c r="U31" s="73">
        <v>0</v>
      </c>
      <c r="V31" s="55">
        <f t="shared" si="11"/>
        <v>0</v>
      </c>
      <c r="W31" s="60">
        <f t="shared" si="49"/>
        <v>0</v>
      </c>
      <c r="X31" s="73">
        <v>0</v>
      </c>
      <c r="Y31" s="53">
        <f t="shared" si="13"/>
        <v>0</v>
      </c>
      <c r="Z31" s="73">
        <v>0</v>
      </c>
      <c r="AA31" s="53">
        <f t="shared" si="14"/>
        <v>0</v>
      </c>
      <c r="AC31" s="15"/>
      <c r="AD31" s="15"/>
      <c r="AE31" s="15"/>
      <c r="AF31" s="15"/>
      <c r="AG31" s="15"/>
      <c r="AH31" s="15"/>
      <c r="AI31" s="15"/>
      <c r="AJ31" s="15"/>
      <c r="AK31" s="15"/>
    </row>
    <row r="32" spans="1:37" s="5" customFormat="1" ht="17.25" customHeight="1" x14ac:dyDescent="0.2">
      <c r="A32" s="18" t="s">
        <v>92</v>
      </c>
      <c r="B32" s="13" t="s">
        <v>93</v>
      </c>
      <c r="C32" s="73">
        <v>0</v>
      </c>
      <c r="D32" s="53">
        <v>0</v>
      </c>
      <c r="E32" s="73">
        <v>0</v>
      </c>
      <c r="F32" s="20">
        <f t="shared" si="20"/>
        <v>0</v>
      </c>
      <c r="G32" s="49">
        <f t="shared" si="43"/>
        <v>0</v>
      </c>
      <c r="H32" s="73">
        <v>0</v>
      </c>
      <c r="I32" s="57">
        <v>0</v>
      </c>
      <c r="J32" s="73">
        <v>0</v>
      </c>
      <c r="K32" s="20">
        <f t="shared" si="22"/>
        <v>0</v>
      </c>
      <c r="L32" s="49">
        <f t="shared" si="44"/>
        <v>0</v>
      </c>
      <c r="M32" s="73">
        <v>0</v>
      </c>
      <c r="N32" s="55">
        <f t="shared" si="5"/>
        <v>0</v>
      </c>
      <c r="O32" s="55">
        <f t="shared" si="45"/>
        <v>0</v>
      </c>
      <c r="P32" s="60">
        <f t="shared" si="46"/>
        <v>0</v>
      </c>
      <c r="Q32" s="73">
        <v>0</v>
      </c>
      <c r="R32" s="55">
        <f t="shared" si="8"/>
        <v>0</v>
      </c>
      <c r="S32" s="55">
        <f t="shared" si="47"/>
        <v>0</v>
      </c>
      <c r="T32" s="60">
        <f t="shared" si="48"/>
        <v>0</v>
      </c>
      <c r="U32" s="73">
        <v>0</v>
      </c>
      <c r="V32" s="55">
        <f t="shared" si="11"/>
        <v>0</v>
      </c>
      <c r="W32" s="60">
        <f t="shared" si="49"/>
        <v>0</v>
      </c>
      <c r="X32" s="73">
        <v>0</v>
      </c>
      <c r="Y32" s="53">
        <f t="shared" si="13"/>
        <v>0</v>
      </c>
      <c r="Z32" s="73">
        <v>0</v>
      </c>
      <c r="AA32" s="53">
        <f t="shared" si="14"/>
        <v>0</v>
      </c>
      <c r="AC32" s="15"/>
      <c r="AD32" s="15"/>
      <c r="AE32" s="15"/>
      <c r="AF32" s="15"/>
      <c r="AG32" s="15"/>
      <c r="AH32" s="15"/>
      <c r="AI32" s="15"/>
      <c r="AJ32" s="15"/>
      <c r="AK32" s="15"/>
    </row>
    <row r="33" spans="1:42" s="5" customFormat="1" ht="17.25" customHeight="1" x14ac:dyDescent="0.2">
      <c r="A33" s="18" t="s">
        <v>94</v>
      </c>
      <c r="B33" s="13">
        <v>7.3090000000000002</v>
      </c>
      <c r="C33" s="73">
        <v>0</v>
      </c>
      <c r="D33" s="53">
        <v>0</v>
      </c>
      <c r="E33" s="73">
        <v>0</v>
      </c>
      <c r="F33" s="20">
        <f t="shared" si="20"/>
        <v>0</v>
      </c>
      <c r="G33" s="49">
        <f t="shared" si="43"/>
        <v>0</v>
      </c>
      <c r="H33" s="73">
        <v>0</v>
      </c>
      <c r="I33" s="57">
        <v>0</v>
      </c>
      <c r="J33" s="73">
        <v>0</v>
      </c>
      <c r="K33" s="20">
        <f t="shared" si="22"/>
        <v>0</v>
      </c>
      <c r="L33" s="49">
        <f t="shared" si="44"/>
        <v>0</v>
      </c>
      <c r="M33" s="73">
        <v>0</v>
      </c>
      <c r="N33" s="55">
        <f t="shared" si="5"/>
        <v>0</v>
      </c>
      <c r="O33" s="55">
        <f t="shared" si="45"/>
        <v>0</v>
      </c>
      <c r="P33" s="60">
        <f t="shared" si="46"/>
        <v>0</v>
      </c>
      <c r="Q33" s="73">
        <v>0</v>
      </c>
      <c r="R33" s="55">
        <f t="shared" si="8"/>
        <v>0</v>
      </c>
      <c r="S33" s="55">
        <f t="shared" si="47"/>
        <v>0</v>
      </c>
      <c r="T33" s="60">
        <f t="shared" si="48"/>
        <v>0</v>
      </c>
      <c r="U33" s="73">
        <v>0</v>
      </c>
      <c r="V33" s="55">
        <f t="shared" si="11"/>
        <v>0</v>
      </c>
      <c r="W33" s="60">
        <f t="shared" si="49"/>
        <v>0</v>
      </c>
      <c r="X33" s="73">
        <v>0</v>
      </c>
      <c r="Y33" s="53">
        <f t="shared" si="13"/>
        <v>0</v>
      </c>
      <c r="Z33" s="73">
        <v>0</v>
      </c>
      <c r="AA33" s="53">
        <f t="shared" si="14"/>
        <v>0</v>
      </c>
      <c r="AC33" s="15"/>
      <c r="AD33" s="15"/>
      <c r="AE33" s="15"/>
      <c r="AF33" s="15"/>
      <c r="AG33" s="15"/>
      <c r="AH33" s="15"/>
      <c r="AI33" s="15"/>
      <c r="AJ33" s="15"/>
      <c r="AK33" s="15"/>
    </row>
    <row r="34" spans="1:42" s="5" customFormat="1" ht="17.25" customHeight="1" x14ac:dyDescent="0.2">
      <c r="A34" s="18" t="s">
        <v>95</v>
      </c>
      <c r="B34" s="13">
        <v>7.31</v>
      </c>
      <c r="C34" s="73">
        <v>0</v>
      </c>
      <c r="D34" s="53">
        <v>0</v>
      </c>
      <c r="E34" s="73">
        <v>0</v>
      </c>
      <c r="F34" s="20">
        <f t="shared" si="20"/>
        <v>0</v>
      </c>
      <c r="G34" s="49">
        <f t="shared" si="43"/>
        <v>0</v>
      </c>
      <c r="H34" s="73">
        <v>0</v>
      </c>
      <c r="I34" s="57">
        <v>0</v>
      </c>
      <c r="J34" s="73">
        <v>0</v>
      </c>
      <c r="K34" s="20">
        <f t="shared" si="22"/>
        <v>0</v>
      </c>
      <c r="L34" s="49">
        <f t="shared" si="44"/>
        <v>0</v>
      </c>
      <c r="M34" s="73">
        <v>0</v>
      </c>
      <c r="N34" s="55">
        <f t="shared" si="5"/>
        <v>0</v>
      </c>
      <c r="O34" s="55">
        <f t="shared" si="45"/>
        <v>0</v>
      </c>
      <c r="P34" s="60">
        <f t="shared" si="46"/>
        <v>0</v>
      </c>
      <c r="Q34" s="73">
        <v>0</v>
      </c>
      <c r="R34" s="55">
        <f t="shared" si="8"/>
        <v>0</v>
      </c>
      <c r="S34" s="55">
        <f t="shared" si="47"/>
        <v>0</v>
      </c>
      <c r="T34" s="60">
        <f t="shared" si="48"/>
        <v>0</v>
      </c>
      <c r="U34" s="73">
        <v>0</v>
      </c>
      <c r="V34" s="55">
        <f t="shared" si="11"/>
        <v>0</v>
      </c>
      <c r="W34" s="60">
        <f t="shared" si="49"/>
        <v>0</v>
      </c>
      <c r="X34" s="73">
        <v>0</v>
      </c>
      <c r="Y34" s="53">
        <f t="shared" si="13"/>
        <v>0</v>
      </c>
      <c r="Z34" s="73">
        <v>0</v>
      </c>
      <c r="AA34" s="53">
        <f t="shared" si="14"/>
        <v>0</v>
      </c>
      <c r="AC34" s="15"/>
      <c r="AD34" s="15"/>
      <c r="AE34" s="15"/>
      <c r="AF34" s="15"/>
      <c r="AG34" s="15"/>
      <c r="AH34" s="15"/>
      <c r="AI34" s="15"/>
      <c r="AJ34" s="15"/>
      <c r="AK34" s="15"/>
    </row>
    <row r="35" spans="1:42" s="5" customFormat="1" ht="17.25" customHeight="1" x14ac:dyDescent="0.2">
      <c r="A35" s="18" t="s">
        <v>96</v>
      </c>
      <c r="B35" s="13" t="s">
        <v>97</v>
      </c>
      <c r="C35" s="73">
        <v>0</v>
      </c>
      <c r="D35" s="53">
        <v>0</v>
      </c>
      <c r="E35" s="73">
        <v>0</v>
      </c>
      <c r="F35" s="20">
        <f t="shared" si="20"/>
        <v>0</v>
      </c>
      <c r="G35" s="49">
        <f t="shared" si="43"/>
        <v>0</v>
      </c>
      <c r="H35" s="73">
        <v>0</v>
      </c>
      <c r="I35" s="57">
        <v>0</v>
      </c>
      <c r="J35" s="73">
        <v>0</v>
      </c>
      <c r="K35" s="20">
        <f t="shared" si="22"/>
        <v>0</v>
      </c>
      <c r="L35" s="49">
        <f t="shared" si="44"/>
        <v>0</v>
      </c>
      <c r="M35" s="73">
        <v>0</v>
      </c>
      <c r="N35" s="55">
        <f t="shared" si="5"/>
        <v>0</v>
      </c>
      <c r="O35" s="55">
        <f t="shared" si="45"/>
        <v>0</v>
      </c>
      <c r="P35" s="60">
        <f t="shared" si="46"/>
        <v>0</v>
      </c>
      <c r="Q35" s="73">
        <v>0</v>
      </c>
      <c r="R35" s="55">
        <f t="shared" si="8"/>
        <v>0</v>
      </c>
      <c r="S35" s="55">
        <f t="shared" si="47"/>
        <v>0</v>
      </c>
      <c r="T35" s="60">
        <f t="shared" si="48"/>
        <v>0</v>
      </c>
      <c r="U35" s="73">
        <v>0</v>
      </c>
      <c r="V35" s="55">
        <f t="shared" si="11"/>
        <v>0</v>
      </c>
      <c r="W35" s="60">
        <f t="shared" si="49"/>
        <v>0</v>
      </c>
      <c r="X35" s="73">
        <v>0</v>
      </c>
      <c r="Y35" s="53">
        <f t="shared" si="13"/>
        <v>0</v>
      </c>
      <c r="Z35" s="73">
        <v>0</v>
      </c>
      <c r="AA35" s="53">
        <f t="shared" si="14"/>
        <v>0</v>
      </c>
      <c r="AC35" s="15"/>
      <c r="AD35" s="15"/>
      <c r="AE35" s="15"/>
      <c r="AF35" s="15"/>
      <c r="AG35" s="15"/>
      <c r="AH35" s="15"/>
      <c r="AI35" s="15"/>
      <c r="AJ35" s="15"/>
      <c r="AK35" s="15"/>
    </row>
    <row r="36" spans="1:42" s="5" customFormat="1" ht="17.25" customHeight="1" x14ac:dyDescent="0.2">
      <c r="A36" s="76" t="s">
        <v>98</v>
      </c>
      <c r="B36" s="106" t="s">
        <v>97</v>
      </c>
      <c r="C36" s="73">
        <v>0</v>
      </c>
      <c r="D36" s="53">
        <v>0</v>
      </c>
      <c r="E36" s="73">
        <v>0</v>
      </c>
      <c r="F36" s="20">
        <f t="shared" si="20"/>
        <v>0</v>
      </c>
      <c r="G36" s="49">
        <f t="shared" si="43"/>
        <v>0</v>
      </c>
      <c r="H36" s="73">
        <v>0</v>
      </c>
      <c r="I36" s="57">
        <v>0</v>
      </c>
      <c r="J36" s="73">
        <v>0</v>
      </c>
      <c r="K36" s="20">
        <f t="shared" si="22"/>
        <v>0</v>
      </c>
      <c r="L36" s="49">
        <f t="shared" si="44"/>
        <v>0</v>
      </c>
      <c r="M36" s="73">
        <v>0</v>
      </c>
      <c r="N36" s="55">
        <f t="shared" si="5"/>
        <v>0</v>
      </c>
      <c r="O36" s="55">
        <f t="shared" si="45"/>
        <v>0</v>
      </c>
      <c r="P36" s="60">
        <f t="shared" si="46"/>
        <v>0</v>
      </c>
      <c r="Q36" s="73">
        <v>0</v>
      </c>
      <c r="R36" s="55">
        <f t="shared" si="8"/>
        <v>0</v>
      </c>
      <c r="S36" s="55">
        <f t="shared" si="47"/>
        <v>0</v>
      </c>
      <c r="T36" s="60">
        <f t="shared" si="48"/>
        <v>0</v>
      </c>
      <c r="U36" s="73">
        <v>0</v>
      </c>
      <c r="V36" s="55">
        <f t="shared" si="11"/>
        <v>0</v>
      </c>
      <c r="W36" s="60">
        <f t="shared" si="49"/>
        <v>0</v>
      </c>
      <c r="X36" s="73">
        <v>0</v>
      </c>
      <c r="Y36" s="53">
        <f t="shared" si="13"/>
        <v>0</v>
      </c>
      <c r="Z36" s="73">
        <v>0</v>
      </c>
      <c r="AA36" s="53">
        <f t="shared" si="14"/>
        <v>0</v>
      </c>
      <c r="AC36" s="15"/>
      <c r="AD36" s="15"/>
      <c r="AE36" s="15"/>
      <c r="AF36" s="15"/>
      <c r="AG36" s="15"/>
      <c r="AH36" s="15"/>
      <c r="AI36" s="15"/>
      <c r="AJ36" s="15"/>
      <c r="AK36" s="15"/>
    </row>
    <row r="37" spans="1:42" s="5" customFormat="1" ht="17.25" customHeight="1" x14ac:dyDescent="0.2">
      <c r="A37" s="79" t="s">
        <v>99</v>
      </c>
      <c r="B37" s="107">
        <v>7.3129999999999997</v>
      </c>
      <c r="C37" s="73">
        <v>0</v>
      </c>
      <c r="D37" s="53">
        <v>0</v>
      </c>
      <c r="E37" s="73">
        <v>0</v>
      </c>
      <c r="F37" s="20">
        <f t="shared" si="20"/>
        <v>0</v>
      </c>
      <c r="G37" s="49">
        <f t="shared" si="43"/>
        <v>0</v>
      </c>
      <c r="H37" s="73">
        <v>0</v>
      </c>
      <c r="I37" s="57">
        <v>0</v>
      </c>
      <c r="J37" s="73">
        <v>0</v>
      </c>
      <c r="K37" s="20">
        <f t="shared" si="22"/>
        <v>0</v>
      </c>
      <c r="L37" s="49">
        <f t="shared" si="44"/>
        <v>0</v>
      </c>
      <c r="M37" s="73">
        <v>0</v>
      </c>
      <c r="N37" s="55">
        <f t="shared" si="5"/>
        <v>0</v>
      </c>
      <c r="O37" s="55">
        <f t="shared" si="45"/>
        <v>0</v>
      </c>
      <c r="P37" s="60">
        <f t="shared" si="46"/>
        <v>0</v>
      </c>
      <c r="Q37" s="73">
        <v>0</v>
      </c>
      <c r="R37" s="55">
        <f t="shared" si="8"/>
        <v>0</v>
      </c>
      <c r="S37" s="55">
        <f t="shared" si="47"/>
        <v>0</v>
      </c>
      <c r="T37" s="60">
        <f t="shared" si="48"/>
        <v>0</v>
      </c>
      <c r="U37" s="73">
        <v>0</v>
      </c>
      <c r="V37" s="55">
        <f t="shared" si="11"/>
        <v>0</v>
      </c>
      <c r="W37" s="60">
        <f t="shared" si="49"/>
        <v>0</v>
      </c>
      <c r="X37" s="73">
        <v>0</v>
      </c>
      <c r="Y37" s="53">
        <f t="shared" si="13"/>
        <v>0</v>
      </c>
      <c r="Z37" s="73">
        <v>0</v>
      </c>
      <c r="AA37" s="53">
        <f t="shared" si="14"/>
        <v>0</v>
      </c>
      <c r="AB37" s="74">
        <f>(SUM(C23:C37)+SUM(E23:E37)+SUM(H23:H37)+SUM(J23:J37)+SUM(M23:M37)+SUM(Q23:Q37)+SUM(U23:U37)+SUM(X23:X37)+SUM(Z23:Z37))/8.5/0.85</f>
        <v>40.999999999999993</v>
      </c>
      <c r="AC37" s="15">
        <v>41</v>
      </c>
      <c r="AD37" s="15"/>
      <c r="AE37" s="15"/>
      <c r="AF37" s="15"/>
      <c r="AG37" s="15"/>
      <c r="AH37" s="15"/>
      <c r="AI37" s="15"/>
      <c r="AJ37" s="15"/>
      <c r="AK37" s="15"/>
    </row>
    <row r="38" spans="1:42" s="5" customFormat="1" ht="17.25" customHeight="1" x14ac:dyDescent="0.2">
      <c r="A38" s="110" t="s">
        <v>103</v>
      </c>
      <c r="B38" s="111" t="s">
        <v>100</v>
      </c>
      <c r="C38" s="112">
        <f>2*8.5*0.85</f>
        <v>14.45</v>
      </c>
      <c r="D38" s="113">
        <f t="shared" si="15"/>
        <v>14.45</v>
      </c>
      <c r="E38" s="112">
        <f>8.5*0.85</f>
        <v>7.2249999999999996</v>
      </c>
      <c r="F38" s="114">
        <f t="shared" si="2"/>
        <v>5.78</v>
      </c>
      <c r="G38" s="115">
        <f t="shared" ref="G38" si="50">E38*$G$9</f>
        <v>1.4450000000000001</v>
      </c>
      <c r="H38" s="112">
        <f>0</f>
        <v>0</v>
      </c>
      <c r="I38" s="116">
        <v>8</v>
      </c>
      <c r="J38" s="112">
        <f>8.5*0.85</f>
        <v>7.2249999999999996</v>
      </c>
      <c r="K38" s="114">
        <f t="shared" si="3"/>
        <v>1.4450000000000001</v>
      </c>
      <c r="L38" s="115">
        <f t="shared" ref="L38" si="51">J38*$L$9</f>
        <v>5.78</v>
      </c>
      <c r="M38" s="112">
        <f>2*8.5*0.85</f>
        <v>14.45</v>
      </c>
      <c r="N38" s="117">
        <f t="shared" si="5"/>
        <v>2.89</v>
      </c>
      <c r="O38" s="117">
        <f t="shared" ref="O38" si="52">M38*$O$9</f>
        <v>7.2249999999999996</v>
      </c>
      <c r="P38" s="118">
        <f t="shared" ref="P38" si="53">M38*$P$9</f>
        <v>4.335</v>
      </c>
      <c r="Q38" s="112">
        <f>8.5*0.85</f>
        <v>7.2249999999999996</v>
      </c>
      <c r="R38" s="117">
        <f t="shared" si="8"/>
        <v>1.4450000000000001</v>
      </c>
      <c r="S38" s="117">
        <f t="shared" ref="S38" si="54">Q38*$S$9</f>
        <v>3.6124999999999998</v>
      </c>
      <c r="T38" s="118">
        <f t="shared" ref="T38" si="55">Q38*$T$9</f>
        <v>2.1675</v>
      </c>
      <c r="U38" s="112">
        <f>5*8.5*0.85</f>
        <v>36.125</v>
      </c>
      <c r="V38" s="117">
        <f t="shared" si="11"/>
        <v>7.2250000000000005</v>
      </c>
      <c r="W38" s="118">
        <f t="shared" ref="W38" si="56">U38*$W$9</f>
        <v>28.900000000000002</v>
      </c>
      <c r="X38" s="112">
        <f>5*8.5*0.85</f>
        <v>36.125</v>
      </c>
      <c r="Y38" s="113">
        <f t="shared" si="13"/>
        <v>36.125</v>
      </c>
      <c r="Z38" s="112">
        <f>8.5*0.85</f>
        <v>7.2249999999999996</v>
      </c>
      <c r="AA38" s="113">
        <f t="shared" si="14"/>
        <v>7.2249999999999996</v>
      </c>
      <c r="AB38" s="15">
        <f>(C38+E38+H38+J38+M38+Q38+U38+X38+Z38)/8.5/0.85</f>
        <v>17.999999999999996</v>
      </c>
      <c r="AC38" s="15">
        <v>18</v>
      </c>
      <c r="AD38" s="15"/>
      <c r="AE38" s="15"/>
      <c r="AF38" s="15"/>
      <c r="AG38" s="15"/>
      <c r="AH38" s="15"/>
      <c r="AI38" s="15"/>
      <c r="AJ38" s="15"/>
      <c r="AK38" s="15"/>
    </row>
    <row r="39" spans="1:42" s="5" customFormat="1" ht="17.25" customHeight="1" x14ac:dyDescent="0.2">
      <c r="A39" s="14"/>
      <c r="B39" s="9" t="s">
        <v>55</v>
      </c>
      <c r="C39" s="108">
        <f t="shared" ref="C39:AA39" si="57">SUM(C10:C38)</f>
        <v>115.59999999999998</v>
      </c>
      <c r="D39" s="109">
        <f t="shared" si="57"/>
        <v>115.59999999999998</v>
      </c>
      <c r="E39" s="147">
        <f t="shared" si="57"/>
        <v>220.36250000000001</v>
      </c>
      <c r="F39" s="122">
        <f t="shared" si="57"/>
        <v>176.29</v>
      </c>
      <c r="G39" s="121">
        <f t="shared" si="57"/>
        <v>44.072499999999998</v>
      </c>
      <c r="H39" s="108">
        <f t="shared" si="57"/>
        <v>0</v>
      </c>
      <c r="I39" s="109">
        <f t="shared" si="57"/>
        <v>8</v>
      </c>
      <c r="J39" s="147">
        <f t="shared" si="57"/>
        <v>68.637499999999974</v>
      </c>
      <c r="K39" s="122">
        <f t="shared" si="57"/>
        <v>13.727500000000001</v>
      </c>
      <c r="L39" s="121">
        <f t="shared" si="57"/>
        <v>54.910000000000004</v>
      </c>
      <c r="M39" s="147">
        <f t="shared" si="57"/>
        <v>643.02499999999998</v>
      </c>
      <c r="N39" s="122">
        <f t="shared" si="57"/>
        <v>128.60500000000002</v>
      </c>
      <c r="O39" s="122">
        <f t="shared" si="57"/>
        <v>321.51249999999999</v>
      </c>
      <c r="P39" s="121">
        <f t="shared" si="57"/>
        <v>192.90750000000003</v>
      </c>
      <c r="Q39" s="147">
        <f t="shared" si="57"/>
        <v>86.699999999999989</v>
      </c>
      <c r="R39" s="122">
        <f t="shared" si="57"/>
        <v>17.34</v>
      </c>
      <c r="S39" s="122">
        <f t="shared" si="57"/>
        <v>43.349999999999994</v>
      </c>
      <c r="T39" s="121">
        <f t="shared" si="57"/>
        <v>26.01</v>
      </c>
      <c r="U39" s="147">
        <f t="shared" si="57"/>
        <v>166.17500000000001</v>
      </c>
      <c r="V39" s="122">
        <f t="shared" si="57"/>
        <v>33.234999999999999</v>
      </c>
      <c r="W39" s="121">
        <f t="shared" si="57"/>
        <v>132.94</v>
      </c>
      <c r="X39" s="108">
        <f t="shared" si="57"/>
        <v>151.72500000000002</v>
      </c>
      <c r="Y39" s="109">
        <f t="shared" si="57"/>
        <v>151.72500000000002</v>
      </c>
      <c r="Z39" s="108">
        <f t="shared" si="57"/>
        <v>65.025000000000006</v>
      </c>
      <c r="AA39" s="109">
        <f t="shared" si="57"/>
        <v>65.025000000000006</v>
      </c>
    </row>
    <row r="40" spans="1:42" s="5" customFormat="1" ht="17.25" customHeight="1" x14ac:dyDescent="0.2">
      <c r="A40" s="14"/>
      <c r="B40" s="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 t="s">
        <v>76</v>
      </c>
      <c r="Z40" s="104" t="s">
        <v>81</v>
      </c>
      <c r="AA40" s="105">
        <f>C39+E39+H39+J39+M39+Q39+U39+X39+Z39</f>
        <v>1517.25</v>
      </c>
      <c r="AC40" s="37"/>
    </row>
    <row r="41" spans="1:42" s="5" customFormat="1" ht="17.25" customHeight="1" x14ac:dyDescent="0.2">
      <c r="A41" s="14" t="s">
        <v>130</v>
      </c>
      <c r="B41" s="9"/>
      <c r="C41" s="63"/>
      <c r="D41" s="63"/>
      <c r="E41" s="29"/>
      <c r="F41" s="29"/>
      <c r="G41" s="29"/>
      <c r="H41" s="29"/>
      <c r="I41" s="29"/>
      <c r="J41" s="29"/>
      <c r="K41" s="29"/>
      <c r="L41" s="29"/>
      <c r="M41" s="29"/>
      <c r="X41" s="119" t="s">
        <v>101</v>
      </c>
      <c r="Y41" s="120">
        <f>AA40/0.85</f>
        <v>1785</v>
      </c>
      <c r="Z41" s="5" t="s">
        <v>102</v>
      </c>
      <c r="AC41" s="37"/>
    </row>
    <row r="42" spans="1:42" s="5" customFormat="1" ht="17.25" customHeight="1" x14ac:dyDescent="0.2">
      <c r="A42" s="38"/>
      <c r="B42" s="124" t="s">
        <v>80</v>
      </c>
      <c r="C42" s="63"/>
      <c r="D42" s="63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X42" s="5" t="s">
        <v>128</v>
      </c>
      <c r="Y42" s="37">
        <f>Y41*0.15</f>
        <v>267.75</v>
      </c>
      <c r="Z42" s="5" t="s">
        <v>129</v>
      </c>
      <c r="AC42" s="27" t="s">
        <v>54</v>
      </c>
      <c r="AD42" s="29"/>
      <c r="AE42" s="29"/>
      <c r="AF42" s="29"/>
      <c r="AG42" s="29"/>
      <c r="AH42" s="29"/>
      <c r="AI42" s="19" t="s">
        <v>16</v>
      </c>
      <c r="AJ42" s="19"/>
      <c r="AK42" s="29"/>
      <c r="AL42" s="29"/>
      <c r="AM42" s="29"/>
      <c r="AN42" s="29"/>
      <c r="AO42" s="29"/>
      <c r="AP42" s="36"/>
    </row>
    <row r="43" spans="1:42" s="5" customFormat="1" ht="17.25" customHeight="1" x14ac:dyDescent="0.2">
      <c r="A43" s="38"/>
      <c r="B43" s="74"/>
      <c r="C43" s="126" t="s">
        <v>6</v>
      </c>
      <c r="D43" s="127" t="s">
        <v>72</v>
      </c>
      <c r="E43" s="127" t="s">
        <v>74</v>
      </c>
      <c r="F43" s="126" t="s">
        <v>70</v>
      </c>
      <c r="G43" s="126" t="s">
        <v>73</v>
      </c>
      <c r="H43" s="126" t="s">
        <v>104</v>
      </c>
      <c r="I43" s="126" t="s">
        <v>105</v>
      </c>
      <c r="J43" s="126" t="s">
        <v>107</v>
      </c>
      <c r="K43" s="126" t="s">
        <v>106</v>
      </c>
      <c r="L43" s="126" t="s">
        <v>108</v>
      </c>
      <c r="M43" s="126" t="s">
        <v>110</v>
      </c>
      <c r="N43" s="126" t="s">
        <v>163</v>
      </c>
      <c r="O43" s="126" t="s">
        <v>164</v>
      </c>
      <c r="P43" s="128" t="s">
        <v>77</v>
      </c>
      <c r="AC43" s="19" t="s">
        <v>8</v>
      </c>
      <c r="AD43" s="29"/>
      <c r="AE43" s="29"/>
      <c r="AF43" s="29"/>
      <c r="AG43" s="29"/>
      <c r="AH43" s="29"/>
      <c r="AI43" s="26" t="s">
        <v>17</v>
      </c>
      <c r="AJ43" s="26"/>
      <c r="AK43" s="29"/>
      <c r="AL43" s="29"/>
      <c r="AM43" s="29"/>
      <c r="AN43" s="29"/>
      <c r="AO43" s="29"/>
      <c r="AP43" s="36"/>
    </row>
    <row r="44" spans="1:42" s="5" customFormat="1" ht="10.5" customHeight="1" x14ac:dyDescent="0.2">
      <c r="A44" s="38"/>
      <c r="B44" s="129" t="s">
        <v>121</v>
      </c>
      <c r="C44" s="130" t="s">
        <v>2</v>
      </c>
      <c r="D44" s="131" t="s">
        <v>1</v>
      </c>
      <c r="E44" s="131" t="s">
        <v>1</v>
      </c>
      <c r="F44" s="130" t="s">
        <v>1</v>
      </c>
      <c r="G44" s="130" t="s">
        <v>3</v>
      </c>
      <c r="H44" s="130" t="s">
        <v>2</v>
      </c>
      <c r="I44" s="130" t="s">
        <v>1</v>
      </c>
      <c r="J44" s="130" t="s">
        <v>2</v>
      </c>
      <c r="K44" s="130" t="s">
        <v>1</v>
      </c>
      <c r="L44" s="130" t="s">
        <v>1</v>
      </c>
      <c r="M44" s="130" t="s">
        <v>0</v>
      </c>
      <c r="N44" s="130" t="s">
        <v>131</v>
      </c>
      <c r="O44" s="130" t="s">
        <v>131</v>
      </c>
      <c r="P44" s="128"/>
      <c r="AC44" s="19"/>
      <c r="AD44" s="29"/>
      <c r="AE44" s="29"/>
      <c r="AF44" s="29"/>
      <c r="AG44" s="29"/>
      <c r="AH44" s="29"/>
      <c r="AI44" s="26"/>
      <c r="AJ44" s="26"/>
      <c r="AK44" s="29"/>
      <c r="AL44" s="29"/>
      <c r="AM44" s="29"/>
      <c r="AN44" s="29"/>
      <c r="AO44" s="29"/>
      <c r="AP44" s="36"/>
    </row>
    <row r="45" spans="1:42" s="5" customFormat="1" ht="10.5" customHeight="1" x14ac:dyDescent="0.2">
      <c r="A45" s="38"/>
      <c r="B45" s="129"/>
      <c r="P45" s="128"/>
      <c r="AC45" s="19"/>
      <c r="AD45" s="29"/>
      <c r="AE45" s="29"/>
      <c r="AF45" s="29"/>
      <c r="AG45" s="29"/>
      <c r="AH45" s="29"/>
      <c r="AI45" s="26"/>
      <c r="AJ45" s="26"/>
      <c r="AK45" s="29"/>
      <c r="AL45" s="29"/>
      <c r="AM45" s="29"/>
      <c r="AN45" s="29"/>
      <c r="AO45" s="29"/>
      <c r="AP45" s="36"/>
    </row>
    <row r="46" spans="1:42" s="5" customFormat="1" ht="45.75" customHeight="1" x14ac:dyDescent="0.2">
      <c r="A46" s="14"/>
      <c r="B46" s="9" t="s">
        <v>120</v>
      </c>
      <c r="C46" s="132">
        <f>SUMIF($C$8:$AA$8,C43,$C$39:$AA$39)</f>
        <v>308.50749999999999</v>
      </c>
      <c r="D46" s="132">
        <f>SUMIF($C$8:$AA$8,D43,$C$39:$AA$39)</f>
        <v>479.79250000000002</v>
      </c>
      <c r="E46" s="132">
        <f>SUMIF($C$8:$AA$8,E43,$C$39:$AA$39)</f>
        <v>364.86249999999995</v>
      </c>
      <c r="F46" s="132">
        <f>SUMIF($C$8:$AA$8,F43,$C$39:$AA$39)</f>
        <v>176.29</v>
      </c>
      <c r="G46" s="132">
        <f>SUMIF($C$8:$AA$8,G43,$C$39:$AA$39)</f>
        <v>44.072499999999998</v>
      </c>
      <c r="H46" s="132">
        <v>0</v>
      </c>
      <c r="I46" s="132">
        <v>0</v>
      </c>
      <c r="J46" s="132">
        <v>0</v>
      </c>
      <c r="K46" s="132">
        <v>0</v>
      </c>
      <c r="L46" s="132">
        <v>0</v>
      </c>
      <c r="M46" s="132">
        <v>0</v>
      </c>
      <c r="N46" s="132">
        <f>SUMIF($C$8:$AA$8,N43,$C$39:$AA$39)</f>
        <v>0</v>
      </c>
      <c r="O46" s="132">
        <f>SUMIF($C$8:$AA$8,O43,$C$39:$AA$39)</f>
        <v>0</v>
      </c>
      <c r="P46" s="133">
        <f>SUM(C46:N46)</f>
        <v>1373.5249999999999</v>
      </c>
      <c r="Q46" s="159" t="s">
        <v>150</v>
      </c>
      <c r="R46" s="5" t="s">
        <v>146</v>
      </c>
      <c r="AC46" s="19" t="s">
        <v>9</v>
      </c>
      <c r="AD46" s="29"/>
      <c r="AE46" s="29"/>
      <c r="AF46" s="29"/>
      <c r="AG46" s="29"/>
      <c r="AH46" s="29"/>
      <c r="AI46" s="26" t="s">
        <v>18</v>
      </c>
      <c r="AJ46" s="26"/>
      <c r="AK46" s="29"/>
      <c r="AL46" s="29"/>
      <c r="AM46" s="29"/>
      <c r="AN46" s="29"/>
      <c r="AO46" s="29"/>
      <c r="AP46" s="36"/>
    </row>
    <row r="47" spans="1:42" s="5" customFormat="1" ht="17.25" customHeight="1" x14ac:dyDescent="0.2">
      <c r="A47" s="14"/>
      <c r="B47" s="134" t="s">
        <v>109</v>
      </c>
      <c r="C47" s="135">
        <v>2.5</v>
      </c>
      <c r="D47" s="135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6">
        <f t="shared" ref="P47:P58" si="58">SUM(C47:O47)</f>
        <v>2.5</v>
      </c>
      <c r="Q47" s="123">
        <f>P47/$P$46</f>
        <v>1.8201343259132525E-3</v>
      </c>
      <c r="R47" s="154">
        <f>P47</f>
        <v>2.5</v>
      </c>
      <c r="AC47" s="14" t="s">
        <v>10</v>
      </c>
      <c r="AD47" s="29"/>
      <c r="AE47" s="29"/>
      <c r="AF47" s="29"/>
      <c r="AG47" s="29"/>
      <c r="AH47" s="29"/>
      <c r="AI47" s="26" t="s">
        <v>19</v>
      </c>
      <c r="AJ47" s="26"/>
      <c r="AK47" s="29"/>
      <c r="AL47" s="29"/>
      <c r="AM47" s="29"/>
      <c r="AN47" s="29"/>
      <c r="AO47" s="29"/>
      <c r="AP47" s="36"/>
    </row>
    <row r="48" spans="1:42" s="5" customFormat="1" ht="17.25" customHeight="1" x14ac:dyDescent="0.2">
      <c r="A48" s="14"/>
      <c r="B48" s="64" t="s">
        <v>79</v>
      </c>
      <c r="C48" s="65">
        <v>24.75</v>
      </c>
      <c r="D48" s="65"/>
      <c r="E48" s="65"/>
      <c r="F48" s="65"/>
      <c r="G48" s="65"/>
      <c r="H48" s="65"/>
      <c r="I48" s="65"/>
      <c r="J48" s="65">
        <v>2.5</v>
      </c>
      <c r="K48" s="65"/>
      <c r="L48" s="65"/>
      <c r="M48" s="65"/>
      <c r="N48" s="65"/>
      <c r="O48" s="65"/>
      <c r="P48" s="68">
        <f t="shared" si="58"/>
        <v>27.25</v>
      </c>
      <c r="Q48" s="123">
        <f>Q47+P48/$P$46</f>
        <v>2.1659598478367705E-2</v>
      </c>
      <c r="R48" s="154">
        <f>R47+P48</f>
        <v>29.75</v>
      </c>
      <c r="AC48" s="14"/>
      <c r="AD48" s="29"/>
      <c r="AE48" s="29"/>
      <c r="AF48" s="29"/>
      <c r="AG48" s="29"/>
      <c r="AH48" s="29"/>
      <c r="AI48" s="26"/>
      <c r="AJ48" s="26"/>
      <c r="AK48" s="29"/>
      <c r="AL48" s="29"/>
      <c r="AM48" s="29"/>
      <c r="AN48" s="29"/>
      <c r="AO48" s="29"/>
      <c r="AP48" s="36"/>
    </row>
    <row r="49" spans="1:42" s="5" customFormat="1" ht="17.25" customHeight="1" x14ac:dyDescent="0.2">
      <c r="A49" s="14"/>
      <c r="B49" s="137" t="s">
        <v>122</v>
      </c>
      <c r="C49" s="138">
        <v>28.5</v>
      </c>
      <c r="D49" s="138"/>
      <c r="E49" s="138">
        <v>2</v>
      </c>
      <c r="F49" s="138">
        <v>33.25</v>
      </c>
      <c r="G49" s="138">
        <v>8.5</v>
      </c>
      <c r="H49" s="138"/>
      <c r="I49" s="138"/>
      <c r="J49" s="138"/>
      <c r="K49" s="138"/>
      <c r="L49" s="138">
        <v>2</v>
      </c>
      <c r="M49" s="138"/>
      <c r="N49" s="138"/>
      <c r="O49" s="138"/>
      <c r="P49" s="139">
        <f t="shared" si="58"/>
        <v>74.25</v>
      </c>
      <c r="Q49" s="123">
        <f>Q48+P49/$P$46</f>
        <v>7.57175879579913E-2</v>
      </c>
      <c r="R49" s="154">
        <f t="shared" ref="R49:R66" si="59">R48+P49</f>
        <v>104</v>
      </c>
      <c r="AC49" s="14" t="s">
        <v>11</v>
      </c>
      <c r="AD49" s="29"/>
      <c r="AE49" s="29"/>
      <c r="AF49" s="29"/>
      <c r="AG49" s="29"/>
      <c r="AH49" s="29"/>
      <c r="AI49" s="26" t="s">
        <v>20</v>
      </c>
      <c r="AJ49" s="26"/>
      <c r="AK49" s="29"/>
      <c r="AL49" s="29"/>
      <c r="AM49" s="29"/>
      <c r="AN49" s="29"/>
      <c r="AO49" s="29"/>
      <c r="AP49" s="36"/>
    </row>
    <row r="50" spans="1:42" s="5" customFormat="1" ht="17.25" customHeight="1" x14ac:dyDescent="0.2">
      <c r="A50" s="14"/>
      <c r="B50" s="66" t="s">
        <v>123</v>
      </c>
      <c r="C50" s="67">
        <v>15</v>
      </c>
      <c r="D50" s="67"/>
      <c r="E50" s="67"/>
      <c r="F50" s="67">
        <v>101.5</v>
      </c>
      <c r="G50" s="67">
        <v>63</v>
      </c>
      <c r="H50" s="67"/>
      <c r="I50" s="67">
        <v>6</v>
      </c>
      <c r="J50" s="67"/>
      <c r="K50" s="67"/>
      <c r="L50" s="67"/>
      <c r="M50" s="67"/>
      <c r="N50" s="67"/>
      <c r="O50" s="67"/>
      <c r="P50" s="68">
        <f t="shared" si="58"/>
        <v>185.5</v>
      </c>
      <c r="Q50" s="123">
        <f>Q49+P50/$P$46</f>
        <v>0.21077155494075464</v>
      </c>
      <c r="R50" s="154">
        <f t="shared" si="59"/>
        <v>289.5</v>
      </c>
      <c r="AC50" s="14" t="s">
        <v>24</v>
      </c>
      <c r="AD50" s="29"/>
      <c r="AE50" s="29"/>
      <c r="AF50" s="29"/>
      <c r="AG50" s="29"/>
      <c r="AH50" s="29"/>
      <c r="AI50" s="26" t="s">
        <v>22</v>
      </c>
      <c r="AJ50" s="26"/>
      <c r="AK50" s="29"/>
      <c r="AL50" s="29"/>
      <c r="AM50" s="29"/>
      <c r="AN50" s="29"/>
      <c r="AO50" s="29"/>
      <c r="AP50" s="36"/>
    </row>
    <row r="51" spans="1:42" s="5" customFormat="1" ht="17.25" customHeight="1" x14ac:dyDescent="0.2">
      <c r="A51" s="14"/>
      <c r="B51" s="137" t="s">
        <v>124</v>
      </c>
      <c r="C51" s="138">
        <v>57</v>
      </c>
      <c r="D51" s="138"/>
      <c r="E51" s="138"/>
      <c r="F51" s="138">
        <v>144.75</v>
      </c>
      <c r="G51" s="138"/>
      <c r="H51" s="138"/>
      <c r="I51" s="138">
        <v>0.5</v>
      </c>
      <c r="J51" s="138"/>
      <c r="K51" s="138"/>
      <c r="L51" s="138"/>
      <c r="M51" s="138"/>
      <c r="N51" s="138"/>
      <c r="O51" s="138"/>
      <c r="P51" s="139">
        <f t="shared" si="58"/>
        <v>202.25</v>
      </c>
      <c r="Q51" s="140">
        <f>Q50+P51/$P$46</f>
        <v>0.35802042190713679</v>
      </c>
      <c r="R51" s="154">
        <f t="shared" si="59"/>
        <v>491.75</v>
      </c>
      <c r="AC51" s="14" t="s">
        <v>12</v>
      </c>
      <c r="AD51" s="29"/>
      <c r="AE51" s="29"/>
      <c r="AF51" s="29"/>
      <c r="AG51" s="29"/>
      <c r="AH51" s="29"/>
      <c r="AI51" s="26" t="s">
        <v>21</v>
      </c>
      <c r="AJ51" s="26"/>
      <c r="AK51" s="29"/>
      <c r="AL51" s="29"/>
      <c r="AM51" s="29"/>
      <c r="AN51" s="29"/>
      <c r="AO51" s="29"/>
      <c r="AP51" s="36"/>
    </row>
    <row r="52" spans="1:42" s="5" customFormat="1" ht="17.25" customHeight="1" x14ac:dyDescent="0.2">
      <c r="A52" s="14"/>
      <c r="B52" s="66" t="s">
        <v>140</v>
      </c>
      <c r="C52" s="67">
        <v>26.75</v>
      </c>
      <c r="D52" s="67"/>
      <c r="E52" s="67">
        <v>149.5</v>
      </c>
      <c r="F52" s="67">
        <v>75.75</v>
      </c>
      <c r="G52" s="67"/>
      <c r="H52" s="67">
        <v>12</v>
      </c>
      <c r="I52" s="67"/>
      <c r="J52" s="67"/>
      <c r="K52" s="67"/>
      <c r="L52" s="67"/>
      <c r="M52" s="67"/>
      <c r="N52" s="67"/>
      <c r="O52" s="67"/>
      <c r="P52" s="68">
        <f t="shared" si="58"/>
        <v>264</v>
      </c>
      <c r="Q52" s="123">
        <f>Q51+P52/$P$46</f>
        <v>0.55022660672357626</v>
      </c>
      <c r="R52" s="154">
        <f t="shared" si="59"/>
        <v>755.75</v>
      </c>
      <c r="AC52" s="14" t="s">
        <v>13</v>
      </c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36"/>
    </row>
    <row r="53" spans="1:42" s="5" customFormat="1" ht="17.25" customHeight="1" x14ac:dyDescent="0.2">
      <c r="A53" s="14"/>
      <c r="B53" s="137" t="s">
        <v>125</v>
      </c>
      <c r="C53" s="138">
        <v>18.5</v>
      </c>
      <c r="D53" s="138"/>
      <c r="E53" s="138">
        <v>115.5</v>
      </c>
      <c r="F53" s="138"/>
      <c r="G53" s="138"/>
      <c r="H53" s="138">
        <v>7.5</v>
      </c>
      <c r="I53" s="138">
        <v>3</v>
      </c>
      <c r="J53" s="138"/>
      <c r="K53" s="138"/>
      <c r="L53" s="138"/>
      <c r="M53" s="138"/>
      <c r="N53" s="138"/>
      <c r="O53" s="138"/>
      <c r="P53" s="139">
        <f t="shared" si="58"/>
        <v>144.5</v>
      </c>
      <c r="Q53" s="140">
        <f>Q52+P53/$P$46</f>
        <v>0.65543037076136224</v>
      </c>
      <c r="R53" s="154">
        <f t="shared" si="59"/>
        <v>900.25</v>
      </c>
      <c r="S53" s="153"/>
      <c r="AC53" s="14" t="s">
        <v>14</v>
      </c>
      <c r="AD53" s="29"/>
      <c r="AE53" s="29"/>
      <c r="AF53" s="29"/>
      <c r="AG53" s="29"/>
      <c r="AH53" s="29"/>
      <c r="AI53" s="19" t="s">
        <v>56</v>
      </c>
      <c r="AJ53" s="19"/>
      <c r="AK53" s="29"/>
      <c r="AL53" s="29"/>
      <c r="AM53" s="29"/>
      <c r="AN53" s="29"/>
      <c r="AO53" s="29"/>
      <c r="AP53" s="36"/>
    </row>
    <row r="54" spans="1:42" s="5" customFormat="1" ht="17.25" customHeight="1" x14ac:dyDescent="0.2">
      <c r="A54" s="14"/>
      <c r="B54" s="66" t="s">
        <v>126</v>
      </c>
      <c r="C54" s="67">
        <v>20</v>
      </c>
      <c r="D54" s="67">
        <v>121.25</v>
      </c>
      <c r="E54" s="67">
        <v>24</v>
      </c>
      <c r="F54" s="67"/>
      <c r="G54" s="67"/>
      <c r="H54" s="67">
        <v>14</v>
      </c>
      <c r="I54" s="67">
        <v>10.5</v>
      </c>
      <c r="J54" s="67"/>
      <c r="K54" s="67">
        <v>3</v>
      </c>
      <c r="L54" s="67"/>
      <c r="M54" s="67">
        <v>1.5</v>
      </c>
      <c r="N54" s="67"/>
      <c r="O54" s="67"/>
      <c r="P54" s="68">
        <f t="shared" si="58"/>
        <v>194.25</v>
      </c>
      <c r="Q54" s="123">
        <f>Q53+P54/$P$46</f>
        <v>0.79685480788482199</v>
      </c>
      <c r="R54" s="154">
        <f t="shared" si="59"/>
        <v>1094.5</v>
      </c>
      <c r="S54" s="5">
        <v>875</v>
      </c>
      <c r="T54" s="154">
        <f>S54+SUM(P47:P54)</f>
        <v>1969.5</v>
      </c>
      <c r="U54" s="154">
        <f>T54-$P$46</f>
        <v>595.97500000000014</v>
      </c>
      <c r="V54" s="5" t="s">
        <v>144</v>
      </c>
      <c r="AC54" s="14" t="s">
        <v>23</v>
      </c>
      <c r="AD54" s="29"/>
      <c r="AE54" s="29"/>
      <c r="AF54" s="29"/>
      <c r="AG54" s="29"/>
      <c r="AH54" s="29"/>
      <c r="AI54" s="26" t="s">
        <v>57</v>
      </c>
      <c r="AJ54" s="26"/>
      <c r="AK54" s="29"/>
      <c r="AL54" s="29"/>
      <c r="AM54" s="29"/>
      <c r="AN54" s="29"/>
      <c r="AO54" s="29"/>
      <c r="AP54" s="36"/>
    </row>
    <row r="55" spans="1:42" s="5" customFormat="1" ht="17.25" customHeight="1" x14ac:dyDescent="0.2">
      <c r="A55" s="14"/>
      <c r="B55" s="137" t="s">
        <v>127</v>
      </c>
      <c r="C55" s="138">
        <v>20</v>
      </c>
      <c r="D55" s="138">
        <v>82.5</v>
      </c>
      <c r="E55" s="138">
        <v>22.5</v>
      </c>
      <c r="F55" s="138"/>
      <c r="G55" s="138"/>
      <c r="H55" s="138">
        <v>6.25</v>
      </c>
      <c r="I55" s="138">
        <v>2</v>
      </c>
      <c r="J55" s="138"/>
      <c r="K55" s="138"/>
      <c r="L55" s="138"/>
      <c r="M55" s="138"/>
      <c r="N55" s="138"/>
      <c r="O55" s="138"/>
      <c r="P55" s="139">
        <f t="shared" si="58"/>
        <v>133.25</v>
      </c>
      <c r="Q55" s="140">
        <f>Q54+P55/$P$46</f>
        <v>0.89386796745599839</v>
      </c>
      <c r="R55" s="154">
        <f t="shared" si="59"/>
        <v>1227.75</v>
      </c>
      <c r="AC55" s="14" t="s">
        <v>15</v>
      </c>
      <c r="AD55" s="29"/>
      <c r="AE55" s="29"/>
      <c r="AF55" s="29"/>
      <c r="AG55" s="29"/>
      <c r="AH55" s="29"/>
      <c r="AI55" s="26" t="s">
        <v>58</v>
      </c>
      <c r="AJ55" s="26"/>
      <c r="AK55" s="29"/>
      <c r="AL55" s="29"/>
      <c r="AM55" s="29"/>
      <c r="AN55" s="29"/>
      <c r="AO55" s="29"/>
      <c r="AP55" s="36"/>
    </row>
    <row r="56" spans="1:42" s="5" customFormat="1" ht="17.25" customHeight="1" x14ac:dyDescent="0.2">
      <c r="A56" s="14"/>
      <c r="B56" s="66" t="s">
        <v>111</v>
      </c>
      <c r="C56" s="67"/>
      <c r="D56" s="67"/>
      <c r="E56" s="67">
        <v>58</v>
      </c>
      <c r="F56" s="67"/>
      <c r="G56" s="67"/>
      <c r="H56" s="67">
        <v>3.5</v>
      </c>
      <c r="I56" s="67">
        <v>3.75</v>
      </c>
      <c r="J56" s="67"/>
      <c r="K56" s="67"/>
      <c r="L56" s="67"/>
      <c r="M56" s="67"/>
      <c r="N56" s="67"/>
      <c r="O56" s="67"/>
      <c r="P56" s="68">
        <f t="shared" si="58"/>
        <v>65.25</v>
      </c>
      <c r="Q56" s="123">
        <f>Q55+P56/$P$46</f>
        <v>0.94137347336233423</v>
      </c>
      <c r="R56" s="154">
        <f t="shared" si="59"/>
        <v>1293</v>
      </c>
      <c r="AC56" s="14"/>
      <c r="AD56" s="29"/>
      <c r="AE56" s="29"/>
      <c r="AF56" s="29"/>
      <c r="AG56" s="29"/>
      <c r="AH56" s="29"/>
      <c r="AI56" s="26"/>
      <c r="AJ56" s="26"/>
      <c r="AK56" s="29"/>
      <c r="AL56" s="29"/>
      <c r="AM56" s="29"/>
      <c r="AN56" s="29"/>
      <c r="AO56" s="29"/>
      <c r="AP56" s="36"/>
    </row>
    <row r="57" spans="1:42" s="5" customFormat="1" ht="17.25" customHeight="1" x14ac:dyDescent="0.2">
      <c r="A57" s="14"/>
      <c r="B57" s="137" t="s">
        <v>112</v>
      </c>
      <c r="C57" s="138"/>
      <c r="D57" s="138">
        <v>64.25</v>
      </c>
      <c r="E57" s="138">
        <v>123.25</v>
      </c>
      <c r="F57" s="138"/>
      <c r="G57" s="138"/>
      <c r="H57" s="138">
        <v>14.75</v>
      </c>
      <c r="I57" s="138"/>
      <c r="J57" s="138"/>
      <c r="K57" s="138"/>
      <c r="L57" s="138"/>
      <c r="M57" s="138"/>
      <c r="N57" s="138"/>
      <c r="O57" s="138"/>
      <c r="P57" s="139">
        <f t="shared" si="58"/>
        <v>202.25</v>
      </c>
      <c r="Q57" s="140">
        <f>Q56+P57/$P$46</f>
        <v>1.0886223403287163</v>
      </c>
      <c r="R57" s="154">
        <f t="shared" si="59"/>
        <v>1495.25</v>
      </c>
      <c r="AC57" s="14"/>
      <c r="AD57" s="29"/>
      <c r="AE57" s="29"/>
      <c r="AF57" s="29"/>
      <c r="AG57" s="29"/>
      <c r="AH57" s="29"/>
      <c r="AI57" s="26"/>
      <c r="AJ57" s="26"/>
      <c r="AK57" s="29"/>
      <c r="AL57" s="29"/>
      <c r="AM57" s="29"/>
      <c r="AN57" s="29"/>
      <c r="AO57" s="29"/>
      <c r="AP57" s="36"/>
    </row>
    <row r="58" spans="1:42" s="5" customFormat="1" ht="17.25" customHeight="1" x14ac:dyDescent="0.2">
      <c r="A58" s="14"/>
      <c r="B58" s="66" t="s">
        <v>113</v>
      </c>
      <c r="C58" s="69">
        <v>20.5</v>
      </c>
      <c r="D58" s="69">
        <v>39</v>
      </c>
      <c r="E58" s="67">
        <v>87</v>
      </c>
      <c r="F58" s="67"/>
      <c r="G58" s="67"/>
      <c r="H58" s="67">
        <v>26.75</v>
      </c>
      <c r="I58" s="67"/>
      <c r="J58" s="67"/>
      <c r="K58" s="67"/>
      <c r="L58" s="67"/>
      <c r="M58" s="67"/>
      <c r="N58" s="67"/>
      <c r="O58" s="67"/>
      <c r="P58" s="68">
        <f t="shared" si="58"/>
        <v>173.25</v>
      </c>
      <c r="Q58" s="140">
        <f>Q57+P58/$P$46</f>
        <v>1.2147576491145047</v>
      </c>
      <c r="R58" s="154">
        <f t="shared" si="59"/>
        <v>1668.5</v>
      </c>
      <c r="AC58" s="14"/>
      <c r="AD58" s="29"/>
      <c r="AE58" s="29"/>
      <c r="AF58" s="29"/>
      <c r="AG58" s="29"/>
      <c r="AH58" s="29"/>
      <c r="AI58" s="26"/>
      <c r="AJ58" s="26"/>
      <c r="AK58" s="29"/>
      <c r="AL58" s="29"/>
      <c r="AM58" s="29"/>
      <c r="AN58" s="29"/>
      <c r="AO58" s="29"/>
      <c r="AP58" s="36"/>
    </row>
    <row r="59" spans="1:42" s="5" customFormat="1" ht="17.25" customHeight="1" x14ac:dyDescent="0.2">
      <c r="A59" s="14"/>
      <c r="B59" s="137" t="s">
        <v>134</v>
      </c>
      <c r="C59" s="138">
        <v>8.5</v>
      </c>
      <c r="D59" s="138">
        <v>35.75</v>
      </c>
      <c r="E59" s="138">
        <v>66.5</v>
      </c>
      <c r="F59" s="138"/>
      <c r="G59" s="138"/>
      <c r="H59" s="138">
        <v>18.25</v>
      </c>
      <c r="I59" s="138">
        <v>5.75</v>
      </c>
      <c r="J59" s="138"/>
      <c r="K59" s="138"/>
      <c r="L59" s="138"/>
      <c r="M59" s="138"/>
      <c r="N59" s="185">
        <v>71.5</v>
      </c>
      <c r="O59" s="185">
        <v>26.25</v>
      </c>
      <c r="P59" s="139">
        <f>SUM(C59:O59)</f>
        <v>232.5</v>
      </c>
      <c r="Q59" s="140">
        <f>Q58+P59/$P$46</f>
        <v>1.3840301414244371</v>
      </c>
      <c r="R59" s="154">
        <f t="shared" si="59"/>
        <v>1901</v>
      </c>
      <c r="S59" s="5">
        <v>370</v>
      </c>
      <c r="T59" s="154">
        <f>S59+SUM(P47:P59)</f>
        <v>2271</v>
      </c>
      <c r="U59" s="154">
        <f>T59-$P$46</f>
        <v>897.47500000000014</v>
      </c>
      <c r="V59" s="5" t="s">
        <v>145</v>
      </c>
      <c r="AC59" s="14"/>
      <c r="AD59" s="29"/>
      <c r="AE59" s="29"/>
      <c r="AF59" s="29"/>
      <c r="AG59" s="29"/>
      <c r="AH59" s="29"/>
      <c r="AI59" s="26"/>
      <c r="AJ59" s="26"/>
      <c r="AK59" s="29"/>
      <c r="AL59" s="29"/>
      <c r="AM59" s="29"/>
      <c r="AN59" s="29"/>
      <c r="AO59" s="29"/>
      <c r="AP59" s="36"/>
    </row>
    <row r="60" spans="1:42" s="5" customFormat="1" ht="17.25" customHeight="1" x14ac:dyDescent="0.2">
      <c r="A60" s="14"/>
      <c r="B60" s="66" t="s">
        <v>135</v>
      </c>
      <c r="C60" s="69"/>
      <c r="D60" s="69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8">
        <f t="shared" ref="P60:P67" si="60">SUM(C60:O60)</f>
        <v>0</v>
      </c>
      <c r="Q60" s="140">
        <f>Q59+P60/$P$46</f>
        <v>1.3840301414244371</v>
      </c>
      <c r="R60" s="154">
        <f t="shared" si="59"/>
        <v>1901</v>
      </c>
      <c r="AC60" s="14"/>
      <c r="AD60" s="29"/>
      <c r="AE60" s="29"/>
      <c r="AF60" s="29"/>
      <c r="AG60" s="29"/>
      <c r="AH60" s="29"/>
      <c r="AI60" s="26"/>
      <c r="AJ60" s="26"/>
      <c r="AK60" s="29"/>
      <c r="AL60" s="29"/>
      <c r="AM60" s="29"/>
      <c r="AN60" s="29"/>
      <c r="AO60" s="29"/>
      <c r="AP60" s="36"/>
    </row>
    <row r="61" spans="1:42" s="5" customFormat="1" ht="17.25" customHeight="1" x14ac:dyDescent="0.2">
      <c r="A61" s="14"/>
      <c r="B61" s="137" t="s">
        <v>136</v>
      </c>
      <c r="C61" s="138"/>
      <c r="D61" s="138"/>
      <c r="E61" s="138"/>
      <c r="F61" s="138"/>
      <c r="G61" s="138"/>
      <c r="H61" s="138"/>
      <c r="I61" s="138"/>
      <c r="J61" s="138"/>
      <c r="K61" s="138"/>
      <c r="L61" s="138"/>
      <c r="M61" s="138"/>
      <c r="N61" s="138"/>
      <c r="O61" s="138"/>
      <c r="P61" s="139">
        <f t="shared" si="60"/>
        <v>0</v>
      </c>
      <c r="Q61" s="140">
        <f>Q60+P61/$P$46</f>
        <v>1.3840301414244371</v>
      </c>
      <c r="R61" s="154">
        <f t="shared" si="59"/>
        <v>1901</v>
      </c>
      <c r="AC61" s="14"/>
      <c r="AD61" s="29"/>
      <c r="AE61" s="29"/>
      <c r="AF61" s="29"/>
      <c r="AG61" s="29"/>
      <c r="AH61" s="29"/>
      <c r="AI61" s="26"/>
      <c r="AJ61" s="26"/>
      <c r="AK61" s="29"/>
      <c r="AL61" s="29"/>
      <c r="AM61" s="29"/>
      <c r="AN61" s="29"/>
      <c r="AO61" s="29"/>
      <c r="AP61" s="36"/>
    </row>
    <row r="62" spans="1:42" s="5" customFormat="1" ht="17.25" customHeight="1" x14ac:dyDescent="0.2">
      <c r="A62" s="14"/>
      <c r="B62" s="66" t="s">
        <v>137</v>
      </c>
      <c r="C62" s="69"/>
      <c r="D62" s="69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8">
        <f t="shared" si="60"/>
        <v>0</v>
      </c>
      <c r="Q62" s="140">
        <f>Q61+P62/$P$46</f>
        <v>1.3840301414244371</v>
      </c>
      <c r="R62" s="154">
        <f t="shared" si="59"/>
        <v>1901</v>
      </c>
      <c r="AC62" s="14"/>
      <c r="AD62" s="29"/>
      <c r="AE62" s="29"/>
      <c r="AF62" s="29"/>
      <c r="AG62" s="29"/>
      <c r="AH62" s="29"/>
      <c r="AI62" s="26"/>
      <c r="AJ62" s="26"/>
      <c r="AK62" s="29"/>
      <c r="AL62" s="29"/>
      <c r="AM62" s="29"/>
      <c r="AN62" s="29"/>
      <c r="AO62" s="29"/>
      <c r="AP62" s="36"/>
    </row>
    <row r="63" spans="1:42" s="5" customFormat="1" ht="17.25" customHeight="1" x14ac:dyDescent="0.2">
      <c r="A63" s="14"/>
      <c r="B63" s="137" t="s">
        <v>138</v>
      </c>
      <c r="C63" s="138"/>
      <c r="D63" s="138"/>
      <c r="E63" s="138"/>
      <c r="F63" s="138"/>
      <c r="G63" s="138"/>
      <c r="H63" s="138"/>
      <c r="I63" s="138"/>
      <c r="J63" s="138"/>
      <c r="K63" s="138"/>
      <c r="L63" s="138"/>
      <c r="M63" s="138"/>
      <c r="N63" s="138"/>
      <c r="O63" s="138"/>
      <c r="P63" s="139">
        <f t="shared" si="60"/>
        <v>0</v>
      </c>
      <c r="Q63" s="140">
        <f>Q62+P63/$P$46</f>
        <v>1.3840301414244371</v>
      </c>
      <c r="R63" s="154">
        <f t="shared" si="59"/>
        <v>1901</v>
      </c>
      <c r="AC63" s="14"/>
      <c r="AD63" s="29"/>
      <c r="AE63" s="29"/>
      <c r="AF63" s="29"/>
      <c r="AG63" s="29"/>
      <c r="AH63" s="29"/>
      <c r="AI63" s="26"/>
      <c r="AJ63" s="26"/>
      <c r="AK63" s="29"/>
      <c r="AL63" s="29"/>
      <c r="AM63" s="29"/>
      <c r="AN63" s="29"/>
      <c r="AO63" s="29"/>
      <c r="AP63" s="36"/>
    </row>
    <row r="64" spans="1:42" s="5" customFormat="1" ht="17.25" customHeight="1" x14ac:dyDescent="0.2">
      <c r="A64" s="14"/>
      <c r="B64" s="66" t="s">
        <v>139</v>
      </c>
      <c r="C64" s="69"/>
      <c r="D64" s="69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8">
        <f t="shared" si="60"/>
        <v>0</v>
      </c>
      <c r="Q64" s="140">
        <f>Q63+P64/$P$46</f>
        <v>1.3840301414244371</v>
      </c>
      <c r="R64" s="154">
        <f t="shared" si="59"/>
        <v>1901</v>
      </c>
      <c r="AC64" s="14"/>
      <c r="AD64" s="29"/>
      <c r="AE64" s="29"/>
      <c r="AF64" s="29"/>
      <c r="AG64" s="29"/>
      <c r="AH64" s="29"/>
      <c r="AI64" s="26"/>
      <c r="AJ64" s="26"/>
      <c r="AK64" s="29"/>
      <c r="AL64" s="29"/>
      <c r="AM64" s="29"/>
      <c r="AN64" s="29"/>
      <c r="AO64" s="29"/>
      <c r="AP64" s="36"/>
    </row>
    <row r="65" spans="1:42" s="5" customFormat="1" ht="17.25" customHeight="1" x14ac:dyDescent="0.2">
      <c r="A65" s="14"/>
      <c r="B65" s="137" t="s">
        <v>141</v>
      </c>
      <c r="C65" s="138"/>
      <c r="D65" s="138"/>
      <c r="E65" s="138"/>
      <c r="F65" s="138"/>
      <c r="G65" s="138"/>
      <c r="H65" s="138"/>
      <c r="I65" s="138"/>
      <c r="J65" s="138"/>
      <c r="K65" s="138"/>
      <c r="L65" s="138"/>
      <c r="M65" s="138"/>
      <c r="N65" s="138"/>
      <c r="O65" s="138"/>
      <c r="P65" s="139">
        <f t="shared" si="60"/>
        <v>0</v>
      </c>
      <c r="Q65" s="140">
        <f>Q64+P65/$P$46</f>
        <v>1.3840301414244371</v>
      </c>
      <c r="R65" s="154">
        <f t="shared" si="59"/>
        <v>1901</v>
      </c>
      <c r="W65" s="152"/>
      <c r="AC65" s="14"/>
      <c r="AD65" s="29"/>
      <c r="AE65" s="29"/>
      <c r="AF65" s="29"/>
      <c r="AG65" s="29"/>
      <c r="AH65" s="29"/>
      <c r="AI65" s="26"/>
      <c r="AJ65" s="26"/>
      <c r="AK65" s="29"/>
      <c r="AL65" s="29"/>
      <c r="AM65" s="29"/>
      <c r="AN65" s="29"/>
      <c r="AO65" s="29"/>
      <c r="AP65" s="36"/>
    </row>
    <row r="66" spans="1:42" s="5" customFormat="1" ht="17.25" customHeight="1" x14ac:dyDescent="0.2">
      <c r="A66" s="14"/>
      <c r="B66" s="66" t="s">
        <v>142</v>
      </c>
      <c r="C66" s="69"/>
      <c r="D66" s="69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8">
        <f t="shared" si="60"/>
        <v>0</v>
      </c>
      <c r="Q66" s="140">
        <f>Q65+P66/$P$46</f>
        <v>1.3840301414244371</v>
      </c>
      <c r="R66" s="154">
        <f t="shared" si="59"/>
        <v>1901</v>
      </c>
      <c r="AC66" s="14"/>
      <c r="AD66" s="29"/>
      <c r="AE66" s="29"/>
      <c r="AF66" s="29"/>
      <c r="AG66" s="29"/>
      <c r="AH66" s="29"/>
      <c r="AI66" s="26"/>
      <c r="AJ66" s="26"/>
      <c r="AK66" s="29"/>
      <c r="AL66" s="29"/>
      <c r="AM66" s="29"/>
      <c r="AN66" s="29"/>
      <c r="AO66" s="29"/>
      <c r="AP66" s="36"/>
    </row>
    <row r="67" spans="1:42" s="5" customFormat="1" ht="17.25" customHeight="1" x14ac:dyDescent="0.2">
      <c r="A67" s="14"/>
      <c r="B67" s="9" t="s">
        <v>77</v>
      </c>
      <c r="C67" s="141">
        <f t="shared" ref="C67:N67" si="61">SUM(C47:C66)</f>
        <v>242</v>
      </c>
      <c r="D67" s="141">
        <f t="shared" si="61"/>
        <v>342.75</v>
      </c>
      <c r="E67" s="141">
        <f t="shared" si="61"/>
        <v>648.25</v>
      </c>
      <c r="F67" s="141">
        <f t="shared" si="61"/>
        <v>355.25</v>
      </c>
      <c r="G67" s="141">
        <f t="shared" si="61"/>
        <v>71.5</v>
      </c>
      <c r="H67" s="141">
        <f t="shared" si="61"/>
        <v>103</v>
      </c>
      <c r="I67" s="141">
        <f t="shared" si="61"/>
        <v>31.5</v>
      </c>
      <c r="J67" s="141">
        <f t="shared" si="61"/>
        <v>2.5</v>
      </c>
      <c r="K67" s="141">
        <f t="shared" si="61"/>
        <v>3</v>
      </c>
      <c r="L67" s="141">
        <f t="shared" si="61"/>
        <v>2</v>
      </c>
      <c r="M67" s="141">
        <f t="shared" si="61"/>
        <v>1.5</v>
      </c>
      <c r="N67" s="141">
        <f t="shared" si="61"/>
        <v>71.5</v>
      </c>
      <c r="O67" s="141">
        <f t="shared" ref="O67" si="62">SUM(O47:O66)</f>
        <v>26.25</v>
      </c>
      <c r="P67" s="148">
        <f t="shared" si="60"/>
        <v>1901</v>
      </c>
      <c r="Q67" s="142">
        <f>P67/$P$46</f>
        <v>1.3840301414244374</v>
      </c>
      <c r="R67" s="143" t="s">
        <v>77</v>
      </c>
      <c r="AC67" s="29"/>
      <c r="AD67" s="29"/>
      <c r="AE67" s="29"/>
      <c r="AF67" s="29"/>
      <c r="AG67" s="29"/>
      <c r="AH67" s="29"/>
      <c r="AI67" s="26" t="s">
        <v>59</v>
      </c>
      <c r="AJ67" s="26"/>
      <c r="AK67" s="29"/>
      <c r="AL67" s="29"/>
      <c r="AM67" s="29"/>
      <c r="AN67" s="29"/>
      <c r="AO67" s="29"/>
      <c r="AP67" s="36"/>
    </row>
    <row r="68" spans="1:42" s="5" customFormat="1" ht="17.25" customHeight="1" x14ac:dyDescent="0.2">
      <c r="A68" s="14"/>
      <c r="B68" s="144" t="s">
        <v>78</v>
      </c>
      <c r="C68" s="145">
        <f t="shared" ref="C68:N68" si="63">C46-C67</f>
        <v>66.507499999999993</v>
      </c>
      <c r="D68" s="145">
        <f t="shared" si="63"/>
        <v>137.04250000000002</v>
      </c>
      <c r="E68" s="145">
        <f t="shared" si="63"/>
        <v>-283.38750000000005</v>
      </c>
      <c r="F68" s="145">
        <f t="shared" si="63"/>
        <v>-178.96</v>
      </c>
      <c r="G68" s="145">
        <f t="shared" si="63"/>
        <v>-27.427500000000002</v>
      </c>
      <c r="H68" s="145">
        <f t="shared" si="63"/>
        <v>-103</v>
      </c>
      <c r="I68" s="145">
        <f t="shared" si="63"/>
        <v>-31.5</v>
      </c>
      <c r="J68" s="145">
        <f t="shared" si="63"/>
        <v>-2.5</v>
      </c>
      <c r="K68" s="145">
        <f t="shared" si="63"/>
        <v>-3</v>
      </c>
      <c r="L68" s="145">
        <f t="shared" si="63"/>
        <v>-2</v>
      </c>
      <c r="M68" s="145">
        <f t="shared" si="63"/>
        <v>-1.5</v>
      </c>
      <c r="N68" s="145">
        <f t="shared" si="63"/>
        <v>-71.5</v>
      </c>
      <c r="O68" s="145">
        <f t="shared" ref="O68" si="64">O46-O67</f>
        <v>-26.25</v>
      </c>
      <c r="P68" s="146">
        <f>P46-P67</f>
        <v>-527.47500000000014</v>
      </c>
      <c r="Q68" s="142">
        <f>P68/$P$46</f>
        <v>-0.38403014142443725</v>
      </c>
      <c r="R68" s="143" t="s">
        <v>114</v>
      </c>
      <c r="AC68" s="29"/>
      <c r="AD68" s="29"/>
      <c r="AE68" s="29"/>
      <c r="AF68" s="29"/>
      <c r="AG68" s="29"/>
      <c r="AH68" s="29"/>
      <c r="AI68" s="26" t="s">
        <v>60</v>
      </c>
      <c r="AJ68" s="26"/>
      <c r="AK68" s="29"/>
      <c r="AL68" s="29"/>
      <c r="AM68" s="29"/>
      <c r="AN68" s="29"/>
      <c r="AO68" s="29"/>
      <c r="AP68" s="36"/>
    </row>
    <row r="69" spans="1:42" s="5" customFormat="1" ht="18" customHeight="1" x14ac:dyDescent="0.2">
      <c r="A69" s="14"/>
      <c r="B69" s="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AC69" s="29"/>
      <c r="AD69" s="29"/>
      <c r="AE69" s="29"/>
      <c r="AF69" s="29"/>
      <c r="AG69" s="29"/>
      <c r="AH69" s="29"/>
      <c r="AI69" s="26" t="s">
        <v>61</v>
      </c>
      <c r="AJ69" s="26"/>
      <c r="AK69" s="29"/>
      <c r="AL69" s="29"/>
      <c r="AM69" s="29"/>
      <c r="AN69" s="29"/>
      <c r="AO69" s="29"/>
      <c r="AP69" s="36"/>
    </row>
    <row r="70" spans="1:42" s="5" customFormat="1" ht="17.25" customHeight="1" x14ac:dyDescent="0.2">
      <c r="B70" s="19" t="s">
        <v>133</v>
      </c>
      <c r="C70" s="126">
        <v>140</v>
      </c>
      <c r="D70" s="127">
        <v>100</v>
      </c>
      <c r="E70" s="127">
        <v>100</v>
      </c>
      <c r="F70" s="126">
        <v>100</v>
      </c>
      <c r="G70" s="126">
        <v>60</v>
      </c>
      <c r="H70" s="126">
        <v>140</v>
      </c>
      <c r="I70" s="126">
        <v>100</v>
      </c>
      <c r="J70" s="126">
        <v>140</v>
      </c>
      <c r="K70" s="126">
        <v>100</v>
      </c>
      <c r="L70" s="126">
        <v>100</v>
      </c>
      <c r="M70" s="126">
        <v>118</v>
      </c>
      <c r="N70" s="126">
        <v>35</v>
      </c>
      <c r="O70" s="126">
        <v>35</v>
      </c>
      <c r="AC70" s="1"/>
      <c r="AD70" s="1"/>
      <c r="AE70" s="1"/>
      <c r="AF70" s="1"/>
      <c r="AG70" s="1"/>
      <c r="AH70" s="1"/>
      <c r="AI70" s="26" t="s">
        <v>62</v>
      </c>
      <c r="AJ70" s="26"/>
      <c r="AK70" s="1"/>
      <c r="AL70" s="1"/>
      <c r="AM70" s="1"/>
      <c r="AN70" s="25"/>
      <c r="AO70" s="25"/>
      <c r="AP70" s="25"/>
    </row>
    <row r="71" spans="1:42" s="5" customFormat="1" ht="15" customHeight="1" x14ac:dyDescent="0.2">
      <c r="B71" s="150" t="s">
        <v>143</v>
      </c>
      <c r="C71" s="151">
        <f t="shared" ref="C71:N71" si="65">C67*C70</f>
        <v>33880</v>
      </c>
      <c r="D71" s="151">
        <f t="shared" si="65"/>
        <v>34275</v>
      </c>
      <c r="E71" s="151">
        <f t="shared" si="65"/>
        <v>64825</v>
      </c>
      <c r="F71" s="151">
        <f t="shared" si="65"/>
        <v>35525</v>
      </c>
      <c r="G71" s="151">
        <f t="shared" si="65"/>
        <v>4290</v>
      </c>
      <c r="H71" s="151">
        <f t="shared" si="65"/>
        <v>14420</v>
      </c>
      <c r="I71" s="151">
        <f t="shared" si="65"/>
        <v>3150</v>
      </c>
      <c r="J71" s="151">
        <f t="shared" si="65"/>
        <v>350</v>
      </c>
      <c r="K71" s="151">
        <f t="shared" si="65"/>
        <v>300</v>
      </c>
      <c r="L71" s="151">
        <f t="shared" si="65"/>
        <v>200</v>
      </c>
      <c r="M71" s="151">
        <f t="shared" si="65"/>
        <v>177</v>
      </c>
      <c r="N71" s="151">
        <f t="shared" si="65"/>
        <v>2502.5</v>
      </c>
      <c r="O71" s="151">
        <f t="shared" ref="O71" si="66">O67*O70</f>
        <v>918.75</v>
      </c>
      <c r="P71" s="151">
        <f>SUM(C71:N71)</f>
        <v>193894.5</v>
      </c>
      <c r="Q71" s="149" t="s">
        <v>132</v>
      </c>
      <c r="R71" s="37">
        <f>P71/P67</f>
        <v>101.99605470804839</v>
      </c>
      <c r="S71" s="5" t="s">
        <v>133</v>
      </c>
      <c r="T71" s="25"/>
      <c r="U71" s="25"/>
      <c r="V71" s="25"/>
      <c r="W71" s="25"/>
      <c r="X71" s="25"/>
      <c r="Y71" s="25"/>
      <c r="Z71" s="25"/>
      <c r="AA71" s="25"/>
    </row>
    <row r="72" spans="1:42" s="5" customFormat="1" ht="15" customHeight="1" x14ac:dyDescent="0.2">
      <c r="B72" s="14"/>
      <c r="E72" s="25"/>
      <c r="F72" s="25"/>
      <c r="G72" s="25"/>
      <c r="H72" s="25"/>
      <c r="I72" s="25"/>
      <c r="J72" s="25"/>
      <c r="K72" s="25"/>
      <c r="L72" s="25"/>
      <c r="M72" s="25"/>
      <c r="N72" s="26"/>
      <c r="O72" s="26"/>
      <c r="P72" s="26"/>
      <c r="Q72" s="26"/>
      <c r="R72" s="25"/>
      <c r="S72" s="25"/>
      <c r="T72" s="25"/>
      <c r="U72" s="25"/>
      <c r="V72" s="25"/>
      <c r="W72" s="25"/>
      <c r="X72" s="25"/>
      <c r="Y72" s="25"/>
      <c r="Z72" s="25"/>
      <c r="AA72" s="25"/>
    </row>
    <row r="73" spans="1:42" s="5" customFormat="1" ht="15" customHeight="1" x14ac:dyDescent="0.2">
      <c r="B73" s="19"/>
      <c r="E73" s="25"/>
      <c r="F73" s="25"/>
      <c r="G73" s="25"/>
      <c r="H73" s="25"/>
      <c r="I73" s="25"/>
      <c r="J73" s="25"/>
      <c r="K73" s="25"/>
      <c r="L73" s="25"/>
      <c r="M73" s="25"/>
      <c r="N73" s="26"/>
      <c r="O73" s="26"/>
      <c r="P73" s="26"/>
      <c r="Q73" s="26"/>
      <c r="R73" s="25"/>
      <c r="S73" s="25"/>
      <c r="T73" s="25"/>
      <c r="U73" s="25"/>
      <c r="V73" s="25"/>
      <c r="W73" s="25"/>
      <c r="X73" s="25"/>
      <c r="Y73" s="25"/>
      <c r="Z73" s="25"/>
      <c r="AA73" s="25"/>
    </row>
    <row r="74" spans="1:42" s="5" customFormat="1" ht="15" customHeight="1" x14ac:dyDescent="0.2">
      <c r="B74" s="19"/>
      <c r="E74" s="25"/>
      <c r="F74" s="25"/>
      <c r="G74" s="25"/>
      <c r="H74" s="25"/>
      <c r="I74" s="25"/>
      <c r="J74" s="25"/>
      <c r="K74" s="25"/>
      <c r="L74" s="25"/>
      <c r="M74" s="25"/>
      <c r="N74" s="26"/>
      <c r="O74" s="26"/>
      <c r="P74" s="26"/>
      <c r="Q74" s="26"/>
      <c r="R74" s="25"/>
      <c r="S74" s="25"/>
      <c r="T74" s="25"/>
      <c r="U74" s="25"/>
      <c r="V74" s="25"/>
      <c r="W74" s="25"/>
      <c r="X74" s="25"/>
      <c r="Y74" s="25"/>
      <c r="Z74" s="25"/>
      <c r="AA74" s="25"/>
    </row>
    <row r="75" spans="1:42" s="5" customFormat="1" ht="15" customHeight="1" x14ac:dyDescent="0.2">
      <c r="B75" s="19"/>
      <c r="E75" s="25"/>
      <c r="F75" s="25"/>
      <c r="G75" s="25"/>
      <c r="H75" s="25"/>
      <c r="I75" s="25"/>
      <c r="J75" s="25"/>
      <c r="K75" s="25"/>
      <c r="L75" s="25"/>
      <c r="M75" s="25"/>
      <c r="N75" s="26"/>
      <c r="O75" s="26"/>
      <c r="P75" s="26"/>
      <c r="Q75" s="26"/>
      <c r="R75" s="25"/>
      <c r="S75" s="25"/>
      <c r="T75" s="25"/>
      <c r="U75" s="25"/>
      <c r="V75" s="25"/>
      <c r="W75" s="25"/>
      <c r="X75" s="25"/>
      <c r="Y75" s="25"/>
      <c r="Z75" s="25"/>
      <c r="AA75" s="25"/>
    </row>
    <row r="76" spans="1:42" s="5" customFormat="1" ht="15" customHeight="1" x14ac:dyDescent="0.2">
      <c r="B76" s="14"/>
      <c r="E76" s="25"/>
      <c r="F76" s="25"/>
      <c r="G76" s="25"/>
      <c r="H76" s="25"/>
      <c r="I76" s="25"/>
      <c r="J76" s="25"/>
      <c r="K76" s="25"/>
      <c r="L76" s="25"/>
      <c r="M76" s="25"/>
      <c r="N76" s="26"/>
      <c r="O76" s="26"/>
      <c r="P76" s="26"/>
      <c r="Q76" s="26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42" s="5" customFormat="1" ht="15" customHeight="1" x14ac:dyDescent="0.2">
      <c r="B77" s="14"/>
      <c r="E77" s="25"/>
      <c r="F77" s="25"/>
      <c r="G77" s="25"/>
      <c r="H77" s="25"/>
      <c r="I77" s="25"/>
      <c r="J77" s="25"/>
      <c r="K77" s="25"/>
      <c r="L77" s="25"/>
      <c r="M77" s="25"/>
      <c r="N77" s="26"/>
      <c r="O77" s="26"/>
      <c r="P77" s="26"/>
      <c r="Q77" s="26"/>
      <c r="R77" s="25"/>
      <c r="S77" s="25"/>
      <c r="T77" s="25"/>
      <c r="U77" s="25"/>
      <c r="V77" s="25"/>
      <c r="W77" s="25"/>
      <c r="X77" s="25"/>
      <c r="AA77" s="25"/>
    </row>
    <row r="78" spans="1:42" s="5" customFormat="1" ht="15" customHeight="1" x14ac:dyDescent="0.2">
      <c r="B78" s="14"/>
      <c r="E78" s="25"/>
      <c r="F78" s="25"/>
      <c r="G78" s="25"/>
      <c r="H78" s="25"/>
      <c r="I78" s="25"/>
      <c r="J78" s="25"/>
      <c r="K78" s="25"/>
      <c r="L78" s="25"/>
      <c r="M78" s="25"/>
      <c r="N78" s="26"/>
      <c r="O78" s="26"/>
      <c r="P78" s="26"/>
      <c r="Q78" s="26"/>
      <c r="R78" s="25"/>
      <c r="S78" s="25"/>
      <c r="T78" s="25"/>
      <c r="U78" s="25"/>
      <c r="V78" s="25"/>
      <c r="W78" s="25"/>
      <c r="X78" s="25"/>
      <c r="Y78" s="25"/>
      <c r="Z78" s="25"/>
      <c r="AA78" s="25"/>
    </row>
    <row r="79" spans="1:42" x14ac:dyDescent="0.2">
      <c r="B79" s="10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6"/>
      <c r="O79" s="26"/>
      <c r="P79" s="26"/>
      <c r="Q79" s="26"/>
      <c r="R79" s="2"/>
      <c r="S79" s="2"/>
      <c r="T79" s="2"/>
      <c r="U79" s="2"/>
      <c r="V79" s="2"/>
      <c r="W79" s="2"/>
      <c r="X79" s="2"/>
      <c r="Y79" s="2"/>
      <c r="Z79" s="2"/>
      <c r="AA79" s="28" t="s">
        <v>63</v>
      </c>
      <c r="AB79" s="4"/>
    </row>
    <row r="80" spans="1:42" x14ac:dyDescent="0.2">
      <c r="A80" s="10"/>
      <c r="B80" s="10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4"/>
    </row>
    <row r="81" spans="1:28" x14ac:dyDescent="0.2">
      <c r="A81" s="10"/>
      <c r="B81" s="10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4"/>
    </row>
    <row r="82" spans="1:28" x14ac:dyDescent="0.2">
      <c r="A82" s="10"/>
      <c r="B82" s="10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4"/>
    </row>
    <row r="83" spans="1:28" x14ac:dyDescent="0.2">
      <c r="A83" s="10"/>
      <c r="B83" s="10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4"/>
    </row>
    <row r="84" spans="1:28" x14ac:dyDescent="0.2">
      <c r="A84" s="10"/>
      <c r="B84" s="10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4"/>
    </row>
    <row r="85" spans="1:28" x14ac:dyDescent="0.2">
      <c r="A85" s="10"/>
      <c r="B85" s="10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4"/>
    </row>
    <row r="86" spans="1:28" x14ac:dyDescent="0.2">
      <c r="A86" s="10"/>
      <c r="B86" s="10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4"/>
    </row>
  </sheetData>
  <mergeCells count="16">
    <mergeCell ref="U6:W6"/>
    <mergeCell ref="U7:W7"/>
    <mergeCell ref="X6:Y6"/>
    <mergeCell ref="X7:Y7"/>
    <mergeCell ref="Z6:AA6"/>
    <mergeCell ref="Z7:AA7"/>
    <mergeCell ref="C6:D7"/>
    <mergeCell ref="E6:G7"/>
    <mergeCell ref="H7:I7"/>
    <mergeCell ref="J6:L6"/>
    <mergeCell ref="J7:L7"/>
    <mergeCell ref="M6:P6"/>
    <mergeCell ref="M7:P7"/>
    <mergeCell ref="Q6:T6"/>
    <mergeCell ref="Q7:T7"/>
    <mergeCell ref="H6:I6"/>
  </mergeCells>
  <phoneticPr fontId="0" type="noConversion"/>
  <printOptions horizontalCentered="1"/>
  <pageMargins left="0.19685039370078741" right="0.19685039370078741" top="0.39" bottom="0.39370078740157483" header="0.24" footer="0.19685039370078741"/>
  <pageSetup paperSize="8" scale="71" fitToHeight="2" orientation="landscape" r:id="rId1"/>
  <headerFooter alignWithMargins="0">
    <oddHeader>&amp;R&amp;7&amp;G</oddHeader>
    <oddFooter>&amp;L&amp;8&amp;F/L. Falzone&amp;R&amp;8Seite &amp;P / &amp;N</oddFooter>
  </headerFooter>
  <rowBreaks count="1" manualBreakCount="1">
    <brk id="69" max="22" man="1"/>
  </rowBreaks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zoomScale="130" zoomScaleNormal="130" workbookViewId="0">
      <selection activeCell="F22" sqref="F22"/>
    </sheetView>
  </sheetViews>
  <sheetFormatPr baseColWidth="10" defaultRowHeight="12.75" x14ac:dyDescent="0.2"/>
  <cols>
    <col min="4" max="4" width="7.85546875" customWidth="1"/>
    <col min="5" max="7" width="9.42578125" customWidth="1"/>
  </cols>
  <sheetData>
    <row r="1" spans="1:11" x14ac:dyDescent="0.2">
      <c r="A1" s="156" t="s">
        <v>147</v>
      </c>
      <c r="I1" s="156" t="s">
        <v>161</v>
      </c>
      <c r="K1" s="155" t="s">
        <v>162</v>
      </c>
    </row>
    <row r="3" spans="1:11" x14ac:dyDescent="0.2">
      <c r="E3" s="161" t="s">
        <v>153</v>
      </c>
      <c r="F3" s="161" t="s">
        <v>154</v>
      </c>
      <c r="G3" s="161" t="s">
        <v>158</v>
      </c>
    </row>
    <row r="4" spans="1:11" x14ac:dyDescent="0.2">
      <c r="A4" t="s">
        <v>148</v>
      </c>
      <c r="E4">
        <v>210</v>
      </c>
      <c r="F4" s="158">
        <v>1785</v>
      </c>
    </row>
    <row r="5" spans="1:11" x14ac:dyDescent="0.2">
      <c r="F5" s="158"/>
    </row>
    <row r="6" spans="1:11" x14ac:dyDescent="0.2">
      <c r="A6" s="156" t="s">
        <v>149</v>
      </c>
      <c r="B6" s="156"/>
      <c r="C6" s="156" t="s">
        <v>151</v>
      </c>
      <c r="E6" s="156"/>
      <c r="F6" s="160">
        <f>MROUND(F4*0.85,5)</f>
        <v>1515</v>
      </c>
      <c r="G6" s="160"/>
      <c r="I6" s="156">
        <v>760</v>
      </c>
      <c r="K6" s="160">
        <f>F6+I6</f>
        <v>2275</v>
      </c>
    </row>
    <row r="7" spans="1:11" x14ac:dyDescent="0.2">
      <c r="A7" s="155" t="s">
        <v>166</v>
      </c>
      <c r="C7" s="163"/>
      <c r="E7" s="190">
        <f>E23*0.95</f>
        <v>79.325000000000003</v>
      </c>
      <c r="F7" s="190">
        <f>F23*0.95</f>
        <v>674.26249999999993</v>
      </c>
      <c r="H7">
        <f>H23*0.95</f>
        <v>19</v>
      </c>
      <c r="I7" s="190">
        <f>H7*8.5</f>
        <v>161.5</v>
      </c>
      <c r="K7" s="157">
        <f t="shared" ref="K7:K14" si="0">F7+I7</f>
        <v>835.76249999999993</v>
      </c>
    </row>
    <row r="8" spans="1:11" x14ac:dyDescent="0.2">
      <c r="A8" s="186" t="s">
        <v>165</v>
      </c>
      <c r="B8" s="186"/>
      <c r="C8" s="187"/>
      <c r="D8" s="186"/>
      <c r="E8" s="186"/>
      <c r="F8" s="186">
        <v>200</v>
      </c>
      <c r="G8" s="186"/>
      <c r="H8" s="186"/>
      <c r="I8" s="186"/>
      <c r="J8" s="186"/>
    </row>
    <row r="9" spans="1:11" x14ac:dyDescent="0.2">
      <c r="A9" s="155" t="s">
        <v>167</v>
      </c>
      <c r="F9" s="162"/>
      <c r="G9" s="162"/>
      <c r="H9" s="162"/>
      <c r="I9" s="162">
        <v>250</v>
      </c>
      <c r="J9" s="162"/>
      <c r="K9" s="162"/>
    </row>
    <row r="10" spans="1:11" x14ac:dyDescent="0.2">
      <c r="A10" s="156" t="s">
        <v>159</v>
      </c>
      <c r="B10" s="156"/>
      <c r="C10" s="156"/>
      <c r="D10" s="156"/>
      <c r="E10" s="156"/>
      <c r="F10" s="160">
        <f>F6+F7+F8</f>
        <v>2389.2624999999998</v>
      </c>
      <c r="I10" s="160">
        <f>I6+I7+I9</f>
        <v>1171.5</v>
      </c>
      <c r="K10" s="160">
        <f>SUM(F10:I10)</f>
        <v>3560.7624999999998</v>
      </c>
    </row>
    <row r="11" spans="1:11" x14ac:dyDescent="0.2">
      <c r="K11" s="157"/>
    </row>
    <row r="12" spans="1:11" x14ac:dyDescent="0.2">
      <c r="A12" s="155" t="s">
        <v>155</v>
      </c>
      <c r="C12" s="163"/>
      <c r="F12" s="157">
        <f>'311.035.QFO'!R59</f>
        <v>1901</v>
      </c>
      <c r="G12" s="164">
        <f>'311.035.QFO'!P71</f>
        <v>193894.5</v>
      </c>
      <c r="I12">
        <v>710</v>
      </c>
      <c r="K12" s="157">
        <f t="shared" si="0"/>
        <v>2611</v>
      </c>
    </row>
    <row r="13" spans="1:11" x14ac:dyDescent="0.2">
      <c r="A13" s="155" t="s">
        <v>156</v>
      </c>
      <c r="F13" s="162">
        <v>408</v>
      </c>
      <c r="G13" s="165">
        <v>36878.75</v>
      </c>
      <c r="H13" s="157"/>
      <c r="I13" s="162">
        <v>600</v>
      </c>
      <c r="K13" s="188">
        <f t="shared" si="0"/>
        <v>1008</v>
      </c>
    </row>
    <row r="14" spans="1:11" x14ac:dyDescent="0.2">
      <c r="A14" s="155" t="s">
        <v>157</v>
      </c>
      <c r="F14" s="157">
        <f>SUM(F12:F13)</f>
        <v>2309</v>
      </c>
      <c r="G14" s="164">
        <f>SUM(G12:G13)</f>
        <v>230773.25</v>
      </c>
      <c r="I14">
        <f>SUM(I12:I13)</f>
        <v>1310</v>
      </c>
      <c r="K14" s="157">
        <f t="shared" si="0"/>
        <v>3619</v>
      </c>
    </row>
    <row r="15" spans="1:11" x14ac:dyDescent="0.2">
      <c r="K15" s="157"/>
    </row>
    <row r="16" spans="1:11" x14ac:dyDescent="0.2">
      <c r="A16" s="156" t="s">
        <v>160</v>
      </c>
      <c r="B16" s="156"/>
      <c r="C16" s="156"/>
      <c r="D16" s="156"/>
      <c r="E16" s="156"/>
      <c r="F16" s="189">
        <f>F14-F10</f>
        <v>-80.262499999999818</v>
      </c>
      <c r="G16" s="156"/>
      <c r="H16" s="156"/>
      <c r="I16" s="189">
        <f>I14-I10</f>
        <v>138.5</v>
      </c>
      <c r="J16" s="156"/>
      <c r="K16" s="189">
        <f>SUM(F16:I16)</f>
        <v>58.237500000000182</v>
      </c>
    </row>
    <row r="19" spans="1:11" x14ac:dyDescent="0.2">
      <c r="K19" s="158">
        <f>K16+I9</f>
        <v>308.23750000000018</v>
      </c>
    </row>
    <row r="23" spans="1:11" x14ac:dyDescent="0.2">
      <c r="A23" s="155" t="s">
        <v>152</v>
      </c>
      <c r="C23" s="163"/>
      <c r="E23">
        <v>83.5</v>
      </c>
      <c r="F23" s="184">
        <f>E23*8.5</f>
        <v>709.75</v>
      </c>
      <c r="H23">
        <v>20</v>
      </c>
      <c r="I23">
        <f>H23*8.5</f>
        <v>170</v>
      </c>
      <c r="K23" s="157"/>
    </row>
  </sheetData>
  <pageMargins left="0.70866141732283472" right="0.70866141732283472" top="0.78740157480314965" bottom="0.78740157480314965" header="0.31496062992125984" footer="0.31496062992125984"/>
  <pageSetup paperSize="9" orientation="landscape" r:id="rId1"/>
  <headerFooter>
    <oddHeader>&amp;LEP SIEP</oddHeader>
    <oddFooter>&amp;L&amp;F&amp;R&amp;D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311.035.QFO</vt:lpstr>
      <vt:lpstr>Tabelle1</vt:lpstr>
      <vt:lpstr>'311.035.QFO'!Druckbereich</vt:lpstr>
      <vt:lpstr>'311.035.QFO'!Drucktitel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Mustervorlage AeBo</dc:title>
  <dc:subject>Formatierung Fusszeile</dc:subject>
  <dc:creator>Zenners Guy</dc:creator>
  <cp:lastModifiedBy>Falzone Lorenzo</cp:lastModifiedBy>
  <cp:lastPrinted>2014-05-14T16:32:04Z</cp:lastPrinted>
  <dcterms:created xsi:type="dcterms:W3CDTF">1998-07-10T06:18:39Z</dcterms:created>
  <dcterms:modified xsi:type="dcterms:W3CDTF">2014-05-14T16:32:56Z</dcterms:modified>
</cp:coreProperties>
</file>