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270"/>
  </bookViews>
  <sheets>
    <sheet name="MP-DP" sheetId="2" r:id="rId1"/>
  </sheets>
  <definedNames>
    <definedName name="_xlnm.Print_Area" localSheetId="0">'MP-DP'!$A$1:$G$37</definedName>
  </definedNames>
  <calcPr calcId="145621"/>
</workbook>
</file>

<file path=xl/calcChain.xml><?xml version="1.0" encoding="utf-8"?>
<calcChain xmlns="http://schemas.openxmlformats.org/spreadsheetml/2006/main">
  <c r="J28" i="2" l="1"/>
  <c r="J26" i="2"/>
  <c r="E30" i="2" l="1"/>
  <c r="E28" i="2"/>
  <c r="E26" i="2"/>
  <c r="E22" i="2"/>
  <c r="E20" i="2"/>
  <c r="E17" i="2"/>
  <c r="E14" i="2"/>
  <c r="E13" i="2"/>
  <c r="E12" i="2"/>
  <c r="E8" i="2"/>
  <c r="Q26" i="2" l="1"/>
  <c r="Q13" i="2"/>
  <c r="Q12" i="2"/>
  <c r="O34" i="2" l="1"/>
  <c r="N30" i="2"/>
  <c r="O30" i="2" s="1"/>
  <c r="N28" i="2"/>
  <c r="O28" i="2" s="1"/>
  <c r="N26" i="2"/>
  <c r="N22" i="2"/>
  <c r="O22" i="2" s="1"/>
  <c r="N20" i="2"/>
  <c r="O20" i="2" s="1"/>
  <c r="N17" i="2"/>
  <c r="N24" i="2" s="1"/>
  <c r="N16" i="2" s="1"/>
  <c r="N14" i="2"/>
  <c r="O14" i="2" s="1"/>
  <c r="N13" i="2"/>
  <c r="O13" i="2" s="1"/>
  <c r="N12" i="2"/>
  <c r="O12" i="2" s="1"/>
  <c r="N8" i="2"/>
  <c r="O8" i="2" s="1"/>
  <c r="M25" i="2"/>
  <c r="M16" i="2"/>
  <c r="M7" i="2"/>
  <c r="K28" i="2"/>
  <c r="L28" i="2" s="1"/>
  <c r="C28" i="2" s="1"/>
  <c r="K17" i="2"/>
  <c r="L17" i="2" s="1"/>
  <c r="C17" i="2" s="1"/>
  <c r="L34" i="2"/>
  <c r="J30" i="2"/>
  <c r="K30" i="2" s="1"/>
  <c r="L30" i="2" s="1"/>
  <c r="C30" i="2" s="1"/>
  <c r="K26" i="2"/>
  <c r="L26" i="2" s="1"/>
  <c r="J22" i="2"/>
  <c r="K22" i="2" s="1"/>
  <c r="L22" i="2" s="1"/>
  <c r="C22" i="2" s="1"/>
  <c r="J20" i="2"/>
  <c r="K20" i="2" s="1"/>
  <c r="L20" i="2" s="1"/>
  <c r="C20" i="2" s="1"/>
  <c r="J17" i="2"/>
  <c r="J14" i="2"/>
  <c r="K14" i="2" s="1"/>
  <c r="L14" i="2" s="1"/>
  <c r="C14" i="2" s="1"/>
  <c r="J13" i="2"/>
  <c r="K13" i="2" s="1"/>
  <c r="L13" i="2" s="1"/>
  <c r="C13" i="2" s="1"/>
  <c r="J12" i="2"/>
  <c r="K12" i="2" s="1"/>
  <c r="L12" i="2" s="1"/>
  <c r="C12" i="2" s="1"/>
  <c r="J8" i="2"/>
  <c r="L8" i="2" l="1"/>
  <c r="C8" i="2" s="1"/>
  <c r="K8" i="2"/>
  <c r="C26" i="2"/>
  <c r="L25" i="2"/>
  <c r="L7" i="2"/>
  <c r="J16" i="2"/>
  <c r="L16" i="2"/>
  <c r="O17" i="2"/>
  <c r="J25" i="2"/>
  <c r="J7" i="2"/>
  <c r="N33" i="2"/>
  <c r="N25" i="2" s="1"/>
  <c r="E33" i="2"/>
  <c r="O26" i="2"/>
  <c r="O16" i="2"/>
  <c r="E24" i="2"/>
  <c r="O7" i="2"/>
  <c r="N15" i="2"/>
  <c r="E15" i="2" s="1"/>
  <c r="M34" i="2"/>
  <c r="K33" i="2"/>
  <c r="K24" i="2"/>
  <c r="K15" i="2"/>
  <c r="J34" i="2"/>
  <c r="K16" i="2" l="1"/>
  <c r="C24" i="2"/>
  <c r="G24" i="2" s="1"/>
  <c r="I24" i="2" s="1"/>
  <c r="C15" i="2"/>
  <c r="K7" i="2"/>
  <c r="C33" i="2"/>
  <c r="G33" i="2" s="1"/>
  <c r="K25" i="2"/>
  <c r="N34" i="2"/>
  <c r="O25" i="2"/>
  <c r="E7" i="2"/>
  <c r="N7" i="2"/>
  <c r="K34" i="2"/>
  <c r="I33" i="2" l="1"/>
  <c r="G15" i="2"/>
  <c r="I15" i="2" s="1"/>
  <c r="C25" i="2" l="1"/>
  <c r="G28" i="2"/>
  <c r="I28" i="2" s="1"/>
  <c r="G22" i="2"/>
  <c r="I22" i="2" s="1"/>
  <c r="C16" i="2"/>
  <c r="E25" i="2"/>
  <c r="E16" i="2"/>
  <c r="C7" i="2"/>
  <c r="C34" i="2" s="1"/>
  <c r="G14" i="2"/>
  <c r="I14" i="2" s="1"/>
  <c r="E34" i="2" l="1"/>
  <c r="G13" i="2"/>
  <c r="I13" i="2" s="1"/>
  <c r="G12" i="2" l="1"/>
  <c r="I12" i="2" s="1"/>
  <c r="G30" i="2"/>
  <c r="I30" i="2" s="1"/>
  <c r="G26" i="2"/>
  <c r="I26" i="2" s="1"/>
  <c r="G20" i="2"/>
  <c r="I20" i="2" s="1"/>
  <c r="G17" i="2"/>
  <c r="G8" i="2"/>
  <c r="I8" i="2" s="1"/>
  <c r="I17" i="2" l="1"/>
  <c r="G16" i="2"/>
  <c r="I16" i="2" s="1"/>
  <c r="G7" i="2"/>
  <c r="I7" i="2" s="1"/>
  <c r="G25" i="2"/>
  <c r="I25" i="2" s="1"/>
  <c r="G34" i="2" l="1"/>
  <c r="I34" i="2" s="1"/>
</calcChain>
</file>

<file path=xl/sharedStrings.xml><?xml version="1.0" encoding="utf-8"?>
<sst xmlns="http://schemas.openxmlformats.org/spreadsheetml/2006/main" count="75" uniqueCount="64">
  <si>
    <t>EP SiEp</t>
  </si>
  <si>
    <t>Fachbereich</t>
  </si>
  <si>
    <t>Differenz</t>
  </si>
  <si>
    <t>K, Teil AeBo</t>
  </si>
  <si>
    <t>9 Objekte mit BS 3.0 Mio</t>
  </si>
  <si>
    <t>Feststellung</t>
  </si>
  <si>
    <t>[h]</t>
  </si>
  <si>
    <t>1 Überführung, BS 12 Mio</t>
  </si>
  <si>
    <t>T/G, Teil AeBo</t>
  </si>
  <si>
    <t>T/U Teil AeBo</t>
  </si>
  <si>
    <r>
      <t xml:space="preserve">8 Objekte mit BS </t>
    </r>
    <r>
      <rPr>
        <sz val="10"/>
        <rFont val="Arial"/>
        <family val="2"/>
      </rPr>
      <t>2.0 Mio</t>
    </r>
  </si>
  <si>
    <t>Begründung zu Anpassung</t>
  </si>
  <si>
    <t>2 Objekte, BS 9.3 Mio</t>
  </si>
  <si>
    <t>2 Objekte, BS 4 Mio</t>
  </si>
  <si>
    <t>Keine Längsunterteilung</t>
  </si>
  <si>
    <t>2 Längsetappen</t>
  </si>
  <si>
    <t>Instandsetzung plus</t>
  </si>
  <si>
    <t xml:space="preserve">Bemerkung: </t>
  </si>
  <si>
    <t>Zwischentotal</t>
  </si>
  <si>
    <t>TP 1 - Tunnel / Geotechnik</t>
  </si>
  <si>
    <t>TP 2 - Trasse / Umwelt</t>
  </si>
  <si>
    <t>TP 3 - Kunstbauten</t>
  </si>
  <si>
    <t>T/G, Teil PNP-JS</t>
  </si>
  <si>
    <t>T/U Teil JS</t>
  </si>
  <si>
    <t>K, Teil JS</t>
  </si>
  <si>
    <t>Stand 04.05.2015</t>
  </si>
  <si>
    <t>Kostenbetrachtung in etwa vergleichbar.</t>
  </si>
  <si>
    <t>5 Objekte, BS 1.6 Mio</t>
  </si>
  <si>
    <t>5 Objekte, BS 7.8 Mio</t>
  </si>
  <si>
    <t>Wesentlich umfangreichere und komplexere Massnahmen bei allen Objekten.</t>
  </si>
  <si>
    <t>15 Objekte, BS 1 Mio</t>
  </si>
  <si>
    <t>10 Objekte, BS 3 Mio</t>
  </si>
  <si>
    <t>14 Objekte, BS 12.6 Mio</t>
  </si>
  <si>
    <t>6 Objekte, BS 1 Mio</t>
  </si>
  <si>
    <t>9 Objekte, BS 5.9 Mio</t>
  </si>
  <si>
    <t>5 Objekte, BS 0.6 Mio</t>
  </si>
  <si>
    <t>Mehraufwand:</t>
  </si>
  <si>
    <t>Instandsetzung plus Wandverlängerungen</t>
  </si>
  <si>
    <t>Ausgangslage (Honorarofferte)</t>
  </si>
  <si>
    <t>MP Aktuell (Stand 04.05.15)</t>
  </si>
  <si>
    <t>Meldung der TPL</t>
  </si>
  <si>
    <t xml:space="preserve">Erste Kalkulationsabschätzung Phase MP / DP             </t>
  </si>
  <si>
    <t>Anteil Projektleitung jeweils ca. 10%</t>
  </si>
  <si>
    <t>-Tunnel</t>
  </si>
  <si>
    <t>-Schutzbauten</t>
  </si>
  <si>
    <t>-Rutschhänge</t>
  </si>
  <si>
    <t>-Stützbauwerke</t>
  </si>
  <si>
    <t>-Lärm</t>
  </si>
  <si>
    <t>-Verkehr/Umwelt</t>
  </si>
  <si>
    <t>-Trasse/Umwelt</t>
  </si>
  <si>
    <t>K, Teil AeBo; WQ</t>
  </si>
  <si>
    <t>Die Angaben bez. Stützbauwerke fehlen noch, abhängig der Resultate aus der PFS vom 30.04.15</t>
  </si>
  <si>
    <t>Weitergehende Massnahmen Bankett, Löschwasserleitung, Deckbelagsersatz, Wandbeschichtung etc. kein sep. Dossier Löschwasserleitung.</t>
  </si>
  <si>
    <t>---</t>
  </si>
  <si>
    <t>1 Unterführung mit Bach, BS 7 Mio</t>
  </si>
  <si>
    <t>Div. Punkte aus MK werden erst im MP untersucht (Zäune, FZRS, etc.)</t>
  </si>
  <si>
    <t>Deutlich weniger Objekte, darum weniger Aufwand.</t>
  </si>
  <si>
    <t>Mehraufwand durch neue Sackung Zunzgen.</t>
  </si>
  <si>
    <r>
      <t>Noch in Bearbeitung</t>
    </r>
    <r>
      <rPr>
        <sz val="10"/>
        <color theme="1"/>
        <rFont val="Arial"/>
        <family val="2"/>
      </rPr>
      <t xml:space="preserve"> [Berücksichtigt sind dabei auch alle Zusatzuntersuchungen (erdseitige Bewehrung, etc.)].</t>
    </r>
  </si>
  <si>
    <t>Zusätzliche Etappen.</t>
  </si>
  <si>
    <t>Komplexität gleichwertig / Anpassung über Anz. Objekte (ca. 30%).</t>
  </si>
  <si>
    <t>Statisch einfacher, Etappierung aufwendiger, zusätzl. Dossier  DP T-U, "zusätzlicher Bauherr" über alles Reduktion ca. 25%</t>
  </si>
  <si>
    <t>Erheblich höhere Anforderungen bezgl. Dokumentation. Aufwandschätzung basiert auf: Anteil MP T-U / 1 Doss. K-light für Wandersatz / 1 Dossier SSF (nicht gem. FHB).</t>
  </si>
  <si>
    <t>Viele Elemente werden bereits aus der Phase 51 im MP erstellt um dabei eine Stabilität in der Submission zu erlangen. Zusätzlich beinhaltet das T/U auch die Sammlung der Unterlagen.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</si>
</sst>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4"/>
      <color rgb="FFFF0000"/>
      <name val="Arial"/>
      <family val="2"/>
    </font>
    <font>
      <i/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3" xfId="1" quotePrefix="1" applyNumberFormat="1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4" fontId="0" fillId="0" borderId="4" xfId="1" applyNumberFormat="1" applyFont="1" applyBorder="1" applyAlignment="1">
      <alignment horizontal="center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164" fontId="9" fillId="2" borderId="3" xfId="1" applyNumberFormat="1" applyFont="1" applyFill="1" applyBorder="1" applyAlignment="1">
      <alignment horizontal="center" vertical="center"/>
    </xf>
    <xf numFmtId="164" fontId="8" fillId="0" borderId="0" xfId="0" applyNumberFormat="1" applyFo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8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164" fontId="6" fillId="4" borderId="3" xfId="1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5" xfId="0" applyFill="1" applyBorder="1" applyAlignment="1">
      <alignment vertical="center"/>
    </xf>
    <xf numFmtId="164" fontId="0" fillId="4" borderId="2" xfId="1" applyNumberFormat="1" applyFont="1" applyFill="1" applyBorder="1" applyAlignment="1">
      <alignment horizontal="center" vertical="center"/>
    </xf>
    <xf numFmtId="164" fontId="0" fillId="4" borderId="9" xfId="1" applyNumberFormat="1" applyFont="1" applyFill="1" applyBorder="1" applyAlignment="1">
      <alignment horizontal="center" vertical="center"/>
    </xf>
    <xf numFmtId="164" fontId="1" fillId="4" borderId="3" xfId="1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0" fillId="3" borderId="11" xfId="0" quotePrefix="1" applyFill="1" applyBorder="1"/>
    <xf numFmtId="0" fontId="7" fillId="0" borderId="0" xfId="0" quotePrefix="1" applyFont="1"/>
    <xf numFmtId="0" fontId="10" fillId="0" borderId="0" xfId="0" applyFont="1"/>
    <xf numFmtId="0" fontId="0" fillId="0" borderId="3" xfId="0" quotePrefix="1" applyFont="1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3" borderId="3" xfId="0" quotePrefix="1" applyFont="1" applyFill="1" applyBorder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164" fontId="6" fillId="3" borderId="3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12" fillId="0" borderId="3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9" fontId="0" fillId="0" borderId="0" xfId="2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quotePrefix="1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quotePrefix="1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9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right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80" zoomScaleNormal="80" workbookViewId="0">
      <selection activeCell="F48" sqref="F48"/>
    </sheetView>
  </sheetViews>
  <sheetFormatPr baseColWidth="10" defaultRowHeight="12.75" x14ac:dyDescent="0.2"/>
  <cols>
    <col min="1" max="1" width="32.140625" customWidth="1"/>
    <col min="2" max="2" width="23.140625" customWidth="1"/>
    <col min="3" max="3" width="8.140625" bestFit="1" customWidth="1"/>
    <col min="4" max="4" width="22" customWidth="1"/>
    <col min="5" max="5" width="8.140625" bestFit="1" customWidth="1"/>
    <col min="6" max="6" width="55.28515625" customWidth="1"/>
    <col min="7" max="7" width="7.85546875" bestFit="1" customWidth="1"/>
    <col min="10" max="10" width="8.140625" bestFit="1" customWidth="1"/>
    <col min="11" max="11" width="8" bestFit="1" customWidth="1"/>
    <col min="12" max="12" width="7.140625" bestFit="1" customWidth="1"/>
    <col min="14" max="14" width="7" bestFit="1" customWidth="1"/>
    <col min="15" max="15" width="7.140625" bestFit="1" customWidth="1"/>
  </cols>
  <sheetData>
    <row r="1" spans="1:17" ht="15.75" x14ac:dyDescent="0.25">
      <c r="A1" s="1" t="s">
        <v>0</v>
      </c>
    </row>
    <row r="2" spans="1:17" ht="18" x14ac:dyDescent="0.25">
      <c r="A2" s="50" t="s">
        <v>41</v>
      </c>
      <c r="F2" s="108" t="s">
        <v>25</v>
      </c>
      <c r="G2" s="108"/>
      <c r="M2" s="71" t="s">
        <v>40</v>
      </c>
      <c r="N2" s="72"/>
      <c r="O2" s="73"/>
    </row>
    <row r="3" spans="1:17" ht="7.5" customHeight="1" x14ac:dyDescent="0.2">
      <c r="J3" s="83" t="s">
        <v>38</v>
      </c>
      <c r="K3" s="84"/>
      <c r="L3" s="84"/>
      <c r="M3" s="85" t="s">
        <v>39</v>
      </c>
      <c r="N3" s="86"/>
      <c r="O3" s="87"/>
    </row>
    <row r="4" spans="1:17" x14ac:dyDescent="0.2">
      <c r="A4" s="2" t="s">
        <v>1</v>
      </c>
      <c r="B4" s="95" t="s">
        <v>38</v>
      </c>
      <c r="C4" s="95"/>
      <c r="D4" s="96" t="s">
        <v>39</v>
      </c>
      <c r="E4" s="96"/>
      <c r="F4" s="2" t="s">
        <v>11</v>
      </c>
      <c r="G4" s="3" t="s">
        <v>2</v>
      </c>
      <c r="K4">
        <v>10</v>
      </c>
      <c r="N4">
        <v>10</v>
      </c>
    </row>
    <row r="5" spans="1:17" x14ac:dyDescent="0.2">
      <c r="A5" s="2"/>
      <c r="B5" s="28" t="s">
        <v>5</v>
      </c>
      <c r="C5" s="29" t="s">
        <v>6</v>
      </c>
      <c r="D5" s="2" t="s">
        <v>5</v>
      </c>
      <c r="E5" s="4" t="s">
        <v>6</v>
      </c>
      <c r="F5" s="2"/>
      <c r="G5" s="2"/>
      <c r="J5" s="24" t="s">
        <v>6</v>
      </c>
      <c r="K5" s="25"/>
      <c r="L5" s="25"/>
      <c r="M5" s="4" t="s">
        <v>6</v>
      </c>
      <c r="N5" s="25"/>
      <c r="O5" s="25"/>
    </row>
    <row r="6" spans="1:17" ht="7.5" hidden="1" customHeight="1" x14ac:dyDescent="0.2">
      <c r="A6" s="2"/>
      <c r="B6" s="30"/>
      <c r="C6" s="29"/>
      <c r="D6" s="5"/>
      <c r="E6" s="4"/>
      <c r="F6" s="5"/>
      <c r="G6" s="2"/>
      <c r="J6" s="24"/>
      <c r="K6" s="25"/>
      <c r="L6" s="25"/>
      <c r="M6" s="4"/>
      <c r="N6" s="25"/>
      <c r="O6" s="25"/>
    </row>
    <row r="7" spans="1:17" x14ac:dyDescent="0.2">
      <c r="A7" s="6" t="s">
        <v>19</v>
      </c>
      <c r="B7" s="7"/>
      <c r="C7" s="8">
        <f>SUM(C8:C15)</f>
        <v>4007.75</v>
      </c>
      <c r="D7" s="7"/>
      <c r="E7" s="8">
        <f>SUM(E8:E15)</f>
        <v>6499.9</v>
      </c>
      <c r="F7" s="7"/>
      <c r="G7" s="8">
        <f>SUM(G8:G15)</f>
        <v>2492.15</v>
      </c>
      <c r="I7" s="70">
        <f t="shared" ref="I7:I20" si="0">1/C7*G7</f>
        <v>0.62183269914540584</v>
      </c>
      <c r="J7" s="26">
        <f>SUM(J8:J15)</f>
        <v>4007.75</v>
      </c>
      <c r="K7" s="26">
        <f>SUM(K15)</f>
        <v>400.77500000000003</v>
      </c>
      <c r="L7" s="26">
        <f>SUM(L8:L15)</f>
        <v>3606.9749999999999</v>
      </c>
      <c r="M7" s="8">
        <f>SUM(M8:M15)</f>
        <v>5909</v>
      </c>
      <c r="N7" s="26">
        <f>SUM(N15)</f>
        <v>590.9</v>
      </c>
      <c r="O7" s="26">
        <f>SUM(O8:O15)</f>
        <v>6499.9</v>
      </c>
    </row>
    <row r="8" spans="1:17" ht="12.75" customHeight="1" x14ac:dyDescent="0.2">
      <c r="A8" s="22" t="s">
        <v>8</v>
      </c>
      <c r="B8" s="88" t="s">
        <v>13</v>
      </c>
      <c r="C8" s="31">
        <f>L8</f>
        <v>1151.325</v>
      </c>
      <c r="D8" s="104" t="s">
        <v>12</v>
      </c>
      <c r="E8" s="41">
        <f>M8</f>
        <v>3200</v>
      </c>
      <c r="F8" s="81" t="s">
        <v>52</v>
      </c>
      <c r="G8" s="13">
        <f>E8-C8</f>
        <v>2048.6750000000002</v>
      </c>
      <c r="I8" s="70">
        <f t="shared" si="0"/>
        <v>1.779406336177882</v>
      </c>
      <c r="J8" s="58">
        <f>150.5*8.5</f>
        <v>1279.25</v>
      </c>
      <c r="K8" s="27">
        <f>J8/100*$K$4</f>
        <v>127.92500000000001</v>
      </c>
      <c r="L8" s="27">
        <f>J8-K8</f>
        <v>1151.325</v>
      </c>
      <c r="M8" s="41">
        <v>3200</v>
      </c>
      <c r="N8" s="27">
        <f>M8/100*$K$4</f>
        <v>320</v>
      </c>
      <c r="O8" s="27">
        <f>M8+N8</f>
        <v>3520</v>
      </c>
    </row>
    <row r="9" spans="1:17" x14ac:dyDescent="0.2">
      <c r="A9" s="51" t="s">
        <v>43</v>
      </c>
      <c r="B9" s="88"/>
      <c r="C9" s="31"/>
      <c r="D9" s="104"/>
      <c r="E9" s="15"/>
      <c r="F9" s="81"/>
      <c r="G9" s="11"/>
      <c r="I9" s="70"/>
      <c r="J9" s="58"/>
      <c r="K9" s="25"/>
      <c r="L9" s="25"/>
      <c r="M9" s="15"/>
      <c r="N9" s="25"/>
      <c r="O9" s="25"/>
    </row>
    <row r="10" spans="1:17" x14ac:dyDescent="0.2">
      <c r="A10" s="23"/>
      <c r="B10" s="89"/>
      <c r="C10" s="32"/>
      <c r="D10" s="94"/>
      <c r="E10" s="42"/>
      <c r="F10" s="82"/>
      <c r="G10" s="14"/>
      <c r="I10" s="70"/>
      <c r="J10" s="58"/>
      <c r="K10" s="25"/>
      <c r="L10" s="25"/>
      <c r="M10" s="15"/>
      <c r="N10" s="25"/>
      <c r="O10" s="25"/>
    </row>
    <row r="11" spans="1:17" x14ac:dyDescent="0.2">
      <c r="A11" s="22" t="s">
        <v>22</v>
      </c>
      <c r="B11" s="33"/>
      <c r="C11" s="34"/>
      <c r="D11" s="12"/>
      <c r="E11" s="41"/>
      <c r="F11" s="12"/>
      <c r="G11" s="13"/>
      <c r="I11" s="70"/>
      <c r="J11" s="58"/>
      <c r="K11" s="25"/>
      <c r="L11" s="25"/>
      <c r="M11" s="41"/>
      <c r="N11" s="25"/>
      <c r="O11" s="25"/>
    </row>
    <row r="12" spans="1:17" x14ac:dyDescent="0.2">
      <c r="A12" s="51" t="s">
        <v>44</v>
      </c>
      <c r="B12" s="35" t="s">
        <v>30</v>
      </c>
      <c r="C12" s="31">
        <f>L12</f>
        <v>696.15</v>
      </c>
      <c r="D12" t="s">
        <v>33</v>
      </c>
      <c r="E12" s="15">
        <f>M12</f>
        <v>300</v>
      </c>
      <c r="F12" s="12" t="s">
        <v>56</v>
      </c>
      <c r="G12" s="11">
        <f>E12-C12</f>
        <v>-396.15</v>
      </c>
      <c r="I12" s="70">
        <f t="shared" si="0"/>
        <v>-0.56905839258780433</v>
      </c>
      <c r="J12" s="58">
        <f>91*8.5</f>
        <v>773.5</v>
      </c>
      <c r="K12" s="27">
        <f>J12/100*$K$4</f>
        <v>77.350000000000009</v>
      </c>
      <c r="L12" s="27">
        <f>J12-K12</f>
        <v>696.15</v>
      </c>
      <c r="M12" s="15">
        <v>300</v>
      </c>
      <c r="N12" s="27">
        <f>M12/100*$K$4</f>
        <v>30</v>
      </c>
      <c r="O12" s="27">
        <f>M12+N12</f>
        <v>330</v>
      </c>
      <c r="Q12" s="15">
        <f>93.5+74.75+26.5+26.5+26.5+31.75+21.5</f>
        <v>301</v>
      </c>
    </row>
    <row r="13" spans="1:17" x14ac:dyDescent="0.2">
      <c r="A13" s="51" t="s">
        <v>45</v>
      </c>
      <c r="B13" s="35" t="s">
        <v>31</v>
      </c>
      <c r="C13" s="31">
        <f>L13</f>
        <v>286.875</v>
      </c>
      <c r="D13" t="s">
        <v>35</v>
      </c>
      <c r="E13" s="15">
        <f>M13</f>
        <v>409</v>
      </c>
      <c r="F13" s="12" t="s">
        <v>57</v>
      </c>
      <c r="G13" s="11">
        <f>E13-C13</f>
        <v>122.125</v>
      </c>
      <c r="I13" s="70">
        <f t="shared" si="0"/>
        <v>0.42570806100217862</v>
      </c>
      <c r="J13" s="58">
        <f>37.5*8.5</f>
        <v>318.75</v>
      </c>
      <c r="K13" s="27">
        <f>J13/100*$K$4</f>
        <v>31.875</v>
      </c>
      <c r="L13" s="27">
        <f>J13-K13</f>
        <v>286.875</v>
      </c>
      <c r="M13" s="15">
        <v>409</v>
      </c>
      <c r="N13" s="27">
        <f>M13/100*$K$4</f>
        <v>40.9</v>
      </c>
      <c r="O13" s="27">
        <f>M13+N13</f>
        <v>449.9</v>
      </c>
      <c r="Q13" s="15">
        <f>97.75+114.75+41.75+30.75+92.25+30.75</f>
        <v>408</v>
      </c>
    </row>
    <row r="14" spans="1:17" ht="30" customHeight="1" x14ac:dyDescent="0.2">
      <c r="A14" s="54" t="s">
        <v>46</v>
      </c>
      <c r="B14" s="68" t="s">
        <v>32</v>
      </c>
      <c r="C14" s="31">
        <f>L14</f>
        <v>1472.625</v>
      </c>
      <c r="D14" s="69" t="s">
        <v>34</v>
      </c>
      <c r="E14" s="56">
        <f>M14</f>
        <v>2000</v>
      </c>
      <c r="F14" s="55" t="s">
        <v>58</v>
      </c>
      <c r="G14" s="57">
        <f>E14-C14</f>
        <v>527.375</v>
      </c>
      <c r="I14" s="70">
        <f t="shared" si="0"/>
        <v>0.35811900517782869</v>
      </c>
      <c r="J14" s="58">
        <f>192.5*8.5</f>
        <v>1636.25</v>
      </c>
      <c r="K14" s="27">
        <f>J14/100*$K$4</f>
        <v>163.625</v>
      </c>
      <c r="L14" s="27">
        <f>J14-K14</f>
        <v>1472.625</v>
      </c>
      <c r="M14" s="57">
        <v>2000</v>
      </c>
      <c r="N14" s="27">
        <f>M14/100*$K$4</f>
        <v>200</v>
      </c>
      <c r="O14" s="27">
        <f>M14+N14</f>
        <v>2200</v>
      </c>
    </row>
    <row r="15" spans="1:17" x14ac:dyDescent="0.2">
      <c r="A15" s="16" t="s">
        <v>42</v>
      </c>
      <c r="B15" s="36"/>
      <c r="C15" s="37">
        <f>K15</f>
        <v>400.77500000000003</v>
      </c>
      <c r="D15" s="17"/>
      <c r="E15" s="18">
        <f>N15</f>
        <v>590.9</v>
      </c>
      <c r="F15" s="67" t="s">
        <v>53</v>
      </c>
      <c r="G15" s="18">
        <f>E15-C15</f>
        <v>190.12499999999994</v>
      </c>
      <c r="I15" s="70">
        <f t="shared" si="0"/>
        <v>0.47439336285945966</v>
      </c>
      <c r="J15" s="60">
        <v>0</v>
      </c>
      <c r="K15" s="27">
        <f>SUM(K8:K14)</f>
        <v>400.77500000000003</v>
      </c>
      <c r="L15" s="25"/>
      <c r="M15" s="18"/>
      <c r="N15" s="27">
        <f>SUM(N8:N14)</f>
        <v>590.9</v>
      </c>
      <c r="O15" s="25"/>
    </row>
    <row r="16" spans="1:17" x14ac:dyDescent="0.2">
      <c r="A16" s="6" t="s">
        <v>20</v>
      </c>
      <c r="B16" s="7"/>
      <c r="C16" s="8">
        <f>SUM(C17:C24)</f>
        <v>3102.5</v>
      </c>
      <c r="D16" s="7"/>
      <c r="E16" s="8">
        <f>SUM(E17:E24)</f>
        <v>4235</v>
      </c>
      <c r="F16" s="7"/>
      <c r="G16" s="8">
        <f>SUM(G17:G24)</f>
        <v>1132.5</v>
      </c>
      <c r="I16" s="70">
        <f t="shared" si="0"/>
        <v>0.36502820306204675</v>
      </c>
      <c r="J16" s="61">
        <f>SUM(J17:J24)</f>
        <v>3102.5</v>
      </c>
      <c r="K16" s="26">
        <f>K24</f>
        <v>310.25</v>
      </c>
      <c r="L16" s="26">
        <f>SUM(L17:L24)</f>
        <v>2792.25</v>
      </c>
      <c r="M16" s="8">
        <f>SUM(M17:M24)</f>
        <v>3850</v>
      </c>
      <c r="N16" s="26">
        <f>N24</f>
        <v>385</v>
      </c>
      <c r="O16" s="26">
        <f>SUM(O17:O24)</f>
        <v>4235</v>
      </c>
    </row>
    <row r="17" spans="1:17" x14ac:dyDescent="0.2">
      <c r="A17" s="19" t="s">
        <v>9</v>
      </c>
      <c r="B17" s="101" t="s">
        <v>37</v>
      </c>
      <c r="C17" s="37">
        <f>L17</f>
        <v>497.25</v>
      </c>
      <c r="D17" s="92" t="s">
        <v>16</v>
      </c>
      <c r="E17" s="43">
        <f>M17</f>
        <v>900</v>
      </c>
      <c r="F17" s="105" t="s">
        <v>62</v>
      </c>
      <c r="G17" s="13">
        <f>E17-C17</f>
        <v>402.75</v>
      </c>
      <c r="I17" s="70">
        <f t="shared" si="0"/>
        <v>0.80995475113122162</v>
      </c>
      <c r="J17" s="60">
        <f>65*8.5</f>
        <v>552.5</v>
      </c>
      <c r="K17" s="27">
        <f>J17/100*$K$4</f>
        <v>55.25</v>
      </c>
      <c r="L17" s="27">
        <f>J17-K17</f>
        <v>497.25</v>
      </c>
      <c r="M17" s="43">
        <v>900</v>
      </c>
      <c r="N17" s="27">
        <f>M17/100*$K$4</f>
        <v>90</v>
      </c>
      <c r="O17" s="27">
        <f>M17+N17</f>
        <v>990</v>
      </c>
    </row>
    <row r="18" spans="1:17" x14ac:dyDescent="0.2">
      <c r="A18" s="79" t="s">
        <v>47</v>
      </c>
      <c r="B18" s="102"/>
      <c r="C18" s="31"/>
      <c r="D18" s="75"/>
      <c r="E18" s="15"/>
      <c r="F18" s="106"/>
      <c r="G18" s="11"/>
      <c r="I18" s="70"/>
      <c r="J18" s="58"/>
      <c r="K18" s="25"/>
      <c r="L18" s="25"/>
      <c r="M18" s="15"/>
      <c r="N18" s="25"/>
      <c r="O18" s="25"/>
    </row>
    <row r="19" spans="1:17" x14ac:dyDescent="0.2">
      <c r="A19" s="80"/>
      <c r="B19" s="103"/>
      <c r="C19" s="31"/>
      <c r="D19" s="76"/>
      <c r="E19" s="15"/>
      <c r="F19" s="107"/>
      <c r="G19" s="14"/>
      <c r="I19" s="70"/>
      <c r="J19" s="58"/>
      <c r="K19" s="25"/>
      <c r="L19" s="25"/>
      <c r="M19" s="15"/>
      <c r="N19" s="25"/>
      <c r="O19" s="25"/>
    </row>
    <row r="20" spans="1:17" x14ac:dyDescent="0.2">
      <c r="A20" s="19" t="s">
        <v>9</v>
      </c>
      <c r="B20" s="97" t="s">
        <v>14</v>
      </c>
      <c r="C20" s="38">
        <f>L20</f>
        <v>298.35000000000002</v>
      </c>
      <c r="D20" s="77" t="s">
        <v>15</v>
      </c>
      <c r="E20" s="44">
        <f>M20</f>
        <v>400</v>
      </c>
      <c r="F20" s="93" t="s">
        <v>59</v>
      </c>
      <c r="G20" s="13">
        <f>E20-C20</f>
        <v>101.64999999999998</v>
      </c>
      <c r="I20" s="70">
        <f t="shared" si="0"/>
        <v>0.3407072230601641</v>
      </c>
      <c r="J20" s="62">
        <f>39*8.5</f>
        <v>331.5</v>
      </c>
      <c r="K20" s="27">
        <f>J20/100*$K$4</f>
        <v>33.15</v>
      </c>
      <c r="L20" s="27">
        <f>J20-K20</f>
        <v>298.35000000000002</v>
      </c>
      <c r="M20" s="44">
        <v>400</v>
      </c>
      <c r="N20" s="27">
        <f>M20/100*$K$4</f>
        <v>40</v>
      </c>
      <c r="O20" s="27">
        <f>M20+N20</f>
        <v>440</v>
      </c>
    </row>
    <row r="21" spans="1:17" x14ac:dyDescent="0.2">
      <c r="A21" s="52" t="s">
        <v>48</v>
      </c>
      <c r="B21" s="103"/>
      <c r="C21" s="32"/>
      <c r="D21" s="76"/>
      <c r="E21" s="42"/>
      <c r="F21" s="94"/>
      <c r="G21" s="14"/>
      <c r="I21" s="70"/>
      <c r="J21" s="59"/>
      <c r="K21" s="25"/>
      <c r="L21" s="25"/>
      <c r="M21" s="42"/>
      <c r="N21" s="25"/>
      <c r="O21" s="25"/>
    </row>
    <row r="22" spans="1:17" x14ac:dyDescent="0.2">
      <c r="A22" s="9" t="s">
        <v>23</v>
      </c>
      <c r="B22" s="97" t="s">
        <v>26</v>
      </c>
      <c r="C22" s="39">
        <f>L22</f>
        <v>1996.65</v>
      </c>
      <c r="D22" s="99" t="s">
        <v>55</v>
      </c>
      <c r="E22" s="41">
        <f>M22</f>
        <v>2550</v>
      </c>
      <c r="F22" s="99" t="s">
        <v>63</v>
      </c>
      <c r="G22" s="13">
        <f>E22-C22</f>
        <v>553.34999999999991</v>
      </c>
      <c r="I22" s="70">
        <f>1/C22*G22</f>
        <v>0.27713920817369087</v>
      </c>
      <c r="J22" s="63">
        <f>261*8.5</f>
        <v>2218.5</v>
      </c>
      <c r="K22" s="27">
        <f>J22/100*$K$4</f>
        <v>221.85</v>
      </c>
      <c r="L22" s="27">
        <f>J22-K22</f>
        <v>1996.65</v>
      </c>
      <c r="M22" s="15">
        <v>2550</v>
      </c>
      <c r="N22" s="27">
        <f>M22/100*$K$4</f>
        <v>255</v>
      </c>
      <c r="O22" s="27">
        <f>M22+N22</f>
        <v>2805</v>
      </c>
    </row>
    <row r="23" spans="1:17" ht="52.5" customHeight="1" x14ac:dyDescent="0.2">
      <c r="A23" s="53" t="s">
        <v>49</v>
      </c>
      <c r="B23" s="98"/>
      <c r="C23" s="40"/>
      <c r="D23" s="100"/>
      <c r="E23" s="45"/>
      <c r="F23" s="100"/>
      <c r="G23" s="20"/>
      <c r="I23" s="70"/>
      <c r="J23" s="64"/>
      <c r="K23" s="25"/>
      <c r="L23" s="25"/>
      <c r="M23" s="45"/>
      <c r="N23" s="25"/>
      <c r="O23" s="25"/>
    </row>
    <row r="24" spans="1:17" x14ac:dyDescent="0.2">
      <c r="A24" s="16" t="s">
        <v>42</v>
      </c>
      <c r="B24" s="33"/>
      <c r="C24" s="31">
        <f>K24</f>
        <v>310.25</v>
      </c>
      <c r="D24" s="10"/>
      <c r="E24" s="15">
        <f>N24</f>
        <v>385</v>
      </c>
      <c r="F24" s="67" t="s">
        <v>53</v>
      </c>
      <c r="G24" s="11">
        <f>E24-C24</f>
        <v>74.75</v>
      </c>
      <c r="I24" s="70">
        <f t="shared" ref="I24:I33" si="1">1/C24*G24</f>
        <v>0.24093473005640612</v>
      </c>
      <c r="J24" s="58">
        <v>0</v>
      </c>
      <c r="K24" s="25">
        <f>SUM(K17:K23)</f>
        <v>310.25</v>
      </c>
      <c r="L24" s="25"/>
      <c r="M24" s="15"/>
      <c r="N24" s="25">
        <f>SUM(N17:N23)</f>
        <v>385</v>
      </c>
      <c r="O24" s="25"/>
    </row>
    <row r="25" spans="1:17" x14ac:dyDescent="0.2">
      <c r="A25" s="6" t="s">
        <v>21</v>
      </c>
      <c r="B25" s="7"/>
      <c r="C25" s="8">
        <f>SUM(C26:C33)</f>
        <v>4339.25</v>
      </c>
      <c r="D25" s="7"/>
      <c r="E25" s="8">
        <f>SUM(E26:E33)</f>
        <v>5419.7</v>
      </c>
      <c r="F25" s="7"/>
      <c r="G25" s="8">
        <f>SUM(G26:G33)</f>
        <v>1080.45</v>
      </c>
      <c r="I25" s="70">
        <f t="shared" si="1"/>
        <v>0.24899464193120932</v>
      </c>
      <c r="J25" s="61">
        <f>SUM(J26:J33)</f>
        <v>4339.25</v>
      </c>
      <c r="K25" s="26">
        <f>K33</f>
        <v>433.92499999999995</v>
      </c>
      <c r="L25" s="26">
        <f>SUM(L26:L33)</f>
        <v>3905.3249999999998</v>
      </c>
      <c r="M25" s="8">
        <f>SUM(M26:M33)</f>
        <v>4927</v>
      </c>
      <c r="N25" s="26">
        <f>N33</f>
        <v>492.7</v>
      </c>
      <c r="O25" s="26">
        <f>SUM(O26:O33)</f>
        <v>5419.7</v>
      </c>
    </row>
    <row r="26" spans="1:17" x14ac:dyDescent="0.2">
      <c r="A26" s="75" t="s">
        <v>24</v>
      </c>
      <c r="B26" s="88" t="s">
        <v>27</v>
      </c>
      <c r="C26" s="31">
        <f>L26</f>
        <v>543.15</v>
      </c>
      <c r="D26" s="104" t="s">
        <v>28</v>
      </c>
      <c r="E26" s="41">
        <f>M26</f>
        <v>2227</v>
      </c>
      <c r="F26" s="81" t="s">
        <v>29</v>
      </c>
      <c r="G26" s="13">
        <f>E26-C26</f>
        <v>1683.85</v>
      </c>
      <c r="I26" s="70">
        <f t="shared" si="1"/>
        <v>3.1001564945226918</v>
      </c>
      <c r="J26" s="63">
        <f>71*8.5</f>
        <v>603.5</v>
      </c>
      <c r="K26" s="27">
        <f>J26/100*$K$4</f>
        <v>60.35</v>
      </c>
      <c r="L26" s="27">
        <f>J26-K26</f>
        <v>543.15</v>
      </c>
      <c r="M26" s="41">
        <v>2227</v>
      </c>
      <c r="N26" s="27">
        <f>M26/100*$K$4</f>
        <v>222.7</v>
      </c>
      <c r="O26" s="27">
        <f>M26+N26</f>
        <v>2449.6999999999998</v>
      </c>
      <c r="Q26" s="41">
        <f>68+777.75+607.75+165.75+246.5+293.25+66</f>
        <v>2225</v>
      </c>
    </row>
    <row r="27" spans="1:17" x14ac:dyDescent="0.2">
      <c r="A27" s="76"/>
      <c r="B27" s="89"/>
      <c r="C27" s="32"/>
      <c r="D27" s="94"/>
      <c r="E27" s="46"/>
      <c r="F27" s="82"/>
      <c r="G27" s="14"/>
      <c r="I27" s="70"/>
      <c r="J27" s="65"/>
      <c r="K27" s="25"/>
      <c r="L27" s="25"/>
      <c r="M27" s="46"/>
      <c r="N27" s="25"/>
      <c r="O27" s="25"/>
    </row>
    <row r="28" spans="1:17" x14ac:dyDescent="0.2">
      <c r="A28" s="77" t="s">
        <v>3</v>
      </c>
      <c r="B28" s="90" t="s">
        <v>4</v>
      </c>
      <c r="C28" s="31">
        <f>L28</f>
        <v>1258.425</v>
      </c>
      <c r="D28" s="93" t="s">
        <v>10</v>
      </c>
      <c r="E28" s="41">
        <f>M28</f>
        <v>1300</v>
      </c>
      <c r="F28" s="99" t="s">
        <v>60</v>
      </c>
      <c r="G28" s="13">
        <f>E28-C28</f>
        <v>41.575000000000045</v>
      </c>
      <c r="I28" s="70">
        <f t="shared" si="1"/>
        <v>3.3037328406539959E-2</v>
      </c>
      <c r="J28" s="63">
        <f>(22+142.5)*8.5</f>
        <v>1398.25</v>
      </c>
      <c r="K28" s="27">
        <f>J28/100*$K$4</f>
        <v>139.82499999999999</v>
      </c>
      <c r="L28" s="27">
        <f>J28-K28</f>
        <v>1258.425</v>
      </c>
      <c r="M28" s="41">
        <v>1300</v>
      </c>
      <c r="N28" s="27">
        <f>M28/100*$K$4</f>
        <v>130</v>
      </c>
      <c r="O28" s="27">
        <f>M28+N28</f>
        <v>1430</v>
      </c>
    </row>
    <row r="29" spans="1:17" x14ac:dyDescent="0.2">
      <c r="A29" s="76"/>
      <c r="B29" s="89"/>
      <c r="C29" s="32"/>
      <c r="D29" s="94"/>
      <c r="E29" s="46"/>
      <c r="F29" s="82"/>
      <c r="G29" s="14"/>
      <c r="I29" s="70"/>
      <c r="J29" s="65"/>
      <c r="K29" s="25"/>
      <c r="L29" s="25"/>
      <c r="M29" s="46"/>
      <c r="N29" s="25"/>
      <c r="O29" s="25"/>
    </row>
    <row r="30" spans="1:17" x14ac:dyDescent="0.2">
      <c r="A30" s="77" t="s">
        <v>50</v>
      </c>
      <c r="B30" s="90" t="s">
        <v>7</v>
      </c>
      <c r="C30" s="39">
        <f>L30</f>
        <v>2103.75</v>
      </c>
      <c r="D30" s="99" t="s">
        <v>54</v>
      </c>
      <c r="E30" s="41">
        <f>M30</f>
        <v>1400</v>
      </c>
      <c r="F30" s="99" t="s">
        <v>61</v>
      </c>
      <c r="G30" s="13">
        <f>E30-C30</f>
        <v>-703.75</v>
      </c>
      <c r="I30" s="70">
        <f t="shared" si="1"/>
        <v>-0.33452168746286393</v>
      </c>
      <c r="J30" s="63">
        <f>8.5*275</f>
        <v>2337.5</v>
      </c>
      <c r="K30" s="27">
        <f>J30/100*$K$4</f>
        <v>233.75</v>
      </c>
      <c r="L30" s="27">
        <f>J30-K30</f>
        <v>2103.75</v>
      </c>
      <c r="M30" s="41">
        <v>1400</v>
      </c>
      <c r="N30" s="27">
        <f>M30/100*$K$4</f>
        <v>140</v>
      </c>
      <c r="O30" s="27">
        <f>M30+N30</f>
        <v>1540</v>
      </c>
    </row>
    <row r="31" spans="1:17" x14ac:dyDescent="0.2">
      <c r="A31" s="75"/>
      <c r="B31" s="88"/>
      <c r="C31" s="31"/>
      <c r="D31" s="81"/>
      <c r="E31" s="41"/>
      <c r="F31" s="81"/>
      <c r="G31" s="11"/>
      <c r="I31" s="70"/>
      <c r="J31" s="63"/>
      <c r="K31" s="25"/>
      <c r="L31" s="25"/>
      <c r="M31" s="41"/>
      <c r="N31" s="25"/>
      <c r="O31" s="25"/>
    </row>
    <row r="32" spans="1:17" x14ac:dyDescent="0.2">
      <c r="A32" s="78"/>
      <c r="B32" s="91"/>
      <c r="C32" s="40"/>
      <c r="D32" s="100"/>
      <c r="E32" s="47"/>
      <c r="F32" s="100"/>
      <c r="G32" s="20"/>
      <c r="I32" s="70"/>
      <c r="J32" s="66"/>
      <c r="K32" s="25"/>
      <c r="L32" s="25"/>
      <c r="M32" s="47"/>
      <c r="N32" s="25"/>
      <c r="O32" s="25"/>
    </row>
    <row r="33" spans="1:15" x14ac:dyDescent="0.2">
      <c r="A33" s="16" t="s">
        <v>42</v>
      </c>
      <c r="B33" s="33"/>
      <c r="C33" s="31">
        <f>K33</f>
        <v>433.92499999999995</v>
      </c>
      <c r="D33" s="10"/>
      <c r="E33" s="15">
        <f>N33</f>
        <v>492.7</v>
      </c>
      <c r="F33" s="67" t="s">
        <v>53</v>
      </c>
      <c r="G33" s="11">
        <f>E33-C33</f>
        <v>58.775000000000034</v>
      </c>
      <c r="I33" s="70">
        <f t="shared" si="1"/>
        <v>0.13544967448291767</v>
      </c>
      <c r="J33" s="58"/>
      <c r="K33" s="25">
        <f>SUM(K26:K32)</f>
        <v>433.92499999999995</v>
      </c>
      <c r="L33" s="25"/>
      <c r="M33" s="11"/>
      <c r="N33" s="25">
        <f>SUM(N26:N32)</f>
        <v>492.7</v>
      </c>
      <c r="O33" s="25"/>
    </row>
    <row r="34" spans="1:15" x14ac:dyDescent="0.2">
      <c r="A34" s="6" t="s">
        <v>18</v>
      </c>
      <c r="B34" s="7"/>
      <c r="C34" s="8">
        <f>SUM(C7+C16+C25)</f>
        <v>11449.5</v>
      </c>
      <c r="D34" s="7"/>
      <c r="E34" s="8">
        <f>SUM(E7+E16+E25)</f>
        <v>16154.599999999999</v>
      </c>
      <c r="F34" s="21" t="s">
        <v>36</v>
      </c>
      <c r="G34" s="8">
        <f>G7+G16+G25</f>
        <v>4705.1000000000004</v>
      </c>
      <c r="I34" s="70">
        <f>1/C34*G34</f>
        <v>0.41094370933228525</v>
      </c>
      <c r="J34" s="26">
        <f>SUM(J7+J16+J25)</f>
        <v>11449.5</v>
      </c>
      <c r="K34" s="27">
        <f>SUM(K15+K24+K33)</f>
        <v>1144.95</v>
      </c>
      <c r="L34" s="27">
        <f>SUM(L15+L24+L33)</f>
        <v>0</v>
      </c>
      <c r="M34" s="8">
        <f>SUM(M7+M16+M25)</f>
        <v>14686</v>
      </c>
      <c r="N34" s="27">
        <f>SUM(N15+N24+N33)</f>
        <v>1468.6</v>
      </c>
      <c r="O34" s="27">
        <f>SUM(O15+O24+O33)</f>
        <v>0</v>
      </c>
    </row>
    <row r="35" spans="1:15" ht="7.5" customHeight="1" x14ac:dyDescent="0.2">
      <c r="J35" s="25"/>
      <c r="K35" s="25"/>
      <c r="L35" s="25"/>
      <c r="N35" s="25"/>
      <c r="O35" s="25"/>
    </row>
    <row r="36" spans="1:15" x14ac:dyDescent="0.2">
      <c r="A36" s="49" t="s">
        <v>17</v>
      </c>
      <c r="J36" s="25">
        <v>11450</v>
      </c>
      <c r="K36" s="25"/>
      <c r="L36" s="25"/>
      <c r="N36" s="25"/>
      <c r="O36" s="25"/>
    </row>
    <row r="37" spans="1:15" ht="25.5" customHeight="1" x14ac:dyDescent="0.2">
      <c r="A37" s="48"/>
      <c r="B37" s="74" t="s">
        <v>51</v>
      </c>
      <c r="C37" s="74"/>
      <c r="D37" s="74"/>
      <c r="E37" s="74"/>
      <c r="F37" s="74"/>
      <c r="G37" s="74"/>
      <c r="J37" s="25"/>
      <c r="K37" s="25"/>
      <c r="L37" s="25"/>
      <c r="N37" s="25"/>
      <c r="O37" s="25"/>
    </row>
  </sheetData>
  <mergeCells count="32">
    <mergeCell ref="F28:F29"/>
    <mergeCell ref="F30:F32"/>
    <mergeCell ref="D30:D32"/>
    <mergeCell ref="D26:D27"/>
    <mergeCell ref="F2:G2"/>
    <mergeCell ref="D4:E4"/>
    <mergeCell ref="B22:B23"/>
    <mergeCell ref="D22:D23"/>
    <mergeCell ref="F22:F23"/>
    <mergeCell ref="B17:B19"/>
    <mergeCell ref="B20:B21"/>
    <mergeCell ref="D8:D10"/>
    <mergeCell ref="B8:B10"/>
    <mergeCell ref="F20:F21"/>
    <mergeCell ref="F8:F10"/>
    <mergeCell ref="F17:F19"/>
    <mergeCell ref="M2:O2"/>
    <mergeCell ref="B37:G37"/>
    <mergeCell ref="A26:A27"/>
    <mergeCell ref="A28:A29"/>
    <mergeCell ref="A30:A32"/>
    <mergeCell ref="A18:A19"/>
    <mergeCell ref="F26:F27"/>
    <mergeCell ref="J3:L3"/>
    <mergeCell ref="M3:O3"/>
    <mergeCell ref="B26:B27"/>
    <mergeCell ref="B28:B29"/>
    <mergeCell ref="B30:B32"/>
    <mergeCell ref="D20:D21"/>
    <mergeCell ref="D17:D19"/>
    <mergeCell ref="D28:D29"/>
    <mergeCell ref="B4:C4"/>
  </mergeCells>
  <pageMargins left="0.70866141732283472" right="0.70866141732283472" top="0.78740157480314965" bottom="0.59055118110236227" header="0.31496062992125984" footer="0.31496062992125984"/>
  <pageSetup paperSize="8" fitToHeight="0" orientation="landscape" r:id="rId1"/>
  <headerFooter>
    <oddFooter>&amp;LINGE EPSI / JS + AeBo
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MP-DP</vt:lpstr>
      <vt:lpstr>'MP-DP'!Druckbereich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Roth Stefan</cp:lastModifiedBy>
  <cp:lastPrinted>2015-05-06T05:47:21Z</cp:lastPrinted>
  <dcterms:created xsi:type="dcterms:W3CDTF">2015-04-17T15:32:41Z</dcterms:created>
  <dcterms:modified xsi:type="dcterms:W3CDTF">2015-05-06T09:11:29Z</dcterms:modified>
</cp:coreProperties>
</file>