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Bewertung\2021_Apr\"/>
    </mc:Choice>
  </mc:AlternateContent>
  <bookViews>
    <workbookView xWindow="0" yWindow="0" windowWidth="28800" windowHeight="142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6" i="1"/>
  <c r="E16" i="1" s="1"/>
  <c r="D12" i="1"/>
  <c r="S36" i="1"/>
  <c r="T36" i="1"/>
  <c r="U36" i="1"/>
  <c r="V36" i="1"/>
  <c r="R36" i="1"/>
  <c r="S37" i="1"/>
  <c r="T37" i="1"/>
  <c r="U37" i="1"/>
  <c r="V37" i="1"/>
  <c r="R37" i="1"/>
  <c r="S35" i="1"/>
  <c r="T35" i="1"/>
  <c r="U35" i="1"/>
  <c r="V35" i="1"/>
  <c r="R35" i="1"/>
  <c r="S32" i="1"/>
  <c r="T32" i="1"/>
  <c r="U32" i="1"/>
  <c r="V32" i="1"/>
  <c r="R32" i="1"/>
  <c r="S26" i="1"/>
  <c r="T26" i="1"/>
  <c r="U26" i="1"/>
  <c r="V26" i="1"/>
  <c r="R26" i="1"/>
  <c r="P28" i="1"/>
  <c r="P26" i="1"/>
  <c r="Q26" i="1"/>
  <c r="E12" i="1"/>
  <c r="G16" i="1" l="1"/>
  <c r="H16" i="1" s="1"/>
  <c r="J16" i="1" s="1"/>
  <c r="G12" i="1"/>
  <c r="H12" i="1" s="1"/>
  <c r="J12" i="1" s="1"/>
  <c r="S30" i="1"/>
  <c r="T30" i="1"/>
  <c r="U30" i="1"/>
  <c r="V30" i="1"/>
  <c r="R30" i="1"/>
  <c r="S22" i="1"/>
  <c r="T22" i="1"/>
  <c r="U22" i="1"/>
  <c r="V22" i="1"/>
  <c r="R22" i="1"/>
  <c r="S28" i="1"/>
  <c r="T28" i="1"/>
  <c r="U28" i="1"/>
  <c r="V28" i="1"/>
  <c r="R28" i="1"/>
  <c r="Q30" i="1"/>
  <c r="Q28" i="1"/>
  <c r="Q24" i="1"/>
  <c r="U24" i="1" s="1"/>
  <c r="Q22" i="1"/>
  <c r="P32" i="1"/>
  <c r="V24" i="1" l="1"/>
  <c r="T24" i="1"/>
  <c r="S24" i="1"/>
  <c r="Q32" i="1"/>
  <c r="R24" i="1"/>
  <c r="G20" i="1" s="1"/>
  <c r="I8" i="1"/>
  <c r="D8" i="1"/>
  <c r="D18" i="1"/>
  <c r="D14" i="1"/>
  <c r="D10" i="1"/>
  <c r="D22" i="1" l="1"/>
  <c r="G14" i="1"/>
  <c r="H14" i="1" s="1"/>
  <c r="G10" i="1"/>
  <c r="H10" i="1" s="1"/>
  <c r="G18" i="1"/>
  <c r="H18" i="1" s="1"/>
  <c r="G8" i="1"/>
  <c r="F22" i="1" l="1"/>
  <c r="C22" i="1"/>
  <c r="E10" i="1"/>
  <c r="J10" i="1" s="1"/>
  <c r="E14" i="1"/>
  <c r="J14" i="1" s="1"/>
  <c r="E18" i="1"/>
  <c r="J18" i="1" s="1"/>
  <c r="E20" i="1"/>
  <c r="E8" i="1"/>
  <c r="H20" i="1" l="1"/>
  <c r="J20" i="1" s="1"/>
  <c r="E22" i="1"/>
  <c r="G22" i="1"/>
  <c r="H8" i="1"/>
  <c r="J8" i="1" s="1"/>
  <c r="H22" i="1" l="1"/>
  <c r="J22" i="1" s="1"/>
  <c r="I22" i="1" l="1"/>
</calcChain>
</file>

<file path=xl/comments1.xml><?xml version="1.0" encoding="utf-8"?>
<comments xmlns="http://schemas.openxmlformats.org/spreadsheetml/2006/main">
  <authors>
    <author>Falzone Lorenzo</author>
  </authors>
  <commentList>
    <comment ref="I6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vorerst mit Annhame, dann durch (Total aufgelaufen / Total Honorar) ermitteln</t>
        </r>
      </text>
    </comment>
    <comment ref="D12" authorId="0" shapeId="0">
      <text>
        <r>
          <rPr>
            <b/>
            <sz val="9"/>
            <color indexed="81"/>
            <rFont val="Segoe UI"/>
            <family val="2"/>
          </rPr>
          <t>Falzone Lorenzo:
immer kontrollieren, ob es aktuell ist (Jahr)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<sst xmlns="http://schemas.openxmlformats.org/spreadsheetml/2006/main" count="57" uniqueCount="41">
  <si>
    <t>N02, EP Si-Ep</t>
  </si>
  <si>
    <t>Index</t>
  </si>
  <si>
    <t>Was</t>
  </si>
  <si>
    <t>Honorar</t>
  </si>
  <si>
    <t>aufgel.</t>
  </si>
  <si>
    <t>Rest</t>
  </si>
  <si>
    <t>int. Aufwand</t>
  </si>
  <si>
    <t>Total</t>
  </si>
  <si>
    <t>Prognose</t>
  </si>
  <si>
    <t>Bemerkung</t>
  </si>
  <si>
    <t>PL</t>
  </si>
  <si>
    <t>int/ext</t>
  </si>
  <si>
    <t>Faktor</t>
  </si>
  <si>
    <t>T/U UfA</t>
  </si>
  <si>
    <t>bisher verr.</t>
  </si>
  <si>
    <t>K UfA</t>
  </si>
  <si>
    <t>T/G UfA</t>
  </si>
  <si>
    <t>Bewertung per 31.12.2020</t>
  </si>
  <si>
    <t>3/4 vom Budget gemäss Tabelle Budget 51, Rest wird später berücksichtigt, d.h. während Bauausführung</t>
  </si>
  <si>
    <t>Gesamt-Std. AeBo</t>
  </si>
  <si>
    <t>Phase 52 gemäss INGE Aufteilung</t>
  </si>
  <si>
    <t>PL FL</t>
  </si>
  <si>
    <t>Kat. B</t>
  </si>
  <si>
    <t xml:space="preserve">Fr/h </t>
  </si>
  <si>
    <t>öBL Be</t>
  </si>
  <si>
    <t>Kat. C</t>
  </si>
  <si>
    <t>Kat. D</t>
  </si>
  <si>
    <t>FBL, Fach-BL</t>
  </si>
  <si>
    <t>Fr.</t>
  </si>
  <si>
    <t>Aufteilung pro Jahr</t>
  </si>
  <si>
    <t>h</t>
  </si>
  <si>
    <t>T/U öBL</t>
  </si>
  <si>
    <t>T/U</t>
  </si>
  <si>
    <t>K</t>
  </si>
  <si>
    <t>T/G</t>
  </si>
  <si>
    <t>öBL SCe K</t>
  </si>
  <si>
    <t>öBL SCe T/U</t>
  </si>
  <si>
    <t>50% je K+T/G</t>
  </si>
  <si>
    <t>K öBL</t>
  </si>
  <si>
    <t>T/G öBL</t>
  </si>
  <si>
    <t>immer kontrollieren, ob es aktuell ist (Jahr)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</si>
</sst>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color rgb="FFFF0000"/>
      <name val="Arial"/>
      <family val="2"/>
    </font>
    <font>
      <sz val="9"/>
      <color rgb="FFFF0000"/>
      <name val="Arial Narrow"/>
      <family val="2"/>
    </font>
    <font>
      <b/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0" fillId="0" borderId="0" xfId="1" applyNumberFormat="1" applyFont="1" applyBorder="1"/>
    <xf numFmtId="0" fontId="0" fillId="0" borderId="0" xfId="0" applyFill="1" applyBorder="1"/>
    <xf numFmtId="165" fontId="7" fillId="0" borderId="0" xfId="1" applyNumberFormat="1" applyFont="1" applyBorder="1"/>
    <xf numFmtId="0" fontId="0" fillId="0" borderId="5" xfId="0" applyFill="1" applyBorder="1" applyAlignment="1">
      <alignment horizontal="center"/>
    </xf>
    <xf numFmtId="165" fontId="7" fillId="0" borderId="0" xfId="1" applyNumberFormat="1" applyFont="1" applyFill="1" applyBorder="1"/>
    <xf numFmtId="165" fontId="0" fillId="0" borderId="0" xfId="1" applyNumberFormat="1" applyFont="1" applyFill="1" applyBorder="1"/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/>
    <xf numFmtId="43" fontId="9" fillId="0" borderId="0" xfId="1" applyNumberFormat="1" applyFont="1" applyBorder="1"/>
    <xf numFmtId="165" fontId="9" fillId="0" borderId="0" xfId="1" applyNumberFormat="1" applyFont="1" applyBorder="1"/>
    <xf numFmtId="1" fontId="0" fillId="0" borderId="9" xfId="0" applyNumberFormat="1" applyBorder="1"/>
    <xf numFmtId="0" fontId="0" fillId="0" borderId="9" xfId="0" applyBorder="1"/>
    <xf numFmtId="165" fontId="0" fillId="0" borderId="9" xfId="1" applyNumberFormat="1" applyFont="1" applyBorder="1"/>
    <xf numFmtId="165" fontId="0" fillId="0" borderId="9" xfId="1" applyNumberFormat="1" applyFont="1" applyFill="1" applyBorder="1"/>
    <xf numFmtId="43" fontId="9" fillId="0" borderId="9" xfId="1" applyNumberFormat="1" applyFont="1" applyBorder="1"/>
    <xf numFmtId="0" fontId="6" fillId="0" borderId="9" xfId="0" applyFont="1" applyBorder="1"/>
    <xf numFmtId="164" fontId="0" fillId="0" borderId="0" xfId="0" applyNumberFormat="1" applyBorder="1"/>
    <xf numFmtId="0" fontId="8" fillId="0" borderId="0" xfId="0" applyFont="1" applyBorder="1"/>
    <xf numFmtId="0" fontId="0" fillId="0" borderId="9" xfId="0" applyFill="1" applyBorder="1"/>
    <xf numFmtId="0" fontId="6" fillId="0" borderId="0" xfId="0" applyFont="1" applyBorder="1"/>
    <xf numFmtId="164" fontId="0" fillId="0" borderId="5" xfId="0" applyNumberFormat="1" applyBorder="1"/>
    <xf numFmtId="0" fontId="0" fillId="0" borderId="5" xfId="0" applyFill="1" applyBorder="1"/>
    <xf numFmtId="165" fontId="0" fillId="0" borderId="5" xfId="1" applyNumberFormat="1" applyFont="1" applyBorder="1"/>
    <xf numFmtId="165" fontId="0" fillId="0" borderId="5" xfId="1" applyNumberFormat="1" applyFont="1" applyFill="1" applyBorder="1"/>
    <xf numFmtId="43" fontId="9" fillId="0" borderId="5" xfId="1" applyNumberFormat="1" applyFont="1" applyBorder="1"/>
    <xf numFmtId="0" fontId="6" fillId="0" borderId="5" xfId="0" applyFont="1" applyBorder="1"/>
    <xf numFmtId="0" fontId="5" fillId="0" borderId="9" xfId="0" applyFont="1" applyBorder="1"/>
    <xf numFmtId="0" fontId="12" fillId="0" borderId="5" xfId="0" applyFont="1" applyBorder="1"/>
    <xf numFmtId="9" fontId="12" fillId="0" borderId="0" xfId="0" applyNumberFormat="1" applyFo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Font="1"/>
    <xf numFmtId="165" fontId="0" fillId="0" borderId="0" xfId="0" applyNumberFormat="1" applyFont="1" applyBorder="1"/>
    <xf numFmtId="0" fontId="0" fillId="0" borderId="5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0" xfId="0" applyNumberFormat="1" applyBorder="1"/>
    <xf numFmtId="43" fontId="0" fillId="0" borderId="8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164" fontId="0" fillId="0" borderId="0" xfId="0" applyNumberFormat="1" applyAlignment="1">
      <alignment horizontal="right"/>
    </xf>
    <xf numFmtId="1" fontId="0" fillId="0" borderId="0" xfId="0" applyNumberFormat="1" applyBorder="1"/>
    <xf numFmtId="165" fontId="0" fillId="2" borderId="9" xfId="1" applyNumberFormat="1" applyFont="1" applyFill="1" applyBorder="1"/>
    <xf numFmtId="165" fontId="0" fillId="2" borderId="5" xfId="1" applyNumberFormat="1" applyFont="1" applyFill="1" applyBorder="1"/>
    <xf numFmtId="0" fontId="6" fillId="2" borderId="9" xfId="0" applyFont="1" applyFill="1" applyBorder="1"/>
    <xf numFmtId="0" fontId="0" fillId="0" borderId="2" xfId="0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abSelected="1" topLeftCell="A4" zoomScale="115" zoomScaleNormal="115" workbookViewId="0">
      <selection activeCell="K20" sqref="K20"/>
    </sheetView>
  </sheetViews>
  <sheetFormatPr baseColWidth="10" defaultRowHeight="12.75" x14ac:dyDescent="0.2"/>
  <cols>
    <col min="1" max="1" width="6.7109375" customWidth="1"/>
    <col min="3" max="8" width="8.7109375" customWidth="1"/>
    <col min="9" max="9" width="7" bestFit="1" customWidth="1"/>
    <col min="10" max="10" width="9.85546875" customWidth="1"/>
    <col min="11" max="11" width="74" customWidth="1"/>
    <col min="12" max="12" width="13.5703125" customWidth="1"/>
    <col min="13" max="13" width="14.140625" customWidth="1"/>
    <col min="14" max="14" width="7.42578125" customWidth="1"/>
    <col min="15" max="15" width="11.7109375" customWidth="1"/>
    <col min="16" max="16" width="6.85546875" customWidth="1"/>
    <col min="17" max="17" width="9.85546875" customWidth="1"/>
  </cols>
  <sheetData>
    <row r="1" spans="1:11" ht="15.75" x14ac:dyDescent="0.25">
      <c r="A1" s="2" t="s">
        <v>0</v>
      </c>
    </row>
    <row r="2" spans="1:11" x14ac:dyDescent="0.2">
      <c r="A2" s="1"/>
    </row>
    <row r="3" spans="1:11" ht="18" x14ac:dyDescent="0.25">
      <c r="A3" s="3" t="s">
        <v>17</v>
      </c>
    </row>
    <row r="5" spans="1:11" x14ac:dyDescent="0.2">
      <c r="A5" s="7" t="s">
        <v>1</v>
      </c>
      <c r="B5" s="5" t="s">
        <v>2</v>
      </c>
      <c r="C5" s="65" t="s">
        <v>3</v>
      </c>
      <c r="D5" s="65"/>
      <c r="E5" s="65"/>
      <c r="F5" s="65" t="s">
        <v>6</v>
      </c>
      <c r="G5" s="65"/>
      <c r="H5" s="65"/>
      <c r="I5" s="23" t="s">
        <v>12</v>
      </c>
      <c r="J5" s="8" t="s">
        <v>8</v>
      </c>
      <c r="K5" s="9" t="s">
        <v>9</v>
      </c>
    </row>
    <row r="6" spans="1:11" x14ac:dyDescent="0.2">
      <c r="A6" s="10"/>
      <c r="B6" s="6"/>
      <c r="C6" s="11" t="s">
        <v>14</v>
      </c>
      <c r="D6" s="20" t="s">
        <v>5</v>
      </c>
      <c r="E6" s="12" t="s">
        <v>7</v>
      </c>
      <c r="F6" s="12" t="s">
        <v>4</v>
      </c>
      <c r="G6" s="20" t="s">
        <v>5</v>
      </c>
      <c r="H6" s="12" t="s">
        <v>7</v>
      </c>
      <c r="I6" s="24" t="s">
        <v>11</v>
      </c>
      <c r="J6" s="6"/>
      <c r="K6" s="13"/>
    </row>
    <row r="7" spans="1:11" x14ac:dyDescent="0.2">
      <c r="A7" s="14"/>
      <c r="B7" s="15"/>
      <c r="C7" s="15"/>
      <c r="D7" s="18"/>
      <c r="E7" s="15"/>
      <c r="F7" s="15"/>
      <c r="G7" s="18"/>
      <c r="H7" s="15"/>
      <c r="I7" s="25"/>
      <c r="J7" s="15"/>
      <c r="K7" s="16"/>
    </row>
    <row r="8" spans="1:11" ht="13.5" x14ac:dyDescent="0.25">
      <c r="A8" s="28">
        <v>100</v>
      </c>
      <c r="B8" s="29" t="s">
        <v>10</v>
      </c>
      <c r="C8" s="30"/>
      <c r="D8" s="31">
        <f>MROUND(0.75*80970,100)</f>
        <v>60700</v>
      </c>
      <c r="E8" s="30">
        <f>C8+D8</f>
        <v>60700</v>
      </c>
      <c r="F8" s="30"/>
      <c r="G8" s="31">
        <f>D8*1.35</f>
        <v>81945</v>
      </c>
      <c r="H8" s="30">
        <f>F8+G8</f>
        <v>81945</v>
      </c>
      <c r="I8" s="32">
        <f>210/140</f>
        <v>1.5</v>
      </c>
      <c r="J8" s="30">
        <f>E8-H8</f>
        <v>-21245</v>
      </c>
      <c r="K8" s="33" t="s">
        <v>18</v>
      </c>
    </row>
    <row r="9" spans="1:11" ht="13.5" x14ac:dyDescent="0.25">
      <c r="A9" s="34"/>
      <c r="B9" s="15"/>
      <c r="C9" s="19"/>
      <c r="D9" s="21"/>
      <c r="E9" s="19"/>
      <c r="F9" s="19"/>
      <c r="G9" s="21"/>
      <c r="H9" s="19"/>
      <c r="I9" s="26"/>
      <c r="J9" s="19"/>
      <c r="K9" s="35"/>
    </row>
    <row r="10" spans="1:11" ht="13.5" x14ac:dyDescent="0.25">
      <c r="A10" s="28">
        <v>230</v>
      </c>
      <c r="B10" s="36" t="s">
        <v>13</v>
      </c>
      <c r="C10" s="30"/>
      <c r="D10" s="31">
        <f>MROUND(0.75*41100,100)</f>
        <v>30800</v>
      </c>
      <c r="E10" s="30">
        <f t="shared" ref="E10:E20" si="0">C10+D10</f>
        <v>30800</v>
      </c>
      <c r="F10" s="30"/>
      <c r="G10" s="31">
        <f>D10*1.4</f>
        <v>43120</v>
      </c>
      <c r="H10" s="30">
        <f>F10+G10</f>
        <v>43120</v>
      </c>
      <c r="I10" s="32">
        <v>1.3</v>
      </c>
      <c r="J10" s="30">
        <f>E10-H10</f>
        <v>-12320</v>
      </c>
      <c r="K10" s="33" t="s">
        <v>18</v>
      </c>
    </row>
    <row r="11" spans="1:11" ht="13.5" x14ac:dyDescent="0.25">
      <c r="A11" s="28"/>
      <c r="B11" s="18"/>
      <c r="C11" s="17"/>
      <c r="D11" s="22"/>
      <c r="E11" s="17"/>
      <c r="F11" s="17"/>
      <c r="G11" s="22"/>
      <c r="H11" s="17"/>
      <c r="I11" s="26"/>
      <c r="J11" s="17"/>
      <c r="K11" s="37"/>
    </row>
    <row r="12" spans="1:11" ht="13.5" x14ac:dyDescent="0.25">
      <c r="A12" s="28">
        <v>250</v>
      </c>
      <c r="B12" s="36" t="s">
        <v>31</v>
      </c>
      <c r="C12" s="30"/>
      <c r="D12" s="62">
        <f>R35</f>
        <v>0</v>
      </c>
      <c r="E12" s="30">
        <f t="shared" ref="E12" si="1">C12+D12</f>
        <v>0</v>
      </c>
      <c r="F12" s="30"/>
      <c r="G12" s="31">
        <f>D12*1.4</f>
        <v>0</v>
      </c>
      <c r="H12" s="30">
        <f>F12+G12</f>
        <v>0</v>
      </c>
      <c r="I12" s="32">
        <v>1.3</v>
      </c>
      <c r="J12" s="30">
        <f>E12-H12</f>
        <v>0</v>
      </c>
      <c r="K12" s="64" t="s">
        <v>40</v>
      </c>
    </row>
    <row r="13" spans="1:11" ht="13.5" x14ac:dyDescent="0.25">
      <c r="A13" s="28"/>
      <c r="B13" s="18"/>
      <c r="C13" s="17"/>
      <c r="D13" s="22"/>
      <c r="E13" s="17"/>
      <c r="F13" s="17"/>
      <c r="G13" s="22"/>
      <c r="H13" s="17"/>
      <c r="I13" s="26"/>
      <c r="J13" s="17"/>
      <c r="K13" s="37"/>
    </row>
    <row r="14" spans="1:11" ht="13.5" x14ac:dyDescent="0.25">
      <c r="A14" s="28">
        <v>330</v>
      </c>
      <c r="B14" s="36" t="s">
        <v>15</v>
      </c>
      <c r="C14" s="30"/>
      <c r="D14" s="31">
        <f>MROUND(0.75*115080,100)</f>
        <v>86300</v>
      </c>
      <c r="E14" s="30">
        <f t="shared" si="0"/>
        <v>86300</v>
      </c>
      <c r="F14" s="30"/>
      <c r="G14" s="31">
        <f>D14*1.4</f>
        <v>120819.99999999999</v>
      </c>
      <c r="H14" s="30">
        <f>F14+G14</f>
        <v>120819.99999999999</v>
      </c>
      <c r="I14" s="32">
        <v>1.3</v>
      </c>
      <c r="J14" s="30">
        <f>E14-H14</f>
        <v>-34519.999999999985</v>
      </c>
      <c r="K14" s="33" t="s">
        <v>18</v>
      </c>
    </row>
    <row r="15" spans="1:11" ht="13.5" x14ac:dyDescent="0.25">
      <c r="A15" s="61"/>
      <c r="B15" s="18"/>
      <c r="C15" s="17"/>
      <c r="D15" s="22"/>
      <c r="E15" s="17"/>
      <c r="F15" s="17"/>
      <c r="G15" s="22"/>
      <c r="H15" s="17"/>
      <c r="I15" s="26"/>
      <c r="J15" s="17"/>
      <c r="K15" s="37"/>
    </row>
    <row r="16" spans="1:11" ht="13.5" x14ac:dyDescent="0.25">
      <c r="A16" s="28">
        <v>350</v>
      </c>
      <c r="B16" s="36" t="s">
        <v>38</v>
      </c>
      <c r="C16" s="30"/>
      <c r="D16" s="62">
        <f>R36</f>
        <v>6328</v>
      </c>
      <c r="E16" s="30">
        <f t="shared" ref="E16" si="2">C16+D16</f>
        <v>6328</v>
      </c>
      <c r="F16" s="30"/>
      <c r="G16" s="31">
        <f>D16*1.4</f>
        <v>8859.1999999999989</v>
      </c>
      <c r="H16" s="30">
        <f>F16+G16</f>
        <v>8859.1999999999989</v>
      </c>
      <c r="I16" s="32">
        <v>1.3</v>
      </c>
      <c r="J16" s="30">
        <f>E16-H16</f>
        <v>-2531.1999999999989</v>
      </c>
      <c r="K16" s="64" t="s">
        <v>40</v>
      </c>
    </row>
    <row r="17" spans="1:22" ht="13.5" x14ac:dyDescent="0.25">
      <c r="A17" s="34"/>
      <c r="B17" s="18"/>
      <c r="C17" s="17"/>
      <c r="D17" s="22"/>
      <c r="E17" s="17"/>
      <c r="F17" s="17"/>
      <c r="G17" s="22"/>
      <c r="H17" s="17"/>
      <c r="I17" s="26"/>
      <c r="J17" s="17"/>
      <c r="K17" s="37"/>
    </row>
    <row r="18" spans="1:22" ht="13.5" x14ac:dyDescent="0.25">
      <c r="A18" s="28">
        <v>430</v>
      </c>
      <c r="B18" s="36" t="s">
        <v>16</v>
      </c>
      <c r="C18" s="30"/>
      <c r="D18" s="31">
        <f>MROUND(0.75*90670,100)</f>
        <v>68000</v>
      </c>
      <c r="E18" s="30">
        <f t="shared" si="0"/>
        <v>68000</v>
      </c>
      <c r="F18" s="30"/>
      <c r="G18" s="31">
        <f>D18*1.4</f>
        <v>95200</v>
      </c>
      <c r="H18" s="30">
        <f>F18+G18</f>
        <v>95200</v>
      </c>
      <c r="I18" s="32">
        <v>1.3</v>
      </c>
      <c r="J18" s="30">
        <f>E18-H18</f>
        <v>-27200</v>
      </c>
      <c r="K18" s="33" t="s">
        <v>18</v>
      </c>
      <c r="M18" t="s">
        <v>20</v>
      </c>
    </row>
    <row r="19" spans="1:22" ht="13.5" x14ac:dyDescent="0.25">
      <c r="A19" s="38"/>
      <c r="B19" s="39"/>
      <c r="C19" s="40"/>
      <c r="D19" s="41"/>
      <c r="E19" s="40"/>
      <c r="F19" s="40"/>
      <c r="G19" s="41"/>
      <c r="H19" s="40"/>
      <c r="I19" s="42"/>
      <c r="J19" s="40"/>
      <c r="K19" s="43"/>
      <c r="M19" t="s">
        <v>19</v>
      </c>
      <c r="O19" s="4"/>
      <c r="R19" t="s">
        <v>29</v>
      </c>
    </row>
    <row r="20" spans="1:22" ht="13.5" x14ac:dyDescent="0.25">
      <c r="A20" s="28">
        <v>450</v>
      </c>
      <c r="B20" s="36" t="s">
        <v>39</v>
      </c>
      <c r="C20" s="40"/>
      <c r="D20" s="63">
        <f>R37</f>
        <v>29928</v>
      </c>
      <c r="E20" s="40">
        <f t="shared" si="0"/>
        <v>29928</v>
      </c>
      <c r="F20" s="40"/>
      <c r="G20" s="31">
        <f>D20*1.4</f>
        <v>41899.199999999997</v>
      </c>
      <c r="H20" s="31">
        <f>E20*1.4</f>
        <v>41899.199999999997</v>
      </c>
      <c r="I20" s="42">
        <v>1.3</v>
      </c>
      <c r="J20" s="40">
        <f t="shared" ref="J20" si="3">E20-H20</f>
        <v>-11971.199999999997</v>
      </c>
      <c r="K20" s="64" t="s">
        <v>40</v>
      </c>
      <c r="Q20" s="48" t="s">
        <v>7</v>
      </c>
      <c r="R20" s="48">
        <v>2021</v>
      </c>
      <c r="S20" s="48">
        <v>2022</v>
      </c>
      <c r="T20" s="48">
        <v>2023</v>
      </c>
      <c r="U20" s="48">
        <v>2024</v>
      </c>
      <c r="V20" s="48">
        <v>2025</v>
      </c>
    </row>
    <row r="21" spans="1:22" ht="13.5" x14ac:dyDescent="0.25">
      <c r="A21" s="34"/>
      <c r="B21" s="15"/>
      <c r="C21" s="17"/>
      <c r="D21" s="22"/>
      <c r="E21" s="17"/>
      <c r="F21" s="17"/>
      <c r="G21" s="22"/>
      <c r="H21" s="17"/>
      <c r="I21" s="27"/>
      <c r="J21" s="17"/>
      <c r="K21" s="37"/>
      <c r="O21" t="s">
        <v>23</v>
      </c>
      <c r="Q21" s="48" t="s">
        <v>28</v>
      </c>
      <c r="R21" s="46">
        <v>0.1</v>
      </c>
      <c r="S21" s="46">
        <v>0.2</v>
      </c>
      <c r="T21" s="46">
        <v>0.2</v>
      </c>
      <c r="U21" s="46">
        <v>0.2</v>
      </c>
      <c r="V21" s="46">
        <v>0.2</v>
      </c>
    </row>
    <row r="22" spans="1:22" x14ac:dyDescent="0.2">
      <c r="A22" s="6"/>
      <c r="B22" s="29" t="s">
        <v>7</v>
      </c>
      <c r="C22" s="30">
        <f>SUM(C8:C20)</f>
        <v>0</v>
      </c>
      <c r="D22" s="31">
        <f>SUM(D8:D20)</f>
        <v>282056</v>
      </c>
      <c r="E22" s="30">
        <f t="shared" ref="E22:H22" si="4">SUM(E8:E20)</f>
        <v>282056</v>
      </c>
      <c r="F22" s="30">
        <f t="shared" si="4"/>
        <v>0</v>
      </c>
      <c r="G22" s="31">
        <f t="shared" si="4"/>
        <v>391843.4</v>
      </c>
      <c r="H22" s="30">
        <f t="shared" si="4"/>
        <v>391843.4</v>
      </c>
      <c r="I22" s="32">
        <f>H22/E22</f>
        <v>1.3892397254445927</v>
      </c>
      <c r="J22" s="30">
        <f>E22-H22</f>
        <v>-109787.40000000002</v>
      </c>
      <c r="K22" s="44"/>
      <c r="L22" t="s">
        <v>37</v>
      </c>
      <c r="M22" t="s">
        <v>21</v>
      </c>
      <c r="N22" t="s">
        <v>22</v>
      </c>
      <c r="O22">
        <v>140</v>
      </c>
      <c r="P22" s="4">
        <v>904</v>
      </c>
      <c r="Q22" s="47">
        <f>O22*P22</f>
        <v>126560</v>
      </c>
      <c r="R22" s="47">
        <f>$Q$22*R21</f>
        <v>12656</v>
      </c>
      <c r="S22" s="47">
        <f t="shared" ref="S22:V22" si="5">$Q$22*S21</f>
        <v>25312</v>
      </c>
      <c r="T22" s="47">
        <f t="shared" si="5"/>
        <v>25312</v>
      </c>
      <c r="U22" s="47">
        <f t="shared" si="5"/>
        <v>25312</v>
      </c>
      <c r="V22" s="47">
        <f t="shared" si="5"/>
        <v>25312</v>
      </c>
    </row>
    <row r="23" spans="1:22" x14ac:dyDescent="0.2">
      <c r="C23" s="4"/>
      <c r="D23" s="4"/>
      <c r="E23" s="4"/>
      <c r="F23" s="4"/>
      <c r="G23" s="4"/>
      <c r="H23" s="4"/>
      <c r="I23" s="4"/>
      <c r="J23" s="4"/>
      <c r="Q23" s="48"/>
      <c r="R23" s="46">
        <v>0.05</v>
      </c>
      <c r="S23" s="46">
        <v>0.4</v>
      </c>
      <c r="T23" s="46">
        <v>0.4</v>
      </c>
      <c r="U23" s="46">
        <v>0.15</v>
      </c>
      <c r="V23" s="46">
        <v>0</v>
      </c>
    </row>
    <row r="24" spans="1:22" x14ac:dyDescent="0.2">
      <c r="L24" t="s">
        <v>34</v>
      </c>
      <c r="M24" t="s">
        <v>24</v>
      </c>
      <c r="N24" t="s">
        <v>25</v>
      </c>
      <c r="O24">
        <v>118</v>
      </c>
      <c r="P24" s="4">
        <v>4000</v>
      </c>
      <c r="Q24" s="47">
        <f t="shared" ref="Q24" si="6">O24*P24</f>
        <v>472000</v>
      </c>
      <c r="R24" s="51">
        <f>R23*$Q$24</f>
        <v>23600</v>
      </c>
      <c r="S24" s="51">
        <f t="shared" ref="S24:V24" si="7">S23*$Q$24</f>
        <v>188800</v>
      </c>
      <c r="T24" s="51">
        <f t="shared" si="7"/>
        <v>188800</v>
      </c>
      <c r="U24" s="51">
        <f t="shared" si="7"/>
        <v>70800</v>
      </c>
      <c r="V24" s="51">
        <f t="shared" si="7"/>
        <v>0</v>
      </c>
    </row>
    <row r="25" spans="1:22" x14ac:dyDescent="0.2">
      <c r="Q25" s="48"/>
      <c r="R25" s="46">
        <v>0</v>
      </c>
      <c r="S25" s="46">
        <v>0.4</v>
      </c>
      <c r="T25" s="46">
        <v>0.4</v>
      </c>
      <c r="U25" s="46">
        <v>0.2</v>
      </c>
      <c r="V25" s="46">
        <v>0</v>
      </c>
    </row>
    <row r="26" spans="1:22" x14ac:dyDescent="0.2">
      <c r="L26" t="s">
        <v>33</v>
      </c>
      <c r="M26" t="s">
        <v>35</v>
      </c>
      <c r="N26" t="s">
        <v>26</v>
      </c>
      <c r="O26">
        <v>100</v>
      </c>
      <c r="P26" s="4">
        <f>1130</f>
        <v>1130</v>
      </c>
      <c r="Q26" s="47">
        <f>O26*P26</f>
        <v>113000</v>
      </c>
      <c r="R26" s="51">
        <f>R25*$Q$26</f>
        <v>0</v>
      </c>
      <c r="S26" s="51">
        <f t="shared" ref="S26:V26" si="8">S25*$Q$26</f>
        <v>45200</v>
      </c>
      <c r="T26" s="51">
        <f t="shared" si="8"/>
        <v>45200</v>
      </c>
      <c r="U26" s="51">
        <f t="shared" si="8"/>
        <v>22600</v>
      </c>
      <c r="V26" s="51">
        <f t="shared" si="8"/>
        <v>0</v>
      </c>
    </row>
    <row r="27" spans="1:22" x14ac:dyDescent="0.2">
      <c r="Q27" s="48"/>
      <c r="R27" s="46">
        <v>0</v>
      </c>
      <c r="S27" s="46">
        <v>0.4</v>
      </c>
      <c r="T27" s="46">
        <v>0.4</v>
      </c>
      <c r="U27" s="46">
        <v>0.2</v>
      </c>
      <c r="V27" s="46">
        <v>0</v>
      </c>
    </row>
    <row r="28" spans="1:22" x14ac:dyDescent="0.2">
      <c r="L28" t="s">
        <v>32</v>
      </c>
      <c r="M28" t="s">
        <v>36</v>
      </c>
      <c r="N28" t="s">
        <v>26</v>
      </c>
      <c r="O28">
        <v>100</v>
      </c>
      <c r="P28" s="4">
        <f>183</f>
        <v>183</v>
      </c>
      <c r="Q28" s="47">
        <f>O28*P28</f>
        <v>18300</v>
      </c>
      <c r="R28" s="51">
        <f>R27*$Q$28</f>
        <v>0</v>
      </c>
      <c r="S28" s="51">
        <f t="shared" ref="S28:V28" si="9">S27*$Q$28</f>
        <v>7320</v>
      </c>
      <c r="T28" s="51">
        <f t="shared" si="9"/>
        <v>7320</v>
      </c>
      <c r="U28" s="51">
        <f t="shared" si="9"/>
        <v>3660</v>
      </c>
      <c r="V28" s="51">
        <f t="shared" si="9"/>
        <v>0</v>
      </c>
    </row>
    <row r="29" spans="1:22" x14ac:dyDescent="0.2">
      <c r="Q29" s="48"/>
      <c r="R29" s="46">
        <v>0</v>
      </c>
      <c r="S29" s="46">
        <v>0.4</v>
      </c>
      <c r="T29" s="46">
        <v>0.4</v>
      </c>
      <c r="U29" s="46">
        <v>0.2</v>
      </c>
      <c r="V29" s="46">
        <v>0</v>
      </c>
    </row>
    <row r="30" spans="1:22" x14ac:dyDescent="0.2">
      <c r="L30" t="s">
        <v>37</v>
      </c>
      <c r="M30" t="s">
        <v>27</v>
      </c>
      <c r="N30" t="s">
        <v>25</v>
      </c>
      <c r="O30">
        <v>118</v>
      </c>
      <c r="P30" s="17">
        <v>601</v>
      </c>
      <c r="Q30" s="52">
        <f>O30*P30</f>
        <v>70918</v>
      </c>
      <c r="R30" s="51">
        <f>R29*$Q$30</f>
        <v>0</v>
      </c>
      <c r="S30" s="51">
        <f t="shared" ref="S30:V30" si="10">S29*$Q$30</f>
        <v>28367.200000000001</v>
      </c>
      <c r="T30" s="51">
        <f t="shared" si="10"/>
        <v>28367.200000000001</v>
      </c>
      <c r="U30" s="51">
        <f t="shared" si="10"/>
        <v>14183.6</v>
      </c>
      <c r="V30" s="51">
        <f t="shared" si="10"/>
        <v>0</v>
      </c>
    </row>
    <row r="31" spans="1:22" x14ac:dyDescent="0.2">
      <c r="P31" s="6"/>
      <c r="Q31" s="53"/>
      <c r="R31" s="45"/>
      <c r="S31" s="45"/>
      <c r="T31" s="45"/>
      <c r="U31" s="45"/>
      <c r="V31" s="45"/>
    </row>
    <row r="32" spans="1:22" x14ac:dyDescent="0.2">
      <c r="O32" s="4"/>
      <c r="P32" s="47">
        <f>SUM(P22:P30)</f>
        <v>6818</v>
      </c>
      <c r="Q32" s="47">
        <f>SUM(Q22:Q30)</f>
        <v>800778</v>
      </c>
      <c r="R32" s="47">
        <f>R22+R24+R28+R30+R26</f>
        <v>36256</v>
      </c>
      <c r="S32" s="47">
        <f t="shared" ref="S32:V32" si="11">S22+S24+S28+S30+S26</f>
        <v>294999.2</v>
      </c>
      <c r="T32" s="47">
        <f t="shared" si="11"/>
        <v>294999.2</v>
      </c>
      <c r="U32" s="47">
        <f t="shared" si="11"/>
        <v>136555.6</v>
      </c>
      <c r="V32" s="47">
        <f t="shared" si="11"/>
        <v>25312</v>
      </c>
    </row>
    <row r="33" spans="15:22" x14ac:dyDescent="0.2">
      <c r="P33" s="49" t="s">
        <v>30</v>
      </c>
      <c r="Q33" s="50" t="s">
        <v>28</v>
      </c>
    </row>
    <row r="34" spans="15:22" x14ac:dyDescent="0.2">
      <c r="P34" s="7"/>
      <c r="Q34" s="5"/>
      <c r="R34" s="54">
        <v>2021</v>
      </c>
      <c r="S34" s="54">
        <v>2022</v>
      </c>
      <c r="T34" s="54">
        <v>2023</v>
      </c>
      <c r="U34" s="54">
        <v>2024</v>
      </c>
      <c r="V34" s="55">
        <v>2025</v>
      </c>
    </row>
    <row r="35" spans="15:22" x14ac:dyDescent="0.2">
      <c r="O35" s="60">
        <v>9246.25</v>
      </c>
      <c r="P35" s="14" t="s">
        <v>32</v>
      </c>
      <c r="Q35" s="15"/>
      <c r="R35" s="56">
        <f>R28</f>
        <v>0</v>
      </c>
      <c r="S35" s="56">
        <f t="shared" ref="S35:V35" si="12">S28</f>
        <v>7320</v>
      </c>
      <c r="T35" s="56">
        <f t="shared" si="12"/>
        <v>7320</v>
      </c>
      <c r="U35" s="56">
        <f t="shared" si="12"/>
        <v>3660</v>
      </c>
      <c r="V35" s="57">
        <f t="shared" si="12"/>
        <v>0</v>
      </c>
    </row>
    <row r="36" spans="15:22" x14ac:dyDescent="0.2">
      <c r="O36" s="60">
        <v>9246.35</v>
      </c>
      <c r="P36" s="14" t="s">
        <v>33</v>
      </c>
      <c r="Q36" s="15"/>
      <c r="R36" s="56">
        <f>R26+0.5*R30+0.5*R22</f>
        <v>6328</v>
      </c>
      <c r="S36" s="56">
        <f t="shared" ref="S36:V36" si="13">S26+0.5*S30+0.5*S22</f>
        <v>72039.600000000006</v>
      </c>
      <c r="T36" s="56">
        <f t="shared" si="13"/>
        <v>72039.600000000006</v>
      </c>
      <c r="U36" s="56">
        <f t="shared" si="13"/>
        <v>42347.8</v>
      </c>
      <c r="V36" s="57">
        <f t="shared" si="13"/>
        <v>12656</v>
      </c>
    </row>
    <row r="37" spans="15:22" x14ac:dyDescent="0.2">
      <c r="O37" s="60">
        <v>9246.4500000000007</v>
      </c>
      <c r="P37" s="10" t="s">
        <v>34</v>
      </c>
      <c r="Q37" s="6"/>
      <c r="R37" s="58">
        <f>R24+0.5*R30+0.5*R22</f>
        <v>29928</v>
      </c>
      <c r="S37" s="58">
        <f t="shared" ref="S37:V37" si="14">S24+0.5*S30+0.5*S22</f>
        <v>215639.6</v>
      </c>
      <c r="T37" s="58">
        <f t="shared" si="14"/>
        <v>215639.6</v>
      </c>
      <c r="U37" s="58">
        <f t="shared" si="14"/>
        <v>90547.8</v>
      </c>
      <c r="V37" s="59">
        <f t="shared" si="14"/>
        <v>12656</v>
      </c>
    </row>
  </sheetData>
  <mergeCells count="2">
    <mergeCell ref="C5:E5"/>
    <mergeCell ref="F5:H5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Falzone Lorenzo</cp:lastModifiedBy>
  <cp:lastPrinted>2020-05-15T15:50:35Z</cp:lastPrinted>
  <dcterms:created xsi:type="dcterms:W3CDTF">2020-05-15T13:53:54Z</dcterms:created>
  <dcterms:modified xsi:type="dcterms:W3CDTF">2021-05-12T11:47:01Z</dcterms:modified>
</cp:coreProperties>
</file>