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0" windowWidth="24915" windowHeight="12150"/>
  </bookViews>
  <sheets>
    <sheet name="MP-DP" sheetId="2" r:id="rId1"/>
    <sheet name="Endkostenprognose" sheetId="3" r:id="rId2"/>
  </sheets>
  <definedNames>
    <definedName name="_xlnm.Print_Area" localSheetId="1">Endkostenprognose!$A$1:$F$39</definedName>
    <definedName name="_xlnm.Print_Area" localSheetId="0">'MP-DP'!$A$1:$G$35</definedName>
  </definedNames>
  <calcPr calcId="145621" concurrentCalc="0"/>
</workbook>
</file>

<file path=xl/calcChain.xml><?xml version="1.0" encoding="utf-8"?>
<calcChain xmlns="http://schemas.openxmlformats.org/spreadsheetml/2006/main">
  <c r="B32" i="3" l="1"/>
  <c r="C27" i="3"/>
  <c r="E8" i="2"/>
  <c r="G8" i="2"/>
  <c r="N8" i="2"/>
  <c r="N15" i="2"/>
  <c r="E15" i="2"/>
  <c r="G15" i="2"/>
  <c r="G7" i="2"/>
  <c r="G35" i="2"/>
  <c r="C26" i="3"/>
  <c r="B26" i="3"/>
  <c r="B18" i="3"/>
  <c r="J35" i="2"/>
  <c r="C16" i="2"/>
  <c r="C35" i="2"/>
  <c r="M7" i="2"/>
  <c r="C26" i="2"/>
  <c r="E7" i="2"/>
  <c r="E35" i="2"/>
  <c r="C8" i="2"/>
  <c r="M13" i="2"/>
  <c r="N24" i="2"/>
  <c r="K24" i="2"/>
  <c r="G24" i="2"/>
  <c r="I24" i="2"/>
  <c r="E31" i="2"/>
  <c r="E20" i="2"/>
  <c r="E17" i="2"/>
  <c r="E22" i="2"/>
  <c r="C15" i="3"/>
  <c r="B15" i="3"/>
  <c r="D19" i="3"/>
  <c r="D20" i="3"/>
  <c r="D21" i="3"/>
  <c r="C14" i="3"/>
  <c r="C12" i="3"/>
  <c r="C11" i="3"/>
  <c r="C10" i="3"/>
  <c r="C9" i="3"/>
  <c r="C8" i="3"/>
  <c r="B14" i="3"/>
  <c r="B13" i="3"/>
  <c r="B12" i="3"/>
  <c r="B11" i="3"/>
  <c r="B9" i="3"/>
  <c r="B10" i="3"/>
  <c r="B8" i="3"/>
  <c r="D11" i="3"/>
  <c r="D15" i="3"/>
  <c r="B7" i="3"/>
  <c r="D9" i="3"/>
  <c r="C7" i="3"/>
  <c r="D12" i="3"/>
  <c r="B27" i="3"/>
  <c r="D27" i="3"/>
  <c r="D10" i="3"/>
  <c r="D14" i="3"/>
  <c r="D8" i="3"/>
  <c r="E7" i="3"/>
  <c r="J29" i="2"/>
  <c r="J27" i="2"/>
  <c r="E29" i="2"/>
  <c r="E27" i="2"/>
  <c r="E14" i="2"/>
  <c r="E13" i="2"/>
  <c r="E11" i="2"/>
  <c r="C18" i="3"/>
  <c r="E18" i="3"/>
  <c r="E24" i="3"/>
  <c r="Q27" i="2"/>
  <c r="Q13" i="2"/>
  <c r="Q12" i="2"/>
  <c r="E30" i="3"/>
  <c r="O35" i="2"/>
  <c r="N31" i="2"/>
  <c r="O31" i="2"/>
  <c r="N29" i="2"/>
  <c r="O29" i="2"/>
  <c r="N27" i="2"/>
  <c r="N22" i="2"/>
  <c r="O22" i="2"/>
  <c r="N20" i="2"/>
  <c r="O20" i="2"/>
  <c r="N17" i="2"/>
  <c r="N14" i="2"/>
  <c r="O14" i="2"/>
  <c r="N13" i="2"/>
  <c r="O13" i="2"/>
  <c r="N12" i="2"/>
  <c r="O12" i="2"/>
  <c r="O8" i="2"/>
  <c r="M26" i="2"/>
  <c r="M16" i="2"/>
  <c r="K29" i="2"/>
  <c r="L29" i="2"/>
  <c r="C29" i="2"/>
  <c r="L35" i="2"/>
  <c r="J31" i="2"/>
  <c r="K31" i="2"/>
  <c r="L31" i="2"/>
  <c r="C31" i="2"/>
  <c r="K27" i="2"/>
  <c r="L27" i="2"/>
  <c r="J22" i="2"/>
  <c r="K22" i="2"/>
  <c r="L22" i="2"/>
  <c r="C22" i="2"/>
  <c r="J20" i="2"/>
  <c r="K20" i="2"/>
  <c r="L20" i="2"/>
  <c r="C20" i="2"/>
  <c r="J17" i="2"/>
  <c r="K17" i="2"/>
  <c r="L17" i="2"/>
  <c r="C17" i="2"/>
  <c r="J14" i="2"/>
  <c r="K14" i="2"/>
  <c r="L14" i="2"/>
  <c r="C14" i="2"/>
  <c r="J13" i="2"/>
  <c r="K13" i="2"/>
  <c r="L13" i="2"/>
  <c r="C13" i="2"/>
  <c r="J12" i="2"/>
  <c r="K12" i="2"/>
  <c r="L12" i="2"/>
  <c r="C11" i="2"/>
  <c r="J8" i="2"/>
  <c r="N25" i="2"/>
  <c r="N16" i="2"/>
  <c r="K8" i="2"/>
  <c r="L8" i="2"/>
  <c r="C27" i="2"/>
  <c r="L26" i="2"/>
  <c r="J16" i="2"/>
  <c r="L16" i="2"/>
  <c r="O17" i="2"/>
  <c r="O16" i="2"/>
  <c r="J26" i="2"/>
  <c r="J7" i="2"/>
  <c r="N34" i="2"/>
  <c r="N26" i="2"/>
  <c r="O27" i="2"/>
  <c r="O7" i="2"/>
  <c r="M35" i="2"/>
  <c r="K34" i="2"/>
  <c r="K25" i="2"/>
  <c r="K15" i="2"/>
  <c r="K7" i="2"/>
  <c r="E25" i="2"/>
  <c r="L7" i="2"/>
  <c r="E34" i="2"/>
  <c r="K16" i="2"/>
  <c r="C25" i="2"/>
  <c r="C15" i="2"/>
  <c r="C34" i="2"/>
  <c r="K26" i="2"/>
  <c r="N35" i="2"/>
  <c r="O26" i="2"/>
  <c r="N7" i="2"/>
  <c r="K35" i="2"/>
  <c r="G25" i="2"/>
  <c r="I25" i="2"/>
  <c r="G34" i="2"/>
  <c r="I34" i="2"/>
  <c r="I15" i="2"/>
  <c r="G29" i="2"/>
  <c r="I29" i="2"/>
  <c r="G22" i="2"/>
  <c r="I22" i="2"/>
  <c r="E26" i="2"/>
  <c r="E16" i="2"/>
  <c r="C7" i="2"/>
  <c r="G14" i="2"/>
  <c r="I14" i="2"/>
  <c r="G13" i="2"/>
  <c r="I13" i="2"/>
  <c r="G11" i="2"/>
  <c r="I12" i="2"/>
  <c r="G31" i="2"/>
  <c r="I31" i="2"/>
  <c r="G27" i="2"/>
  <c r="I27" i="2"/>
  <c r="G20" i="2"/>
  <c r="I20" i="2"/>
  <c r="G17" i="2"/>
  <c r="I8" i="2"/>
  <c r="I17" i="2"/>
  <c r="G16" i="2"/>
  <c r="I16" i="2"/>
  <c r="I7" i="2"/>
  <c r="G26" i="2"/>
  <c r="I26" i="2"/>
  <c r="I35" i="2"/>
  <c r="C24" i="3"/>
  <c r="C30" i="3"/>
  <c r="D26" i="3"/>
  <c r="B24" i="3"/>
  <c r="B30" i="3"/>
  <c r="B34" i="3"/>
</calcChain>
</file>

<file path=xl/sharedStrings.xml><?xml version="1.0" encoding="utf-8"?>
<sst xmlns="http://schemas.openxmlformats.org/spreadsheetml/2006/main" count="126" uniqueCount="105">
  <si>
    <t>EP SiEp</t>
  </si>
  <si>
    <t>Fachbereich</t>
  </si>
  <si>
    <t>Differenz</t>
  </si>
  <si>
    <t>K, Teil AeBo</t>
  </si>
  <si>
    <t>9 Objekte mit BS 3.0 Mio</t>
  </si>
  <si>
    <t>Feststellung</t>
  </si>
  <si>
    <t>[h]</t>
  </si>
  <si>
    <t>T/G, Teil AeBo</t>
  </si>
  <si>
    <t>T/U Teil AeBo</t>
  </si>
  <si>
    <r>
      <t xml:space="preserve">8 Objekte mit BS </t>
    </r>
    <r>
      <rPr>
        <sz val="10"/>
        <rFont val="Arial"/>
        <family val="2"/>
      </rPr>
      <t>2.0 Mio</t>
    </r>
  </si>
  <si>
    <t>Begründung zu Anpassung</t>
  </si>
  <si>
    <t>2 Objekte, BS 4 Mio</t>
  </si>
  <si>
    <t>Zwischentotal</t>
  </si>
  <si>
    <t>TP 1 - Tunnel / Geotechnik</t>
  </si>
  <si>
    <t>TP 2 - Trasse / Umwelt</t>
  </si>
  <si>
    <t>TP 3 - Kunstbauten</t>
  </si>
  <si>
    <t>T/G, Teil PNP-JS</t>
  </si>
  <si>
    <t>T/U Teil JS</t>
  </si>
  <si>
    <t>K, Teil JS</t>
  </si>
  <si>
    <t>5 Objekte, BS 1.6 Mio</t>
  </si>
  <si>
    <t>5 Objekte, BS 7.8 Mio</t>
  </si>
  <si>
    <t>Wesentlich umfangreichere und komplexere Massnahmen bei allen Objekten.</t>
  </si>
  <si>
    <t>14 Objekte, BS 12.6 Mio</t>
  </si>
  <si>
    <t>Mehraufwand:</t>
  </si>
  <si>
    <t>Ausgangslage (Honorarofferte)</t>
  </si>
  <si>
    <t>MP Aktuell (Stand 04.05.15)</t>
  </si>
  <si>
    <t>Meldung der TPL</t>
  </si>
  <si>
    <t xml:space="preserve">Erste Kalkulationsabschätzung Phase MP / DP             </t>
  </si>
  <si>
    <t>Anteil Projektleitung jeweils ca. 10%</t>
  </si>
  <si>
    <t>-Tunnel</t>
  </si>
  <si>
    <t>-Schutzbauten</t>
  </si>
  <si>
    <t>-Rutschhänge</t>
  </si>
  <si>
    <t>-Stützbauwerke</t>
  </si>
  <si>
    <t>-Lärm</t>
  </si>
  <si>
    <t>-Verkehr/Umwelt</t>
  </si>
  <si>
    <t>-Trasse/Umwelt</t>
  </si>
  <si>
    <t>K, Teil AeBo; WQ</t>
  </si>
  <si>
    <t>---</t>
  </si>
  <si>
    <t>1 Unterführung mit Bach, BS 7 Mio</t>
  </si>
  <si>
    <t>Statisch einfacher, Etappierung aufwendiger, zusätzl. Dossier  DP T-U, "zusätzlicher Bauherr" über alles Reduktion ca. 25%</t>
  </si>
  <si>
    <t xml:space="preserve">Erste Endkostenprognose            </t>
  </si>
  <si>
    <t>CHF</t>
  </si>
  <si>
    <t>Grundauftrag</t>
  </si>
  <si>
    <t>MK / AP</t>
  </si>
  <si>
    <t>MP / DP</t>
  </si>
  <si>
    <t>Ausschreibung, Offertvergleich, Vergabeantrag</t>
  </si>
  <si>
    <t>Unterlagen für die Ausführung</t>
  </si>
  <si>
    <t>Bau / Massnahmenausführung</t>
  </si>
  <si>
    <t>Zusatzleistungen</t>
  </si>
  <si>
    <t>Mehraufwendungen für die Phase MP/DP</t>
  </si>
  <si>
    <t>Mehraufwendungen für die Phase MK/AP</t>
  </si>
  <si>
    <t>Verlängerung der Bauleitung</t>
  </si>
  <si>
    <t>NO 6 - Organisatorische Zusatzleistungen</t>
  </si>
  <si>
    <t>NO 7 - Wildtierquerung</t>
  </si>
  <si>
    <t>Honorar</t>
  </si>
  <si>
    <t>Bemerkungen</t>
  </si>
  <si>
    <t>[CHF]</t>
  </si>
  <si>
    <t>Inbetriebnahme, Abschluss</t>
  </si>
  <si>
    <t>NO 1 - 6 - Objekt- und fachspezifische Zusatzleistungen</t>
  </si>
  <si>
    <t>-</t>
  </si>
  <si>
    <t>Prognose der möglichen Veränderungen</t>
  </si>
  <si>
    <t>Derzeit keine Veränderung zu erwarten.</t>
  </si>
  <si>
    <t>Siehe Abschnitt "Prognose der möglichen Veränderungen" und separat eingereichtes Blatt "Erste Kalkulationsabschätzung Phase MP / DP".</t>
  </si>
  <si>
    <t>Honorarzuschläge (T/G für Nacht und Wochenende)</t>
  </si>
  <si>
    <t>Diese können noch freigegeben werden.</t>
  </si>
  <si>
    <t>Siehe sep. NO</t>
  </si>
  <si>
    <t>Siehe separat eingereichtes Blatt "Erste Kalkulationsabschätzung Phase MP / DP".</t>
  </si>
  <si>
    <t>Als Folge der Bauzeitverlängerung von ca. 2 Jahren auf  ca. 4 Jahre, ergibt sich eine Veränderung. Siehe Abschnitt "Prognose der möglichen Veränderungen".</t>
  </si>
  <si>
    <t>Erste Endkostenprognose</t>
  </si>
  <si>
    <t>(Grundauftrag + 50%)</t>
  </si>
  <si>
    <t>15 Objekte, BS 0.8 Mio</t>
  </si>
  <si>
    <t>10 Objekte, BS 3.2 Mio</t>
  </si>
  <si>
    <t>Instandsetzung plus Wandverlängerungen; BS 2.6 Mio.</t>
  </si>
  <si>
    <t>Instandsetzung plus; BS 0.7 Mio.</t>
  </si>
  <si>
    <t>6 Objekte, BS 1 Mio.</t>
  </si>
  <si>
    <t>5 Objekte, BS 0.6 Mio.</t>
  </si>
  <si>
    <t>9 Objekte, BS 6.0 Mio.</t>
  </si>
  <si>
    <t>Kostenbetrachtung in etwa vergleichbar; BS 19.9 Mio.</t>
  </si>
  <si>
    <t>Detaillierung wird begrenzt und stark an MK orientiert (keine weiteren vertieften Untersuchungen); BS 20.5 Mio.</t>
  </si>
  <si>
    <t>1 Überführung, BS 11 Mio</t>
  </si>
  <si>
    <t>Derzeitiges Delta zur "50%-Regel"</t>
  </si>
  <si>
    <t>"50%-Regel"</t>
  </si>
  <si>
    <t>("+" unter dem Kostendach der "50%-Regel" / 
"-" über dem Kostendach der "50%-Regel")</t>
  </si>
  <si>
    <t>Deutlich weniger Objekte, deshalb weniger Aufwand.</t>
  </si>
  <si>
    <t xml:space="preserve">Im MP T/U, werden wir lediglich die Positionen weiterführen, welche gem. MK eine Instandsetzung erfordern. Abgeschlossene Bereiche (z.B. Grundwasserschutzmauern oder Abschnitte ohne Massnahmen bei Zäunen und FZRS, etc.) werden nicht weiter bearbeitet. </t>
  </si>
  <si>
    <t>Eingereichte und genehmigte Nachträge</t>
  </si>
  <si>
    <t>Bemerkungen:</t>
  </si>
  <si>
    <t>Aus heutiger Sicht keine Veränderungen zu erwarten, je nach Auslegung der Phase MP/DP könnten hier Leistungen vorbezogen werden.</t>
  </si>
  <si>
    <t>Anlässlich der PS 19/15 vom 04.05.15 wurde das Blatt "Erste Kalkulationsabschätzung Phasenabschluss MK/AP" gem. anstehender Überarbeitung eingereicht.</t>
  </si>
  <si>
    <t>Komplexität gleichwertig / Anpassung über Anz. Objekte (ca. 10%).</t>
  </si>
  <si>
    <t>Zusätzliche Etappen, jedoch nicht wesentlich umfangreicher</t>
  </si>
  <si>
    <t>Aufwandschätzung basiert auf: 1 Dossier K für Wandersatz / 1 Doss. K-light für Instandsetzung / 1 Dossier SSF (nicht gem. FHB). Aufwand von 800 h stellt ein absolutes Minimum dar. Im Rahmen der Offerte wurde der Aufwand unterschätzt.</t>
  </si>
  <si>
    <t>Vorleistungen T/U (NO 5)</t>
  </si>
  <si>
    <t>Vorbezug im MK T/U</t>
  </si>
  <si>
    <t>Mehraufwand durch neue Sackung Zunzgen, diese sind, da Spezialleistungen, nicht in der Zusammenstellung enthalten und betragen ca. 120h.</t>
  </si>
  <si>
    <t>Stand 14.01.2016</t>
  </si>
  <si>
    <r>
      <t xml:space="preserve">Weniger Objekte und weniger Bausumme, jedoch die Bearbeitung ist komplexer und deshalb die Reduktion nicht sehr gross. Die Zustandserfassung Obj. 720.18, 720.14 und 720.2 sind in den Stunden nicht enthalten </t>
    </r>
    <r>
      <rPr>
        <strike/>
        <sz val="10"/>
        <color theme="3" tint="0.39994506668294322"/>
        <rFont val="Arial"/>
        <family val="2"/>
      </rPr>
      <t xml:space="preserve">und betragen sep. ca. 150h </t>
    </r>
    <r>
      <rPr>
        <sz val="10"/>
        <color theme="3" tint="0.39997558519241921"/>
        <rFont val="Arial"/>
        <family val="2"/>
      </rPr>
      <t>und erfolgen in der Phase MK/AP.</t>
    </r>
  </si>
  <si>
    <t>MP aktueller Wissenstand</t>
  </si>
  <si>
    <r>
      <t>Es existieren hierfür die NO 1-</t>
    </r>
    <r>
      <rPr>
        <sz val="10"/>
        <color theme="3" tint="0.39997558519241921"/>
        <rFont val="Arial"/>
        <family val="2"/>
      </rPr>
      <t>8</t>
    </r>
    <r>
      <rPr>
        <sz val="10"/>
        <color theme="1"/>
        <rFont val="Arial"/>
        <family val="2"/>
      </rPr>
      <t xml:space="preserve"> 7</t>
    </r>
    <r>
      <rPr>
        <strike/>
        <sz val="10"/>
        <color theme="1"/>
        <rFont val="Arial"/>
        <family val="2"/>
      </rPr>
      <t>, zudem ist auf den Abschnitt "Prognose der Möglichen Veränderungen" verwiesen.</t>
    </r>
  </si>
  <si>
    <t>Eingereichte NO 8, Stand 18.12.16</t>
  </si>
  <si>
    <t>NO 8 - Massnhamen Phase MK/AP</t>
  </si>
  <si>
    <r>
      <t xml:space="preserve">Als Folge der Bauzeitverlängerung von ca. 2 Jahren auf  ca. 4 Jahre, ergibt sich eine Veränderung. Wir haben dabei basierend auf dem Grundauftrag eine Hochrechnung und Ausblickprognose gemacht. Anstelle der 16'500 Stunden gehen wir von Total </t>
    </r>
    <r>
      <rPr>
        <strike/>
        <sz val="10"/>
        <color theme="1"/>
        <rFont val="Arial"/>
        <family val="2"/>
      </rPr>
      <t>29'300</t>
    </r>
    <r>
      <rPr>
        <sz val="10"/>
        <color theme="1"/>
        <rFont val="Arial"/>
        <family val="2"/>
      </rPr>
      <t xml:space="preserve"> </t>
    </r>
    <r>
      <rPr>
        <sz val="10"/>
        <color theme="3" tint="0.39997558519241921"/>
        <rFont val="Arial"/>
        <family val="2"/>
      </rPr>
      <t>26'000</t>
    </r>
    <r>
      <rPr>
        <sz val="10"/>
        <color theme="1"/>
        <rFont val="Arial"/>
        <family val="2"/>
      </rPr>
      <t xml:space="preserve"> Stunden aus.</t>
    </r>
  </si>
  <si>
    <t>Die Sackung Zunzgen (ca. 120 Stunden) wären als separater Auftrag denkbar.</t>
  </si>
  <si>
    <t>3 Objekte, BS 8.2 Mio.</t>
  </si>
  <si>
    <r>
      <t>Weitergehende und nachhaltige Massnahmen Bankett,</t>
    </r>
    <r>
      <rPr>
        <strike/>
        <sz val="10"/>
        <color theme="1"/>
        <rFont val="Arial"/>
        <family val="2"/>
      </rPr>
      <t xml:space="preserve"> Löschwasserleitung</t>
    </r>
    <r>
      <rPr>
        <sz val="10"/>
        <color theme="1"/>
        <rFont val="Arial"/>
        <family val="2"/>
      </rPr>
      <t xml:space="preserve">, Deckbelagsersatz, Wandbeschichtung etc. </t>
    </r>
    <r>
      <rPr>
        <strike/>
        <sz val="10"/>
        <color theme="1"/>
        <rFont val="Arial"/>
        <family val="2"/>
      </rPr>
      <t>Kein sep. Dossier Löschwasserleitung eingerechnet.</t>
    </r>
    <r>
      <rPr>
        <sz val="10"/>
        <color theme="1"/>
        <rFont val="Arial"/>
        <family val="2"/>
      </rPr>
      <t xml:space="preserve">
</t>
    </r>
    <r>
      <rPr>
        <sz val="10"/>
        <color rgb="FF0070C0"/>
        <rFont val="Arial"/>
        <family val="2"/>
      </rPr>
      <t>Separates Dossier DP Antirezirkulationswand.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</si>
</sst>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4"/>
      <color rgb="FFFF0000"/>
      <name val="Arial"/>
      <family val="2"/>
    </font>
    <font>
      <i/>
      <sz val="10"/>
      <color theme="1"/>
      <name val="Arial"/>
      <family val="2"/>
    </font>
    <font>
      <sz val="10"/>
      <color theme="3" tint="0.39997558519241921"/>
      <name val="Arial"/>
      <family val="2"/>
    </font>
    <font>
      <b/>
      <sz val="10"/>
      <color theme="3" tint="0.39997558519241921"/>
      <name val="Arial"/>
      <family val="2"/>
    </font>
    <font>
      <sz val="10"/>
      <color rgb="FF00B050"/>
      <name val="Arial"/>
      <family val="2"/>
    </font>
    <font>
      <strike/>
      <sz val="10"/>
      <color theme="1"/>
      <name val="Arial"/>
      <family val="2"/>
    </font>
    <font>
      <strike/>
      <sz val="10"/>
      <color theme="3" tint="0.39994506668294322"/>
      <name val="Arial"/>
      <family val="2"/>
    </font>
    <font>
      <sz val="10"/>
      <color theme="6" tint="-0.249977111117893"/>
      <name val="Arial"/>
      <family val="2"/>
    </font>
    <font>
      <strike/>
      <sz val="10"/>
      <color rgb="FFFF0000"/>
      <name val="Arial"/>
      <family val="2"/>
    </font>
    <font>
      <sz val="10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2" fillId="0" borderId="0" xfId="0" applyFont="1"/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64" fontId="5" fillId="2" borderId="3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0" xfId="0" applyBorder="1" applyAlignment="1">
      <alignment vertical="center"/>
    </xf>
    <xf numFmtId="164" fontId="0" fillId="0" borderId="3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2" xfId="1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0" fontId="0" fillId="0" borderId="3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/>
    <xf numFmtId="164" fontId="9" fillId="2" borderId="3" xfId="1" applyNumberFormat="1" applyFont="1" applyFill="1" applyBorder="1" applyAlignment="1">
      <alignment horizontal="center" vertical="center"/>
    </xf>
    <xf numFmtId="164" fontId="8" fillId="0" borderId="0" xfId="0" applyNumberFormat="1" applyFont="1"/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164" fontId="0" fillId="3" borderId="3" xfId="1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164" fontId="0" fillId="3" borderId="2" xfId="1" applyNumberFormat="1" applyFont="1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10" fillId="0" borderId="0" xfId="0" applyFont="1"/>
    <xf numFmtId="0" fontId="0" fillId="0" borderId="8" xfId="0" quotePrefix="1" applyBorder="1" applyAlignment="1">
      <alignment vertical="center"/>
    </xf>
    <xf numFmtId="164" fontId="12" fillId="0" borderId="3" xfId="1" applyNumberFormat="1" applyFont="1" applyBorder="1" applyAlignment="1">
      <alignment horizontal="center" vertical="center"/>
    </xf>
    <xf numFmtId="164" fontId="12" fillId="0" borderId="8" xfId="1" applyNumberFormat="1" applyFont="1" applyBorder="1" applyAlignment="1">
      <alignment horizontal="center" vertical="center"/>
    </xf>
    <xf numFmtId="164" fontId="12" fillId="0" borderId="2" xfId="1" applyNumberFormat="1" applyFont="1" applyBorder="1" applyAlignment="1">
      <alignment horizontal="center" vertical="center"/>
    </xf>
    <xf numFmtId="164" fontId="13" fillId="2" borderId="3" xfId="1" applyNumberFormat="1" applyFont="1" applyFill="1" applyBorder="1" applyAlignment="1">
      <alignment horizontal="center" vertical="center"/>
    </xf>
    <xf numFmtId="164" fontId="12" fillId="0" borderId="9" xfId="1" applyNumberFormat="1" applyFont="1" applyFill="1" applyBorder="1" applyAlignment="1">
      <alignment horizontal="center" vertical="center"/>
    </xf>
    <xf numFmtId="164" fontId="12" fillId="0" borderId="3" xfId="1" applyNumberFormat="1" applyFont="1" applyFill="1" applyBorder="1" applyAlignment="1">
      <alignment horizontal="center" vertical="center"/>
    </xf>
    <xf numFmtId="164" fontId="12" fillId="0" borderId="4" xfId="1" applyNumberFormat="1" applyFont="1" applyBorder="1" applyAlignment="1">
      <alignment horizontal="center" vertical="center"/>
    </xf>
    <xf numFmtId="164" fontId="12" fillId="0" borderId="8" xfId="1" applyNumberFormat="1" applyFont="1" applyFill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0" fillId="0" borderId="5" xfId="0" quotePrefix="1" applyFill="1" applyBorder="1" applyAlignment="1">
      <alignment vertical="center"/>
    </xf>
    <xf numFmtId="9" fontId="0" fillId="0" borderId="0" xfId="2" applyFont="1"/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11" xfId="0" applyFill="1" applyBorder="1" applyAlignment="1">
      <alignment vertical="center"/>
    </xf>
    <xf numFmtId="0" fontId="0" fillId="0" borderId="11" xfId="0" applyFill="1" applyBorder="1" applyAlignment="1">
      <alignment vertical="center" wrapText="1"/>
    </xf>
    <xf numFmtId="164" fontId="6" fillId="0" borderId="11" xfId="1" applyNumberFormat="1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quotePrefix="1" applyFont="1" applyFill="1" applyBorder="1" applyAlignment="1">
      <alignment vertical="center"/>
    </xf>
    <xf numFmtId="164" fontId="0" fillId="0" borderId="11" xfId="1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vertical="center"/>
    </xf>
    <xf numFmtId="0" fontId="0" fillId="0" borderId="11" xfId="0" quotePrefix="1" applyFill="1" applyBorder="1" applyAlignment="1">
      <alignment vertical="center"/>
    </xf>
    <xf numFmtId="164" fontId="0" fillId="0" borderId="3" xfId="1" applyNumberFormat="1" applyFon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164" fontId="4" fillId="0" borderId="3" xfId="1" applyNumberFormat="1" applyFont="1" applyFill="1" applyBorder="1" applyAlignment="1">
      <alignment horizontal="center" vertical="center"/>
    </xf>
    <xf numFmtId="164" fontId="4" fillId="0" borderId="11" xfId="1" applyNumberFormat="1" applyFont="1" applyFill="1" applyBorder="1" applyAlignment="1">
      <alignment horizontal="center" vertical="center"/>
    </xf>
    <xf numFmtId="43" fontId="0" fillId="0" borderId="3" xfId="0" applyNumberFormat="1" applyFill="1" applyBorder="1" applyAlignment="1">
      <alignment vertical="center"/>
    </xf>
    <xf numFmtId="43" fontId="0" fillId="0" borderId="11" xfId="0" applyNumberFormat="1" applyFill="1" applyBorder="1" applyAlignment="1">
      <alignment vertical="center"/>
    </xf>
    <xf numFmtId="0" fontId="0" fillId="0" borderId="11" xfId="0" applyFill="1" applyBorder="1"/>
    <xf numFmtId="164" fontId="0" fillId="0" borderId="0" xfId="1" applyNumberFormat="1" applyFont="1"/>
    <xf numFmtId="164" fontId="0" fillId="3" borderId="6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vertical="center"/>
    </xf>
    <xf numFmtId="164" fontId="0" fillId="0" borderId="3" xfId="1" applyNumberFormat="1" applyFont="1" applyFill="1" applyBorder="1" applyAlignment="1">
      <alignment vertical="center"/>
    </xf>
    <xf numFmtId="164" fontId="0" fillId="0" borderId="11" xfId="1" applyNumberFormat="1" applyFont="1" applyFill="1" applyBorder="1" applyAlignment="1">
      <alignment vertical="center"/>
    </xf>
    <xf numFmtId="164" fontId="0" fillId="0" borderId="12" xfId="1" applyNumberFormat="1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vertical="center"/>
    </xf>
    <xf numFmtId="164" fontId="0" fillId="0" borderId="2" xfId="1" applyNumberFormat="1" applyFont="1" applyFill="1" applyBorder="1" applyAlignment="1">
      <alignment vertical="center" wrapText="1"/>
    </xf>
    <xf numFmtId="164" fontId="0" fillId="0" borderId="11" xfId="1" applyNumberFormat="1" applyFont="1" applyFill="1" applyBorder="1" applyAlignment="1">
      <alignment vertical="center" wrapText="1"/>
    </xf>
    <xf numFmtId="164" fontId="0" fillId="0" borderId="1" xfId="1" applyNumberFormat="1" applyFont="1" applyFill="1" applyBorder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0" xfId="0" applyFont="1"/>
    <xf numFmtId="0" fontId="11" fillId="0" borderId="11" xfId="0" applyFont="1" applyFill="1" applyBorder="1" applyAlignment="1">
      <alignment vertical="center" wrapText="1"/>
    </xf>
    <xf numFmtId="2" fontId="0" fillId="0" borderId="2" xfId="0" applyNumberFormat="1" applyBorder="1" applyAlignment="1">
      <alignment vertical="center"/>
    </xf>
    <xf numFmtId="0" fontId="0" fillId="0" borderId="3" xfId="0" quotePrefix="1" applyFill="1" applyBorder="1" applyAlignment="1">
      <alignment vertical="center" wrapText="1"/>
    </xf>
    <xf numFmtId="0" fontId="0" fillId="0" borderId="11" xfId="0" quotePrefix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horizontal="right" vertical="center" wrapText="1"/>
    </xf>
    <xf numFmtId="164" fontId="4" fillId="0" borderId="11" xfId="1" quotePrefix="1" applyNumberFormat="1" applyFont="1" applyFill="1" applyBorder="1" applyAlignment="1">
      <alignment horizontal="center" vertical="center"/>
    </xf>
    <xf numFmtId="43" fontId="5" fillId="2" borderId="0" xfId="1" applyNumberFormat="1" applyFont="1" applyFill="1" applyBorder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4" fillId="0" borderId="3" xfId="1" applyNumberFormat="1" applyFont="1" applyBorder="1" applyAlignment="1">
      <alignment horizontal="center" vertical="center"/>
    </xf>
    <xf numFmtId="164" fontId="4" fillId="0" borderId="8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164" fontId="4" fillId="0" borderId="8" xfId="1" applyNumberFormat="1" applyFont="1" applyFill="1" applyBorder="1" applyAlignment="1">
      <alignment horizontal="center" vertical="center"/>
    </xf>
    <xf numFmtId="164" fontId="4" fillId="0" borderId="4" xfId="1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0" fillId="0" borderId="3" xfId="0" quotePrefix="1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164" fontId="0" fillId="0" borderId="15" xfId="1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vertical="center"/>
    </xf>
    <xf numFmtId="164" fontId="6" fillId="0" borderId="15" xfId="1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vertical="center" wrapText="1"/>
    </xf>
    <xf numFmtId="0" fontId="7" fillId="0" borderId="0" xfId="0" applyFont="1"/>
    <xf numFmtId="164" fontId="1" fillId="0" borderId="12" xfId="1" applyNumberFormat="1" applyFont="1" applyFill="1" applyBorder="1"/>
    <xf numFmtId="164" fontId="12" fillId="0" borderId="11" xfId="1" applyNumberFormat="1" applyFont="1" applyFill="1" applyBorder="1" applyAlignment="1">
      <alignment horizontal="center" vertical="center"/>
    </xf>
    <xf numFmtId="43" fontId="0" fillId="0" borderId="11" xfId="0" applyNumberFormat="1" applyFont="1" applyFill="1" applyBorder="1" applyAlignment="1">
      <alignment vertical="center"/>
    </xf>
    <xf numFmtId="0" fontId="0" fillId="0" borderId="11" xfId="0" quotePrefix="1" applyFont="1" applyFill="1" applyBorder="1" applyAlignment="1">
      <alignment vertical="center" wrapText="1"/>
    </xf>
    <xf numFmtId="164" fontId="14" fillId="0" borderId="3" xfId="1" applyNumberFormat="1" applyFont="1" applyFill="1" applyBorder="1" applyAlignment="1">
      <alignment horizontal="center" vertical="center"/>
    </xf>
    <xf numFmtId="164" fontId="14" fillId="0" borderId="2" xfId="1" applyNumberFormat="1" applyFont="1" applyBorder="1" applyAlignment="1">
      <alignment horizontal="center" vertical="center"/>
    </xf>
    <xf numFmtId="164" fontId="14" fillId="0" borderId="9" xfId="1" applyNumberFormat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3" xfId="0" quotePrefix="1" applyBorder="1" applyAlignment="1">
      <alignment vertical="center"/>
    </xf>
    <xf numFmtId="164" fontId="0" fillId="3" borderId="11" xfId="1" applyNumberFormat="1" applyFont="1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164" fontId="0" fillId="3" borderId="15" xfId="1" applyNumberFormat="1" applyFont="1" applyFill="1" applyBorder="1" applyAlignment="1">
      <alignment horizontal="center" vertical="center"/>
    </xf>
    <xf numFmtId="0" fontId="0" fillId="3" borderId="17" xfId="0" applyFill="1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7" xfId="0" quotePrefix="1" applyFill="1" applyBorder="1" applyAlignment="1">
      <alignment vertical="center"/>
    </xf>
    <xf numFmtId="164" fontId="0" fillId="0" borderId="9" xfId="1" applyNumberFormat="1" applyFont="1" applyBorder="1" applyAlignment="1">
      <alignment horizontal="center" vertical="center"/>
    </xf>
    <xf numFmtId="0" fontId="0" fillId="3" borderId="12" xfId="0" applyFill="1" applyBorder="1" applyAlignment="1">
      <alignment vertical="center"/>
    </xf>
    <xf numFmtId="0" fontId="0" fillId="0" borderId="12" xfId="0" quotePrefix="1" applyBorder="1" applyAlignment="1">
      <alignment vertical="center"/>
    </xf>
    <xf numFmtId="164" fontId="1" fillId="0" borderId="11" xfId="1" applyNumberFormat="1" applyFont="1" applyBorder="1" applyAlignment="1">
      <alignment horizontal="center" vertical="center"/>
    </xf>
    <xf numFmtId="0" fontId="0" fillId="0" borderId="12" xfId="0" quotePrefix="1" applyFill="1" applyBorder="1" applyAlignment="1">
      <alignment vertical="center"/>
    </xf>
    <xf numFmtId="164" fontId="0" fillId="0" borderId="11" xfId="1" applyNumberFormat="1" applyFont="1" applyBorder="1" applyAlignment="1">
      <alignment horizontal="center" vertical="center"/>
    </xf>
    <xf numFmtId="0" fontId="0" fillId="0" borderId="12" xfId="0" applyFill="1" applyBorder="1" applyAlignment="1">
      <alignment vertical="center" wrapText="1"/>
    </xf>
    <xf numFmtId="0" fontId="12" fillId="0" borderId="0" xfId="0" applyFont="1" applyAlignment="1">
      <alignment horizontal="right"/>
    </xf>
    <xf numFmtId="0" fontId="0" fillId="3" borderId="13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164" fontId="14" fillId="4" borderId="3" xfId="1" applyNumberFormat="1" applyFont="1" applyFill="1" applyBorder="1" applyAlignment="1">
      <alignment horizontal="center" vertical="center"/>
    </xf>
    <xf numFmtId="0" fontId="17" fillId="0" borderId="11" xfId="0" quotePrefix="1" applyFont="1" applyFill="1" applyBorder="1" applyAlignment="1">
      <alignment vertical="center"/>
    </xf>
    <xf numFmtId="164" fontId="17" fillId="0" borderId="12" xfId="1" applyNumberFormat="1" applyFont="1" applyFill="1" applyBorder="1"/>
    <xf numFmtId="164" fontId="17" fillId="0" borderId="11" xfId="1" applyNumberFormat="1" applyFont="1" applyFill="1" applyBorder="1" applyAlignment="1">
      <alignment horizontal="center" vertical="center"/>
    </xf>
    <xf numFmtId="43" fontId="17" fillId="0" borderId="11" xfId="0" applyNumberFormat="1" applyFont="1" applyFill="1" applyBorder="1" applyAlignment="1">
      <alignment vertical="center"/>
    </xf>
    <xf numFmtId="0" fontId="17" fillId="0" borderId="11" xfId="0" quotePrefix="1" applyFont="1" applyFill="1" applyBorder="1" applyAlignment="1">
      <alignment vertical="center" wrapText="1"/>
    </xf>
    <xf numFmtId="164" fontId="12" fillId="0" borderId="11" xfId="1" applyNumberFormat="1" applyFont="1" applyFill="1" applyBorder="1" applyAlignment="1">
      <alignment vertical="center" wrapText="1"/>
    </xf>
    <xf numFmtId="0" fontId="12" fillId="0" borderId="11" xfId="0" applyFont="1" applyFill="1" applyBorder="1" applyAlignment="1">
      <alignment vertical="center"/>
    </xf>
    <xf numFmtId="0" fontId="12" fillId="0" borderId="11" xfId="0" applyFont="1" applyFill="1" applyBorder="1" applyAlignment="1">
      <alignment vertical="center" wrapText="1"/>
    </xf>
    <xf numFmtId="0" fontId="15" fillId="0" borderId="3" xfId="0" applyFont="1" applyBorder="1" applyAlignment="1">
      <alignment vertical="center"/>
    </xf>
    <xf numFmtId="164" fontId="15" fillId="0" borderId="3" xfId="1" applyNumberFormat="1" applyFont="1" applyFill="1" applyBorder="1" applyAlignment="1">
      <alignment vertical="center"/>
    </xf>
    <xf numFmtId="164" fontId="15" fillId="0" borderId="3" xfId="1" applyNumberFormat="1" applyFont="1" applyFill="1" applyBorder="1" applyAlignment="1">
      <alignment horizontal="center" vertical="center"/>
    </xf>
    <xf numFmtId="43" fontId="15" fillId="0" borderId="11" xfId="0" applyNumberFormat="1" applyFont="1" applyFill="1" applyBorder="1" applyAlignment="1">
      <alignment vertical="center"/>
    </xf>
    <xf numFmtId="164" fontId="18" fillId="0" borderId="3" xfId="1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vertical="center" wrapText="1"/>
    </xf>
    <xf numFmtId="164" fontId="0" fillId="4" borderId="11" xfId="1" applyNumberFormat="1" applyFont="1" applyFill="1" applyBorder="1" applyAlignment="1">
      <alignment horizontal="center" vertical="center"/>
    </xf>
    <xf numFmtId="164" fontId="1" fillId="3" borderId="9" xfId="1" applyNumberFormat="1" applyFont="1" applyFill="1" applyBorder="1" applyAlignment="1">
      <alignment horizontal="center" vertical="center"/>
    </xf>
    <xf numFmtId="164" fontId="1" fillId="3" borderId="8" xfId="1" applyNumberFormat="1" applyFont="1" applyFill="1" applyBorder="1" applyAlignment="1">
      <alignment horizontal="center" vertical="center"/>
    </xf>
    <xf numFmtId="164" fontId="6" fillId="0" borderId="9" xfId="1" applyNumberFormat="1" applyFont="1" applyFill="1" applyBorder="1" applyAlignment="1">
      <alignment horizontal="center" vertical="center"/>
    </xf>
    <xf numFmtId="164" fontId="6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164" fontId="1" fillId="3" borderId="3" xfId="1" applyNumberFormat="1" applyFont="1" applyFill="1" applyBorder="1" applyAlignment="1">
      <alignment horizontal="center" vertical="center"/>
    </xf>
    <xf numFmtId="164" fontId="1" fillId="3" borderId="4" xfId="1" applyNumberFormat="1" applyFont="1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164" fontId="0" fillId="3" borderId="8" xfId="1" applyNumberFormat="1" applyFont="1" applyFill="1" applyBorder="1" applyAlignment="1">
      <alignment horizontal="center" vertical="center"/>
    </xf>
    <xf numFmtId="164" fontId="0" fillId="3" borderId="3" xfId="1" applyNumberFormat="1" applyFont="1" applyFill="1" applyBorder="1" applyAlignment="1">
      <alignment horizontal="center" vertical="center"/>
    </xf>
    <xf numFmtId="164" fontId="6" fillId="0" borderId="3" xfId="1" applyNumberFormat="1" applyFont="1" applyFill="1" applyBorder="1" applyAlignment="1">
      <alignment horizontal="center" vertical="center"/>
    </xf>
    <xf numFmtId="164" fontId="0" fillId="0" borderId="9" xfId="1" quotePrefix="1" applyNumberFormat="1" applyFont="1" applyFill="1" applyBorder="1" applyAlignment="1">
      <alignment horizontal="center" vertical="center"/>
    </xf>
    <xf numFmtId="164" fontId="0" fillId="0" borderId="8" xfId="1" quotePrefix="1" applyNumberFormat="1" applyFont="1" applyFill="1" applyBorder="1" applyAlignment="1">
      <alignment horizontal="center" vertical="center"/>
    </xf>
    <xf numFmtId="164" fontId="0" fillId="0" borderId="3" xfId="1" quotePrefix="1" applyNumberFormat="1" applyFont="1" applyFill="1" applyBorder="1" applyAlignment="1">
      <alignment horizontal="center" vertical="center"/>
    </xf>
    <xf numFmtId="164" fontId="0" fillId="0" borderId="4" xfId="1" quotePrefix="1" applyNumberFormat="1" applyFont="1" applyFill="1" applyBorder="1" applyAlignment="1">
      <alignment horizontal="center" vertical="center"/>
    </xf>
    <xf numFmtId="164" fontId="6" fillId="4" borderId="9" xfId="1" applyNumberFormat="1" applyFont="1" applyFill="1" applyBorder="1" applyAlignment="1">
      <alignment horizontal="center" vertical="center"/>
    </xf>
    <xf numFmtId="164" fontId="6" fillId="4" borderId="3" xfId="1" applyNumberFormat="1" applyFont="1" applyFill="1" applyBorder="1" applyAlignment="1">
      <alignment horizontal="center" vertical="center"/>
    </xf>
    <xf numFmtId="164" fontId="6" fillId="4" borderId="4" xfId="1" applyNumberFormat="1" applyFont="1" applyFill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8" xfId="1" applyNumberFormat="1" applyFont="1" applyBorder="1" applyAlignment="1">
      <alignment horizontal="center" vertical="center"/>
    </xf>
    <xf numFmtId="164" fontId="6" fillId="0" borderId="9" xfId="1" applyNumberFormat="1" applyFont="1" applyBorder="1" applyAlignment="1">
      <alignment horizontal="center" vertical="center"/>
    </xf>
    <xf numFmtId="0" fontId="0" fillId="3" borderId="9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164" fontId="0" fillId="0" borderId="9" xfId="1" applyNumberFormat="1" applyFont="1" applyFill="1" applyBorder="1" applyAlignment="1">
      <alignment horizontal="center" vertical="center"/>
    </xf>
    <xf numFmtId="164" fontId="0" fillId="0" borderId="8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quotePrefix="1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0" fontId="0" fillId="0" borderId="8" xfId="0" applyFill="1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164" fontId="0" fillId="3" borderId="2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3" borderId="8" xfId="0" applyFill="1" applyBorder="1" applyAlignment="1">
      <alignment vertical="center" wrapText="1"/>
    </xf>
    <xf numFmtId="0" fontId="0" fillId="3" borderId="9" xfId="0" applyFill="1" applyBorder="1" applyAlignment="1">
      <alignment vertical="center" wrapText="1"/>
    </xf>
    <xf numFmtId="0" fontId="12" fillId="0" borderId="0" xfId="0" applyFont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43" fontId="5" fillId="2" borderId="0" xfId="1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0" fillId="5" borderId="3" xfId="0" applyFill="1" applyBorder="1" applyAlignment="1">
      <alignment vertical="center"/>
    </xf>
    <xf numFmtId="164" fontId="6" fillId="5" borderId="3" xfId="1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vertical="center" wrapText="1"/>
    </xf>
    <xf numFmtId="0" fontId="0" fillId="5" borderId="8" xfId="0" applyFill="1" applyBorder="1" applyAlignment="1">
      <alignment vertical="center"/>
    </xf>
    <xf numFmtId="164" fontId="6" fillId="5" borderId="8" xfId="1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vertical="center" wrapText="1"/>
    </xf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7"/>
  <sheetViews>
    <sheetView showGridLines="0" tabSelected="1" zoomScale="80" zoomScaleNormal="80" workbookViewId="0">
      <selection activeCell="Q35" sqref="A1:Q35"/>
    </sheetView>
  </sheetViews>
  <sheetFormatPr baseColWidth="10" defaultRowHeight="12.75" x14ac:dyDescent="0.2"/>
  <cols>
    <col min="1" max="1" width="32.140625" customWidth="1"/>
    <col min="2" max="2" width="23.140625" customWidth="1"/>
    <col min="3" max="3" width="8.140625" bestFit="1" customWidth="1"/>
    <col min="4" max="4" width="22" customWidth="1"/>
    <col min="5" max="5" width="8.140625" bestFit="1" customWidth="1"/>
    <col min="6" max="6" width="55.28515625" customWidth="1"/>
    <col min="7" max="7" width="7.85546875" bestFit="1" customWidth="1"/>
    <col min="10" max="10" width="8.140625" bestFit="1" customWidth="1"/>
    <col min="11" max="11" width="8" bestFit="1" customWidth="1"/>
    <col min="12" max="12" width="7.140625" bestFit="1" customWidth="1"/>
    <col min="14" max="14" width="7" bestFit="1" customWidth="1"/>
    <col min="15" max="15" width="7.140625" bestFit="1" customWidth="1"/>
  </cols>
  <sheetData>
    <row r="1" spans="1:17" ht="15.75" x14ac:dyDescent="0.25">
      <c r="A1" s="1" t="s">
        <v>0</v>
      </c>
    </row>
    <row r="2" spans="1:17" ht="18" x14ac:dyDescent="0.25">
      <c r="A2" s="33" t="s">
        <v>27</v>
      </c>
      <c r="F2" s="206" t="s">
        <v>95</v>
      </c>
      <c r="G2" s="206"/>
      <c r="M2" s="193" t="s">
        <v>26</v>
      </c>
      <c r="N2" s="194"/>
      <c r="O2" s="195"/>
    </row>
    <row r="3" spans="1:17" ht="7.5" customHeight="1" x14ac:dyDescent="0.2">
      <c r="J3" s="196" t="s">
        <v>24</v>
      </c>
      <c r="K3" s="197"/>
      <c r="L3" s="197"/>
      <c r="M3" s="198" t="s">
        <v>25</v>
      </c>
      <c r="N3" s="199"/>
      <c r="O3" s="200"/>
    </row>
    <row r="4" spans="1:17" x14ac:dyDescent="0.2">
      <c r="A4" s="2" t="s">
        <v>1</v>
      </c>
      <c r="B4" s="201" t="s">
        <v>24</v>
      </c>
      <c r="C4" s="201"/>
      <c r="D4" s="207" t="s">
        <v>97</v>
      </c>
      <c r="E4" s="207"/>
      <c r="F4" s="2" t="s">
        <v>10</v>
      </c>
      <c r="G4" s="3" t="s">
        <v>2</v>
      </c>
      <c r="K4">
        <v>10</v>
      </c>
      <c r="N4">
        <v>10</v>
      </c>
    </row>
    <row r="5" spans="1:17" x14ac:dyDescent="0.2">
      <c r="A5" s="2"/>
      <c r="B5" s="23" t="s">
        <v>5</v>
      </c>
      <c r="C5" s="24" t="s">
        <v>6</v>
      </c>
      <c r="D5" s="2" t="s">
        <v>5</v>
      </c>
      <c r="E5" s="4" t="s">
        <v>6</v>
      </c>
      <c r="F5" s="2"/>
      <c r="G5" s="2"/>
      <c r="J5" s="19" t="s">
        <v>6</v>
      </c>
      <c r="K5" s="20"/>
      <c r="L5" s="20"/>
      <c r="M5" s="4" t="s">
        <v>6</v>
      </c>
      <c r="N5" s="20"/>
      <c r="O5" s="20"/>
    </row>
    <row r="6" spans="1:17" ht="7.5" hidden="1" customHeight="1" x14ac:dyDescent="0.2">
      <c r="A6" s="2"/>
      <c r="B6" s="25"/>
      <c r="C6" s="24"/>
      <c r="D6" s="5"/>
      <c r="E6" s="4"/>
      <c r="F6" s="5"/>
      <c r="G6" s="2"/>
      <c r="J6" s="19"/>
      <c r="K6" s="20"/>
      <c r="L6" s="20"/>
      <c r="M6" s="4"/>
      <c r="N6" s="20"/>
      <c r="O6" s="20"/>
    </row>
    <row r="7" spans="1:17" x14ac:dyDescent="0.2">
      <c r="A7" s="6" t="s">
        <v>13</v>
      </c>
      <c r="B7" s="7"/>
      <c r="C7" s="8">
        <f>SUM(C8:C15)</f>
        <v>4007.75</v>
      </c>
      <c r="D7" s="7"/>
      <c r="E7" s="8">
        <f>SUM(E8:E15)</f>
        <v>5522</v>
      </c>
      <c r="F7" s="7"/>
      <c r="G7" s="8">
        <f>SUM(G8:G15)</f>
        <v>1514.25</v>
      </c>
      <c r="I7" s="45">
        <f t="shared" ref="I7:I20" si="0">1/C7*G7</f>
        <v>0.37783045349635086</v>
      </c>
      <c r="J7" s="21">
        <f>SUM(J8:J15)</f>
        <v>4007.75</v>
      </c>
      <c r="K7" s="21">
        <f>SUM(K15)</f>
        <v>400.77500000000003</v>
      </c>
      <c r="L7" s="21">
        <f>SUM(L8:L15)</f>
        <v>3606.9749999999999</v>
      </c>
      <c r="M7" s="8">
        <f>SUM(M8:M15)</f>
        <v>5020</v>
      </c>
      <c r="N7" s="21">
        <f>SUM(N15)</f>
        <v>502</v>
      </c>
      <c r="O7" s="21">
        <f>SUM(O8:O15)</f>
        <v>5522</v>
      </c>
    </row>
    <row r="8" spans="1:17" ht="12.75" customHeight="1" x14ac:dyDescent="0.2">
      <c r="A8" s="97" t="s">
        <v>7</v>
      </c>
      <c r="B8" s="182" t="s">
        <v>11</v>
      </c>
      <c r="C8" s="157">
        <f>L8</f>
        <v>1151.325</v>
      </c>
      <c r="D8" s="213" t="s">
        <v>103</v>
      </c>
      <c r="E8" s="214">
        <f>M8</f>
        <v>3100</v>
      </c>
      <c r="F8" s="215" t="s">
        <v>104</v>
      </c>
      <c r="G8" s="161">
        <f>E8-C8</f>
        <v>1948.675</v>
      </c>
      <c r="I8" s="45">
        <f t="shared" si="0"/>
        <v>1.6925498881723231</v>
      </c>
      <c r="J8" s="35">
        <f>150.5*8.5</f>
        <v>1279.25</v>
      </c>
      <c r="K8" s="22">
        <f>J8/100*$K$4</f>
        <v>127.92500000000001</v>
      </c>
      <c r="L8" s="22">
        <f>J8-K8</f>
        <v>1151.325</v>
      </c>
      <c r="M8" s="131">
        <v>3100</v>
      </c>
      <c r="N8" s="22">
        <f>M8/100*$K$4</f>
        <v>310</v>
      </c>
      <c r="O8" s="22">
        <f>M8+N8</f>
        <v>3410</v>
      </c>
    </row>
    <row r="9" spans="1:17" x14ac:dyDescent="0.2">
      <c r="A9" s="98" t="s">
        <v>29</v>
      </c>
      <c r="B9" s="182"/>
      <c r="C9" s="157"/>
      <c r="D9" s="213"/>
      <c r="E9" s="214"/>
      <c r="F9" s="215"/>
      <c r="G9" s="161"/>
      <c r="I9" s="45"/>
      <c r="J9" s="35"/>
      <c r="K9" s="20"/>
      <c r="L9" s="20"/>
      <c r="M9" s="91"/>
      <c r="N9" s="20"/>
      <c r="O9" s="20"/>
    </row>
    <row r="10" spans="1:17" ht="39" customHeight="1" x14ac:dyDescent="0.2">
      <c r="A10" s="99"/>
      <c r="B10" s="171"/>
      <c r="C10" s="156"/>
      <c r="D10" s="216"/>
      <c r="E10" s="217"/>
      <c r="F10" s="218"/>
      <c r="G10" s="160"/>
      <c r="I10" s="45"/>
      <c r="J10" s="35"/>
      <c r="K10" s="20"/>
      <c r="L10" s="20"/>
      <c r="M10" s="91"/>
      <c r="N10" s="20"/>
      <c r="O10" s="20"/>
    </row>
    <row r="11" spans="1:17" x14ac:dyDescent="0.2">
      <c r="A11" s="97" t="s">
        <v>16</v>
      </c>
      <c r="B11" s="170" t="s">
        <v>70</v>
      </c>
      <c r="C11" s="155">
        <f>L12</f>
        <v>696.15</v>
      </c>
      <c r="D11" s="151" t="s">
        <v>74</v>
      </c>
      <c r="E11" s="149">
        <f>M12</f>
        <v>290</v>
      </c>
      <c r="F11" s="151" t="s">
        <v>83</v>
      </c>
      <c r="G11" s="172">
        <f>E11-C11</f>
        <v>-406.15</v>
      </c>
      <c r="I11" s="45"/>
      <c r="J11" s="35"/>
      <c r="K11" s="20"/>
      <c r="L11" s="20"/>
      <c r="M11" s="60"/>
      <c r="N11" s="20"/>
      <c r="O11" s="20"/>
    </row>
    <row r="12" spans="1:17" x14ac:dyDescent="0.2">
      <c r="A12" s="98" t="s">
        <v>30</v>
      </c>
      <c r="B12" s="171"/>
      <c r="C12" s="156"/>
      <c r="D12" s="152"/>
      <c r="E12" s="150"/>
      <c r="F12" s="152"/>
      <c r="G12" s="173"/>
      <c r="I12" s="45">
        <f>1/C11*G11</f>
        <v>-0.58342311283487758</v>
      </c>
      <c r="J12" s="35">
        <f>91*8.5</f>
        <v>773.5</v>
      </c>
      <c r="K12" s="22">
        <f>J12/100*$K$4</f>
        <v>77.350000000000009</v>
      </c>
      <c r="L12" s="22">
        <f>J12-K12</f>
        <v>696.15</v>
      </c>
      <c r="M12" s="60">
        <v>290</v>
      </c>
      <c r="N12" s="22">
        <f>M12/100*$K$4</f>
        <v>29</v>
      </c>
      <c r="O12" s="22">
        <f>M12+N12</f>
        <v>319</v>
      </c>
      <c r="Q12" s="12">
        <f>93.5+74.75+26.5+26.5+26.5+31.75+21.5</f>
        <v>301</v>
      </c>
    </row>
    <row r="13" spans="1:17" ht="41.25" customHeight="1" x14ac:dyDescent="0.2">
      <c r="A13" s="98" t="s">
        <v>31</v>
      </c>
      <c r="B13" s="129" t="s">
        <v>71</v>
      </c>
      <c r="C13" s="115">
        <f>L13</f>
        <v>286.875</v>
      </c>
      <c r="D13" s="130" t="s">
        <v>75</v>
      </c>
      <c r="E13" s="52">
        <f>M13</f>
        <v>230</v>
      </c>
      <c r="F13" s="127" t="s">
        <v>94</v>
      </c>
      <c r="G13" s="55">
        <f>E13-C13</f>
        <v>-56.875</v>
      </c>
      <c r="I13" s="45">
        <f t="shared" si="0"/>
        <v>-0.19825708061002179</v>
      </c>
      <c r="J13" s="35">
        <f>37.5*8.5</f>
        <v>318.75</v>
      </c>
      <c r="K13" s="22">
        <f>J13/100*$K$4</f>
        <v>31.875</v>
      </c>
      <c r="L13" s="22">
        <f>J13-K13</f>
        <v>286.875</v>
      </c>
      <c r="M13" s="60">
        <f>350-120</f>
        <v>230</v>
      </c>
      <c r="N13" s="22">
        <f>M13/100*$K$4</f>
        <v>23</v>
      </c>
      <c r="O13" s="22">
        <f>M13+N13</f>
        <v>253</v>
      </c>
      <c r="Q13" s="12">
        <f>97.75+114.75+41.75+30.75+92.25+30.75</f>
        <v>408</v>
      </c>
    </row>
    <row r="14" spans="1:17" ht="72" customHeight="1" x14ac:dyDescent="0.2">
      <c r="A14" s="98" t="s">
        <v>32</v>
      </c>
      <c r="B14" s="116" t="s">
        <v>22</v>
      </c>
      <c r="C14" s="117">
        <f>L14</f>
        <v>1472.625</v>
      </c>
      <c r="D14" s="101" t="s">
        <v>76</v>
      </c>
      <c r="E14" s="102">
        <f>M14</f>
        <v>1400</v>
      </c>
      <c r="F14" s="103" t="s">
        <v>96</v>
      </c>
      <c r="G14" s="100">
        <f>E14-C14</f>
        <v>-72.625</v>
      </c>
      <c r="I14" s="45">
        <f t="shared" si="0"/>
        <v>-4.9316696375519907E-2</v>
      </c>
      <c r="J14" s="35">
        <f>192.5*8.5</f>
        <v>1636.25</v>
      </c>
      <c r="K14" s="22">
        <f>J14/100*$K$4</f>
        <v>163.625</v>
      </c>
      <c r="L14" s="22">
        <f>J14-K14</f>
        <v>1472.625</v>
      </c>
      <c r="M14" s="60">
        <v>1400</v>
      </c>
      <c r="N14" s="22">
        <f>M14/100*$K$4</f>
        <v>140</v>
      </c>
      <c r="O14" s="22">
        <f>M14+N14</f>
        <v>1540</v>
      </c>
    </row>
    <row r="15" spans="1:17" x14ac:dyDescent="0.2">
      <c r="A15" s="13" t="s">
        <v>28</v>
      </c>
      <c r="B15" s="28"/>
      <c r="C15" s="29">
        <f>K15</f>
        <v>400.77500000000003</v>
      </c>
      <c r="D15" s="14"/>
      <c r="E15" s="32">
        <f>N15</f>
        <v>502</v>
      </c>
      <c r="F15" s="44" t="s">
        <v>37</v>
      </c>
      <c r="G15" s="15">
        <f>E15-C15</f>
        <v>101.22499999999997</v>
      </c>
      <c r="I15" s="45">
        <f t="shared" si="0"/>
        <v>0.252573139542137</v>
      </c>
      <c r="J15" s="37">
        <v>0</v>
      </c>
      <c r="K15" s="22">
        <f>SUM(K8:K14)</f>
        <v>400.77500000000003</v>
      </c>
      <c r="L15" s="20"/>
      <c r="M15" s="93"/>
      <c r="N15" s="22">
        <f>SUM(N8:N14)</f>
        <v>502</v>
      </c>
      <c r="O15" s="20"/>
    </row>
    <row r="16" spans="1:17" x14ac:dyDescent="0.2">
      <c r="A16" s="6" t="s">
        <v>14</v>
      </c>
      <c r="B16" s="7"/>
      <c r="C16" s="8">
        <f>SUM(C17:C25)</f>
        <v>2622.5</v>
      </c>
      <c r="D16" s="7"/>
      <c r="E16" s="8">
        <f>SUM(E17:E25)</f>
        <v>3410</v>
      </c>
      <c r="F16" s="7"/>
      <c r="G16" s="8">
        <f>SUM(G17:G25)</f>
        <v>787.49999999999989</v>
      </c>
      <c r="I16" s="45">
        <f t="shared" si="0"/>
        <v>0.30028598665395606</v>
      </c>
      <c r="J16" s="38">
        <f>SUM(J17:J25)</f>
        <v>3102.5</v>
      </c>
      <c r="K16" s="21">
        <f>K25</f>
        <v>310.25</v>
      </c>
      <c r="L16" s="21">
        <f>SUM(L17:L25)</f>
        <v>2792.25</v>
      </c>
      <c r="M16" s="8">
        <f>SUM(M17:M25)</f>
        <v>3100</v>
      </c>
      <c r="N16" s="21">
        <f>N25</f>
        <v>310</v>
      </c>
      <c r="O16" s="21">
        <f>SUM(O17:O25)</f>
        <v>3410</v>
      </c>
    </row>
    <row r="17" spans="1:17" x14ac:dyDescent="0.2">
      <c r="A17" s="16" t="s">
        <v>8</v>
      </c>
      <c r="B17" s="202" t="s">
        <v>72</v>
      </c>
      <c r="C17" s="192">
        <f>L17</f>
        <v>497.25</v>
      </c>
      <c r="D17" s="184" t="s">
        <v>73</v>
      </c>
      <c r="E17" s="166">
        <f>M17</f>
        <v>800</v>
      </c>
      <c r="F17" s="184" t="s">
        <v>91</v>
      </c>
      <c r="G17" s="161">
        <f>E17-C17</f>
        <v>302.75</v>
      </c>
      <c r="I17" s="45">
        <f t="shared" si="0"/>
        <v>0.60884866767219703</v>
      </c>
      <c r="J17" s="37">
        <f>65*8.5</f>
        <v>552.5</v>
      </c>
      <c r="K17" s="22">
        <f>J17/100*$K$4</f>
        <v>55.25</v>
      </c>
      <c r="L17" s="22">
        <f>J17-K17</f>
        <v>497.25</v>
      </c>
      <c r="M17" s="110">
        <v>800</v>
      </c>
      <c r="N17" s="22">
        <f>M17/100*$K$4</f>
        <v>80</v>
      </c>
      <c r="O17" s="22">
        <f>M17+N17</f>
        <v>880</v>
      </c>
    </row>
    <row r="18" spans="1:17" x14ac:dyDescent="0.2">
      <c r="A18" s="178" t="s">
        <v>33</v>
      </c>
      <c r="B18" s="203"/>
      <c r="C18" s="157"/>
      <c r="D18" s="185"/>
      <c r="E18" s="167"/>
      <c r="F18" s="185"/>
      <c r="G18" s="161"/>
      <c r="I18" s="45"/>
      <c r="J18" s="35"/>
      <c r="K18" s="20"/>
      <c r="L18" s="20"/>
      <c r="M18" s="91"/>
      <c r="N18" s="20"/>
      <c r="O18" s="20"/>
    </row>
    <row r="19" spans="1:17" ht="33.75" customHeight="1" x14ac:dyDescent="0.2">
      <c r="A19" s="179"/>
      <c r="B19" s="204"/>
      <c r="C19" s="156"/>
      <c r="D19" s="186"/>
      <c r="E19" s="168"/>
      <c r="F19" s="186"/>
      <c r="G19" s="160"/>
      <c r="I19" s="45"/>
      <c r="J19" s="35"/>
      <c r="K19" s="20"/>
      <c r="L19" s="20"/>
      <c r="M19" s="91"/>
      <c r="N19" s="20"/>
      <c r="O19" s="20"/>
    </row>
    <row r="20" spans="1:17" x14ac:dyDescent="0.2">
      <c r="A20" s="16" t="s">
        <v>8</v>
      </c>
      <c r="B20" s="205" t="s">
        <v>77</v>
      </c>
      <c r="C20" s="155">
        <f>L20</f>
        <v>298.35000000000002</v>
      </c>
      <c r="D20" s="187" t="s">
        <v>78</v>
      </c>
      <c r="E20" s="169">
        <f>M20</f>
        <v>300</v>
      </c>
      <c r="F20" s="151" t="s">
        <v>90</v>
      </c>
      <c r="G20" s="159">
        <f>E20-C20</f>
        <v>1.6499999999999773</v>
      </c>
      <c r="I20" s="45">
        <f t="shared" si="0"/>
        <v>5.5304172951231006E-3</v>
      </c>
      <c r="J20" s="39">
        <f>39*8.5</f>
        <v>331.5</v>
      </c>
      <c r="K20" s="22">
        <f>J20/100*$K$4</f>
        <v>33.15</v>
      </c>
      <c r="L20" s="22">
        <f>J20-K20</f>
        <v>298.35000000000002</v>
      </c>
      <c r="M20" s="111">
        <v>300</v>
      </c>
      <c r="N20" s="22">
        <f>M20/100*$K$4</f>
        <v>30</v>
      </c>
      <c r="O20" s="22">
        <f>M20+N20</f>
        <v>330</v>
      </c>
    </row>
    <row r="21" spans="1:17" x14ac:dyDescent="0.2">
      <c r="A21" s="34" t="s">
        <v>34</v>
      </c>
      <c r="B21" s="203"/>
      <c r="C21" s="156"/>
      <c r="D21" s="180"/>
      <c r="E21" s="168"/>
      <c r="F21" s="152"/>
      <c r="G21" s="160"/>
      <c r="I21" s="45"/>
      <c r="J21" s="36"/>
      <c r="K21" s="20"/>
      <c r="L21" s="20"/>
      <c r="M21" s="92"/>
      <c r="N21" s="20"/>
      <c r="O21" s="20"/>
    </row>
    <row r="22" spans="1:17" ht="12.75" customHeight="1" x14ac:dyDescent="0.2">
      <c r="A22" s="9" t="s">
        <v>17</v>
      </c>
      <c r="B22" s="203"/>
      <c r="C22" s="147">
        <f>L22</f>
        <v>1996.65</v>
      </c>
      <c r="D22" s="180"/>
      <c r="E22" s="149">
        <f>M22</f>
        <v>2000</v>
      </c>
      <c r="F22" s="187" t="s">
        <v>84</v>
      </c>
      <c r="G22" s="159">
        <f>E22-C22</f>
        <v>3.3499999999999091</v>
      </c>
      <c r="I22" s="45">
        <f>1/C22*G22</f>
        <v>1.677810332306568E-3</v>
      </c>
      <c r="J22" s="40">
        <f>261*8.5</f>
        <v>2218.5</v>
      </c>
      <c r="K22" s="22">
        <f>J22/100*$K$4</f>
        <v>221.85</v>
      </c>
      <c r="L22" s="22">
        <f>J22-K22</f>
        <v>1996.65</v>
      </c>
      <c r="M22" s="12">
        <v>2000</v>
      </c>
      <c r="N22" s="22">
        <f>M22/100*$K$4</f>
        <v>200</v>
      </c>
      <c r="O22" s="22">
        <f>M22+N22</f>
        <v>2200</v>
      </c>
    </row>
    <row r="23" spans="1:17" ht="52.5" customHeight="1" x14ac:dyDescent="0.2">
      <c r="A23" s="114" t="s">
        <v>35</v>
      </c>
      <c r="B23" s="203"/>
      <c r="C23" s="148"/>
      <c r="D23" s="180"/>
      <c r="E23" s="150"/>
      <c r="F23" s="180"/>
      <c r="G23" s="160"/>
      <c r="I23" s="45"/>
      <c r="J23" s="41"/>
      <c r="K23" s="20"/>
      <c r="L23" s="20"/>
      <c r="M23" s="94"/>
      <c r="N23" s="20"/>
      <c r="O23" s="20"/>
    </row>
    <row r="24" spans="1:17" x14ac:dyDescent="0.2">
      <c r="A24" s="53" t="s">
        <v>92</v>
      </c>
      <c r="B24" s="122" t="s">
        <v>93</v>
      </c>
      <c r="C24" s="115">
        <v>-480</v>
      </c>
      <c r="D24" s="123" t="s">
        <v>37</v>
      </c>
      <c r="E24" s="124">
        <v>0</v>
      </c>
      <c r="F24" s="125" t="s">
        <v>37</v>
      </c>
      <c r="G24" s="126">
        <f>E24-C24</f>
        <v>480</v>
      </c>
      <c r="I24" s="45">
        <f t="shared" ref="I24" si="1">1/C24*G24</f>
        <v>-1</v>
      </c>
      <c r="J24" s="35">
        <v>0</v>
      </c>
      <c r="K24" s="20">
        <f>SUM(K16:K22)</f>
        <v>620.5</v>
      </c>
      <c r="L24" s="20"/>
      <c r="M24" s="91"/>
      <c r="N24" s="20">
        <f>SUM(N16:N22)</f>
        <v>620</v>
      </c>
      <c r="O24" s="20"/>
    </row>
    <row r="25" spans="1:17" x14ac:dyDescent="0.2">
      <c r="A25" s="113" t="s">
        <v>28</v>
      </c>
      <c r="B25" s="118"/>
      <c r="C25" s="30">
        <f>K25</f>
        <v>310.25</v>
      </c>
      <c r="D25" s="119"/>
      <c r="E25" s="112">
        <f>N25</f>
        <v>310</v>
      </c>
      <c r="F25" s="120" t="s">
        <v>37</v>
      </c>
      <c r="G25" s="121">
        <f>E25-C25</f>
        <v>-0.25</v>
      </c>
      <c r="I25" s="45">
        <f t="shared" ref="I25:I34" si="2">1/C25*G25</f>
        <v>-8.0580177276390005E-4</v>
      </c>
      <c r="J25" s="35">
        <v>0</v>
      </c>
      <c r="K25" s="20">
        <f>SUM(K17:K23)</f>
        <v>310.25</v>
      </c>
      <c r="L25" s="20"/>
      <c r="M25" s="91"/>
      <c r="N25" s="20">
        <f>SUM(N17:N23)</f>
        <v>310</v>
      </c>
      <c r="O25" s="20"/>
    </row>
    <row r="26" spans="1:17" x14ac:dyDescent="0.2">
      <c r="A26" s="6" t="s">
        <v>15</v>
      </c>
      <c r="B26" s="7"/>
      <c r="C26" s="8">
        <f>SUM(C27:C34)</f>
        <v>4339.25</v>
      </c>
      <c r="D26" s="7"/>
      <c r="E26" s="8">
        <f>SUM(E27:E34)</f>
        <v>5027</v>
      </c>
      <c r="F26" s="7"/>
      <c r="G26" s="8">
        <f>SUM(G27:G34)</f>
        <v>687.75</v>
      </c>
      <c r="I26" s="45">
        <f t="shared" si="2"/>
        <v>0.15849513164717405</v>
      </c>
      <c r="J26" s="38">
        <f>SUM(J27:J34)</f>
        <v>4339.25</v>
      </c>
      <c r="K26" s="21">
        <f>K34</f>
        <v>433.92499999999995</v>
      </c>
      <c r="L26" s="21">
        <f>SUM(L27:L34)</f>
        <v>3905.3249999999998</v>
      </c>
      <c r="M26" s="8">
        <f>SUM(M27:M34)</f>
        <v>4570</v>
      </c>
      <c r="N26" s="21">
        <f>N34</f>
        <v>457</v>
      </c>
      <c r="O26" s="21">
        <f>SUM(O27:O34)</f>
        <v>5027</v>
      </c>
    </row>
    <row r="27" spans="1:17" x14ac:dyDescent="0.2">
      <c r="A27" s="174" t="s">
        <v>18</v>
      </c>
      <c r="B27" s="182" t="s">
        <v>19</v>
      </c>
      <c r="C27" s="157">
        <f>L27</f>
        <v>543.15</v>
      </c>
      <c r="D27" s="191" t="s">
        <v>20</v>
      </c>
      <c r="E27" s="158">
        <f>M27</f>
        <v>1870</v>
      </c>
      <c r="F27" s="180" t="s">
        <v>21</v>
      </c>
      <c r="G27" s="161">
        <f>E27-C27</f>
        <v>1326.85</v>
      </c>
      <c r="I27" s="45">
        <f t="shared" si="2"/>
        <v>2.4428794992175273</v>
      </c>
      <c r="J27" s="40">
        <f>71*8.5</f>
        <v>603.5</v>
      </c>
      <c r="K27" s="22">
        <f>J27/100*$K$4</f>
        <v>60.35</v>
      </c>
      <c r="L27" s="22">
        <f>J27-K27</f>
        <v>543.15</v>
      </c>
      <c r="M27" s="31">
        <v>1870</v>
      </c>
      <c r="N27" s="22">
        <f>M27/100*$K$4</f>
        <v>187</v>
      </c>
      <c r="O27" s="22">
        <f>M27+N27</f>
        <v>2057</v>
      </c>
      <c r="Q27" s="31">
        <f>68+777.75+607.75+165.75+246.5+293.25+66</f>
        <v>2225</v>
      </c>
    </row>
    <row r="28" spans="1:17" x14ac:dyDescent="0.2">
      <c r="A28" s="175"/>
      <c r="B28" s="171"/>
      <c r="C28" s="156"/>
      <c r="D28" s="152"/>
      <c r="E28" s="150"/>
      <c r="F28" s="181"/>
      <c r="G28" s="160"/>
      <c r="I28" s="45"/>
      <c r="J28" s="42"/>
      <c r="K28" s="20"/>
      <c r="L28" s="20"/>
      <c r="M28" s="95"/>
      <c r="N28" s="20"/>
      <c r="O28" s="20"/>
    </row>
    <row r="29" spans="1:17" x14ac:dyDescent="0.2">
      <c r="A29" s="176" t="s">
        <v>3</v>
      </c>
      <c r="B29" s="170" t="s">
        <v>4</v>
      </c>
      <c r="C29" s="155">
        <f>L29</f>
        <v>1258.425</v>
      </c>
      <c r="D29" s="151" t="s">
        <v>9</v>
      </c>
      <c r="E29" s="149">
        <f>M29</f>
        <v>1100</v>
      </c>
      <c r="F29" s="187" t="s">
        <v>89</v>
      </c>
      <c r="G29" s="159">
        <f>E29-C29</f>
        <v>-158.42499999999995</v>
      </c>
      <c r="I29" s="45">
        <f t="shared" si="2"/>
        <v>-0.12589149134831235</v>
      </c>
      <c r="J29" s="40">
        <f>(22+142.5)*8.5</f>
        <v>1398.25</v>
      </c>
      <c r="K29" s="22">
        <f>J29/100*$K$4</f>
        <v>139.82499999999999</v>
      </c>
      <c r="L29" s="22">
        <f>J29-K29</f>
        <v>1258.425</v>
      </c>
      <c r="M29" s="109">
        <v>1100</v>
      </c>
      <c r="N29" s="22">
        <f>M29/100*$K$4</f>
        <v>110</v>
      </c>
      <c r="O29" s="22">
        <f>M29+N29</f>
        <v>1210</v>
      </c>
    </row>
    <row r="30" spans="1:17" x14ac:dyDescent="0.2">
      <c r="A30" s="175"/>
      <c r="B30" s="171"/>
      <c r="C30" s="156"/>
      <c r="D30" s="152"/>
      <c r="E30" s="150"/>
      <c r="F30" s="181"/>
      <c r="G30" s="160"/>
      <c r="I30" s="45"/>
      <c r="J30" s="42"/>
      <c r="K30" s="20"/>
      <c r="L30" s="20"/>
      <c r="M30" s="95"/>
      <c r="N30" s="20"/>
      <c r="O30" s="20"/>
    </row>
    <row r="31" spans="1:17" x14ac:dyDescent="0.2">
      <c r="A31" s="176" t="s">
        <v>36</v>
      </c>
      <c r="B31" s="170" t="s">
        <v>79</v>
      </c>
      <c r="C31" s="147">
        <f>L31</f>
        <v>2103.75</v>
      </c>
      <c r="D31" s="188" t="s">
        <v>38</v>
      </c>
      <c r="E31" s="163">
        <f>M31</f>
        <v>1600</v>
      </c>
      <c r="F31" s="188" t="s">
        <v>39</v>
      </c>
      <c r="G31" s="159">
        <f>E31-C31</f>
        <v>-503.75</v>
      </c>
      <c r="I31" s="45">
        <f t="shared" si="2"/>
        <v>-0.23945335710041593</v>
      </c>
      <c r="J31" s="40">
        <f>8.5*275</f>
        <v>2337.5</v>
      </c>
      <c r="K31" s="22">
        <f>J31/100*$K$4</f>
        <v>233.75</v>
      </c>
      <c r="L31" s="22">
        <f>J31-K31</f>
        <v>2103.75</v>
      </c>
      <c r="M31" s="131">
        <v>1600</v>
      </c>
      <c r="N31" s="22">
        <f>M31/100*$K$4</f>
        <v>160</v>
      </c>
      <c r="O31" s="22">
        <f>M31+N31</f>
        <v>1760</v>
      </c>
    </row>
    <row r="32" spans="1:17" x14ac:dyDescent="0.2">
      <c r="A32" s="174"/>
      <c r="B32" s="182"/>
      <c r="C32" s="153"/>
      <c r="D32" s="189"/>
      <c r="E32" s="164"/>
      <c r="F32" s="189"/>
      <c r="G32" s="161"/>
      <c r="I32" s="45"/>
      <c r="J32" s="40"/>
      <c r="K32" s="20"/>
      <c r="L32" s="20"/>
      <c r="M32" s="60"/>
      <c r="N32" s="20"/>
      <c r="O32" s="20"/>
    </row>
    <row r="33" spans="1:15" x14ac:dyDescent="0.2">
      <c r="A33" s="177"/>
      <c r="B33" s="183"/>
      <c r="C33" s="154"/>
      <c r="D33" s="190"/>
      <c r="E33" s="165"/>
      <c r="F33" s="190"/>
      <c r="G33" s="162"/>
      <c r="I33" s="45"/>
      <c r="J33" s="43"/>
      <c r="K33" s="20"/>
      <c r="L33" s="20"/>
      <c r="M33" s="96"/>
      <c r="N33" s="20"/>
      <c r="O33" s="20"/>
    </row>
    <row r="34" spans="1:15" x14ac:dyDescent="0.2">
      <c r="A34" s="13" t="s">
        <v>28</v>
      </c>
      <c r="B34" s="27"/>
      <c r="C34" s="26">
        <f>K34</f>
        <v>433.92499999999995</v>
      </c>
      <c r="D34" s="10"/>
      <c r="E34" s="12">
        <f>N34</f>
        <v>457</v>
      </c>
      <c r="F34" s="44" t="s">
        <v>37</v>
      </c>
      <c r="G34" s="11">
        <f>E34-C34</f>
        <v>23.075000000000045</v>
      </c>
      <c r="I34" s="45">
        <f t="shared" si="2"/>
        <v>5.317739240652198E-2</v>
      </c>
      <c r="J34" s="35"/>
      <c r="K34" s="20">
        <f>SUM(K27:K33)</f>
        <v>433.92499999999995</v>
      </c>
      <c r="L34" s="20"/>
      <c r="M34" s="91"/>
      <c r="N34" s="20">
        <f>SUM(N27:N33)</f>
        <v>457</v>
      </c>
      <c r="O34" s="20"/>
    </row>
    <row r="35" spans="1:15" x14ac:dyDescent="0.2">
      <c r="A35" s="6" t="s">
        <v>12</v>
      </c>
      <c r="B35" s="7"/>
      <c r="C35" s="8">
        <f>SUM(C7+C16+C26)</f>
        <v>10969.5</v>
      </c>
      <c r="D35" s="7"/>
      <c r="E35" s="8">
        <f>SUM(E7+E16+E26)</f>
        <v>13959</v>
      </c>
      <c r="F35" s="17" t="s">
        <v>23</v>
      </c>
      <c r="G35" s="8">
        <f>G7+G16+G26</f>
        <v>2989.5</v>
      </c>
      <c r="I35" s="45">
        <f>1/C35*G35</f>
        <v>0.27252837412826475</v>
      </c>
      <c r="J35" s="21">
        <f>SUM(J7+J16+J26)</f>
        <v>11449.5</v>
      </c>
      <c r="K35" s="22">
        <f>SUM(K15+K25+K34)</f>
        <v>1144.95</v>
      </c>
      <c r="L35" s="22">
        <f>SUM(L15+L25+L34)</f>
        <v>0</v>
      </c>
      <c r="M35" s="8">
        <f>SUM(M7+M16+M26)</f>
        <v>12690</v>
      </c>
      <c r="N35" s="22">
        <f>SUM(N15+N25+N34)</f>
        <v>1269</v>
      </c>
      <c r="O35" s="22">
        <f>SUM(O15+O25+O34)</f>
        <v>0</v>
      </c>
    </row>
    <row r="36" spans="1:15" ht="7.5" customHeight="1" x14ac:dyDescent="0.2">
      <c r="J36" s="20"/>
      <c r="K36" s="20"/>
      <c r="L36" s="20"/>
      <c r="N36" s="20"/>
      <c r="O36" s="20"/>
    </row>
    <row r="37" spans="1:15" x14ac:dyDescent="0.2">
      <c r="J37" s="20">
        <v>11450</v>
      </c>
      <c r="K37" s="20"/>
      <c r="L37" s="20"/>
      <c r="N37" s="20"/>
      <c r="O37" s="20"/>
    </row>
  </sheetData>
  <mergeCells count="56">
    <mergeCell ref="B8:B10"/>
    <mergeCell ref="F20:F21"/>
    <mergeCell ref="F8:F10"/>
    <mergeCell ref="F17:F19"/>
    <mergeCell ref="M2:O2"/>
    <mergeCell ref="J3:L3"/>
    <mergeCell ref="M3:O3"/>
    <mergeCell ref="B4:C4"/>
    <mergeCell ref="B17:B19"/>
    <mergeCell ref="B20:B23"/>
    <mergeCell ref="D20:D23"/>
    <mergeCell ref="F2:G2"/>
    <mergeCell ref="D4:E4"/>
    <mergeCell ref="D8:D10"/>
    <mergeCell ref="C8:C10"/>
    <mergeCell ref="E8:E10"/>
    <mergeCell ref="A27:A28"/>
    <mergeCell ref="A29:A30"/>
    <mergeCell ref="A31:A33"/>
    <mergeCell ref="A18:A19"/>
    <mergeCell ref="F27:F28"/>
    <mergeCell ref="B27:B28"/>
    <mergeCell ref="B29:B30"/>
    <mergeCell ref="B31:B33"/>
    <mergeCell ref="D17:D19"/>
    <mergeCell ref="D29:D30"/>
    <mergeCell ref="F22:F23"/>
    <mergeCell ref="F29:F30"/>
    <mergeCell ref="F31:F33"/>
    <mergeCell ref="D31:D33"/>
    <mergeCell ref="D27:D28"/>
    <mergeCell ref="C17:C19"/>
    <mergeCell ref="B11:B12"/>
    <mergeCell ref="C11:C12"/>
    <mergeCell ref="E11:E12"/>
    <mergeCell ref="G11:G12"/>
    <mergeCell ref="D11:D12"/>
    <mergeCell ref="G17:G19"/>
    <mergeCell ref="C20:C21"/>
    <mergeCell ref="E20:E21"/>
    <mergeCell ref="G20:G21"/>
    <mergeCell ref="G8:G10"/>
    <mergeCell ref="G22:G23"/>
    <mergeCell ref="G27:G28"/>
    <mergeCell ref="G29:G30"/>
    <mergeCell ref="G31:G33"/>
    <mergeCell ref="E31:E33"/>
    <mergeCell ref="C22:C23"/>
    <mergeCell ref="E22:E23"/>
    <mergeCell ref="F11:F12"/>
    <mergeCell ref="C31:C33"/>
    <mergeCell ref="C29:C30"/>
    <mergeCell ref="E29:E30"/>
    <mergeCell ref="C27:C28"/>
    <mergeCell ref="E27:E28"/>
    <mergeCell ref="E17:E19"/>
  </mergeCells>
  <pageMargins left="0.70866141732283472" right="0.70866141732283472" top="0.78740157480314965" bottom="0.59055118110236227" header="0.31496062992125984" footer="0.31496062992125984"/>
  <pageSetup paperSize="9" scale="85" fitToHeight="0" orientation="landscape" r:id="rId1"/>
  <headerFooter>
    <oddFooter>&amp;LINGE EPSI / JS + AeBo
&amp;Z&amp;F&amp;R&amp;D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9"/>
  <sheetViews>
    <sheetView showGridLines="0" zoomScale="80" zoomScaleNormal="80" workbookViewId="0">
      <selection activeCell="G41" sqref="G41"/>
    </sheetView>
  </sheetViews>
  <sheetFormatPr baseColWidth="10" defaultRowHeight="12.75" x14ac:dyDescent="0.2"/>
  <cols>
    <col min="1" max="1" width="60.7109375" customWidth="1"/>
    <col min="2" max="2" width="20.7109375" style="65" customWidth="1"/>
    <col min="3" max="3" width="7.85546875" style="65" customWidth="1"/>
    <col min="4" max="4" width="8.140625" hidden="1" customWidth="1"/>
    <col min="5" max="5" width="5.140625" hidden="1" customWidth="1"/>
    <col min="6" max="6" width="77.140625" customWidth="1"/>
  </cols>
  <sheetData>
    <row r="1" spans="1:6" ht="15.75" x14ac:dyDescent="0.25">
      <c r="A1" s="1" t="s">
        <v>0</v>
      </c>
    </row>
    <row r="2" spans="1:6" ht="18" x14ac:dyDescent="0.25">
      <c r="A2" s="33" t="s">
        <v>40</v>
      </c>
      <c r="F2" s="128" t="s">
        <v>95</v>
      </c>
    </row>
    <row r="3" spans="1:6" ht="7.5" customHeight="1" x14ac:dyDescent="0.2"/>
    <row r="4" spans="1:6" x14ac:dyDescent="0.2">
      <c r="A4" s="2" t="s">
        <v>1</v>
      </c>
      <c r="B4" s="208" t="s">
        <v>54</v>
      </c>
      <c r="C4" s="208"/>
      <c r="D4" s="209"/>
      <c r="E4" s="209"/>
      <c r="F4" s="85" t="s">
        <v>55</v>
      </c>
    </row>
    <row r="5" spans="1:6" x14ac:dyDescent="0.2">
      <c r="A5" s="2"/>
      <c r="B5" s="74" t="s">
        <v>56</v>
      </c>
      <c r="C5" s="74" t="s">
        <v>6</v>
      </c>
      <c r="D5" s="2" t="s">
        <v>41</v>
      </c>
      <c r="E5" s="48" t="s">
        <v>6</v>
      </c>
      <c r="F5" s="85"/>
    </row>
    <row r="6" spans="1:6" ht="7.5" hidden="1" customHeight="1" x14ac:dyDescent="0.2">
      <c r="A6" s="2"/>
      <c r="B6" s="66"/>
      <c r="C6" s="75"/>
      <c r="D6" s="5"/>
      <c r="E6" s="48"/>
      <c r="F6" s="85"/>
    </row>
    <row r="7" spans="1:6" x14ac:dyDescent="0.2">
      <c r="A7" s="6" t="s">
        <v>42</v>
      </c>
      <c r="B7" s="67">
        <f>SUM(B8:B17)</f>
        <v>5813340</v>
      </c>
      <c r="C7" s="8">
        <f>SUM(C8:C17)</f>
        <v>65150</v>
      </c>
      <c r="D7" s="7"/>
      <c r="E7" s="8">
        <f>SUM(E8:E17)</f>
        <v>0</v>
      </c>
      <c r="F7" s="86"/>
    </row>
    <row r="8" spans="1:6" ht="29.25" customHeight="1" x14ac:dyDescent="0.2">
      <c r="A8" s="18" t="s">
        <v>43</v>
      </c>
      <c r="B8" s="68">
        <f>352440+222900+254830</f>
        <v>830170</v>
      </c>
      <c r="C8" s="60">
        <f>2600+3000+4000</f>
        <v>9600</v>
      </c>
      <c r="D8" s="62">
        <f>B8/C8</f>
        <v>86.47604166666666</v>
      </c>
      <c r="E8" s="31"/>
      <c r="F8" s="83" t="s">
        <v>98</v>
      </c>
    </row>
    <row r="9" spans="1:6" ht="25.5" x14ac:dyDescent="0.2">
      <c r="A9" s="54" t="s">
        <v>44</v>
      </c>
      <c r="B9" s="69">
        <f>391860+246670+308260+25875+30500</f>
        <v>1003165</v>
      </c>
      <c r="C9" s="61">
        <f>2800+3500+300+350+4500</f>
        <v>11450</v>
      </c>
      <c r="D9" s="63">
        <f>B9/C9</f>
        <v>87.612663755458513</v>
      </c>
      <c r="E9" s="52"/>
      <c r="F9" s="51" t="s">
        <v>62</v>
      </c>
    </row>
    <row r="10" spans="1:6" x14ac:dyDescent="0.2">
      <c r="A10" s="56" t="s">
        <v>45</v>
      </c>
      <c r="B10" s="69">
        <f>221070+284730</f>
        <v>505800</v>
      </c>
      <c r="C10" s="61">
        <f>3200+2500</f>
        <v>5700</v>
      </c>
      <c r="D10" s="63">
        <f>B10/C10</f>
        <v>88.736842105263165</v>
      </c>
      <c r="E10" s="52"/>
      <c r="F10" s="84" t="s">
        <v>61</v>
      </c>
    </row>
    <row r="11" spans="1:6" ht="25.5" x14ac:dyDescent="0.2">
      <c r="A11" s="56" t="s">
        <v>46</v>
      </c>
      <c r="B11" s="70">
        <f>701360+655110</f>
        <v>1356470</v>
      </c>
      <c r="C11" s="61">
        <f>8000+8500</f>
        <v>16500</v>
      </c>
      <c r="D11" s="63">
        <f>B11/C11</f>
        <v>82.210303030303024</v>
      </c>
      <c r="E11" s="52"/>
      <c r="F11" s="84" t="s">
        <v>87</v>
      </c>
    </row>
    <row r="12" spans="1:6" ht="25.5" x14ac:dyDescent="0.2">
      <c r="A12" s="54" t="s">
        <v>47</v>
      </c>
      <c r="B12" s="70">
        <f>693160+925290</f>
        <v>1618450</v>
      </c>
      <c r="C12" s="61">
        <f>9500+7000</f>
        <v>16500</v>
      </c>
      <c r="D12" s="63">
        <f>B12/C12</f>
        <v>98.087878787878793</v>
      </c>
      <c r="E12" s="52"/>
      <c r="F12" s="51" t="s">
        <v>67</v>
      </c>
    </row>
    <row r="13" spans="1:6" x14ac:dyDescent="0.2">
      <c r="A13" s="54" t="s">
        <v>63</v>
      </c>
      <c r="B13" s="105">
        <f>45000</f>
        <v>45000</v>
      </c>
      <c r="C13" s="88" t="s">
        <v>37</v>
      </c>
      <c r="D13" s="64"/>
      <c r="E13" s="52"/>
      <c r="F13" s="84" t="s">
        <v>59</v>
      </c>
    </row>
    <row r="14" spans="1:6" x14ac:dyDescent="0.2">
      <c r="A14" s="132" t="s">
        <v>48</v>
      </c>
      <c r="B14" s="133">
        <f>92100+92100</f>
        <v>184200</v>
      </c>
      <c r="C14" s="134">
        <f>1000+1000</f>
        <v>2000</v>
      </c>
      <c r="D14" s="135">
        <f>B14/C14</f>
        <v>92.1</v>
      </c>
      <c r="E14" s="134"/>
      <c r="F14" s="136" t="s">
        <v>64</v>
      </c>
    </row>
    <row r="15" spans="1:6" x14ac:dyDescent="0.2">
      <c r="A15" s="54" t="s">
        <v>57</v>
      </c>
      <c r="B15" s="70">
        <f>114690+155395</f>
        <v>270085</v>
      </c>
      <c r="C15" s="55">
        <f>1900+1500</f>
        <v>3400</v>
      </c>
      <c r="D15" s="107">
        <f>B15/C15</f>
        <v>79.436764705882354</v>
      </c>
      <c r="E15" s="55"/>
      <c r="F15" s="108" t="s">
        <v>61</v>
      </c>
    </row>
    <row r="16" spans="1:6" x14ac:dyDescent="0.2">
      <c r="A16" s="54"/>
      <c r="B16" s="70"/>
      <c r="C16" s="61"/>
      <c r="D16" s="63"/>
      <c r="E16" s="52"/>
      <c r="F16" s="81"/>
    </row>
    <row r="17" spans="1:6" x14ac:dyDescent="0.2">
      <c r="A17" s="46"/>
      <c r="B17" s="71"/>
      <c r="C17" s="60"/>
      <c r="D17" s="10"/>
      <c r="E17" s="11"/>
      <c r="F17" s="83"/>
    </row>
    <row r="18" spans="1:6" x14ac:dyDescent="0.2">
      <c r="A18" s="6" t="s">
        <v>85</v>
      </c>
      <c r="B18" s="67">
        <f>SUM(B19:B23)</f>
        <v>1438970</v>
      </c>
      <c r="C18" s="8">
        <f>SUM(C19:C23)</f>
        <v>13397</v>
      </c>
      <c r="D18" s="7"/>
      <c r="E18" s="8">
        <f>SUM(E19:E23)</f>
        <v>0</v>
      </c>
      <c r="F18" s="86"/>
    </row>
    <row r="19" spans="1:6" x14ac:dyDescent="0.2">
      <c r="A19" s="47" t="s">
        <v>58</v>
      </c>
      <c r="B19" s="72">
        <v>953270</v>
      </c>
      <c r="C19" s="59">
        <v>9030</v>
      </c>
      <c r="D19" s="82">
        <f>B19/C19</f>
        <v>105.56699889258029</v>
      </c>
      <c r="E19" s="32"/>
      <c r="F19" s="49" t="s">
        <v>65</v>
      </c>
    </row>
    <row r="20" spans="1:6" x14ac:dyDescent="0.2">
      <c r="A20" s="47" t="s">
        <v>52</v>
      </c>
      <c r="B20" s="137">
        <v>198453</v>
      </c>
      <c r="C20" s="55">
        <v>1594</v>
      </c>
      <c r="D20" s="63">
        <f>B20/C20</f>
        <v>124.5</v>
      </c>
      <c r="E20" s="52"/>
      <c r="F20" s="51" t="s">
        <v>65</v>
      </c>
    </row>
    <row r="21" spans="1:6" x14ac:dyDescent="0.2">
      <c r="A21" s="57" t="s">
        <v>53</v>
      </c>
      <c r="B21" s="73">
        <v>54210</v>
      </c>
      <c r="C21" s="55">
        <v>530</v>
      </c>
      <c r="D21" s="63">
        <f>B21/C21</f>
        <v>102.28301886792453</v>
      </c>
      <c r="E21" s="52"/>
      <c r="F21" s="51" t="s">
        <v>65</v>
      </c>
    </row>
    <row r="22" spans="1:6" x14ac:dyDescent="0.2">
      <c r="A22" s="138" t="s">
        <v>100</v>
      </c>
      <c r="B22" s="137">
        <v>233037</v>
      </c>
      <c r="C22" s="106">
        <v>2243</v>
      </c>
      <c r="D22" s="138"/>
      <c r="E22" s="106"/>
      <c r="F22" s="139" t="s">
        <v>99</v>
      </c>
    </row>
    <row r="23" spans="1:6" x14ac:dyDescent="0.2">
      <c r="A23" s="46"/>
      <c r="B23" s="71"/>
      <c r="C23" s="58"/>
      <c r="D23" s="10"/>
      <c r="E23" s="12"/>
      <c r="F23" s="83"/>
    </row>
    <row r="24" spans="1:6" x14ac:dyDescent="0.2">
      <c r="A24" s="6" t="s">
        <v>60</v>
      </c>
      <c r="B24" s="67">
        <f>SUM(B25:B29)</f>
        <v>1193752.9067817917</v>
      </c>
      <c r="C24" s="8">
        <f>SUM(C25:C29)</f>
        <v>12489.5</v>
      </c>
      <c r="D24" s="7"/>
      <c r="E24" s="8">
        <f>SUM(E25:E29)</f>
        <v>0</v>
      </c>
      <c r="F24" s="86"/>
    </row>
    <row r="25" spans="1:6" ht="25.5" x14ac:dyDescent="0.2">
      <c r="A25" s="140" t="s">
        <v>50</v>
      </c>
      <c r="B25" s="141"/>
      <c r="C25" s="142"/>
      <c r="D25" s="143">
        <v>98.73</v>
      </c>
      <c r="E25" s="144"/>
      <c r="F25" s="145" t="s">
        <v>88</v>
      </c>
    </row>
    <row r="26" spans="1:6" x14ac:dyDescent="0.2">
      <c r="A26" s="53" t="s">
        <v>49</v>
      </c>
      <c r="B26" s="69">
        <f>C26*D9</f>
        <v>261918.05829694323</v>
      </c>
      <c r="C26" s="55">
        <f>'MP-DP'!G35</f>
        <v>2989.5</v>
      </c>
      <c r="D26" s="63">
        <f>B26/C26</f>
        <v>87.612663755458513</v>
      </c>
      <c r="E26" s="52"/>
      <c r="F26" s="51" t="s">
        <v>66</v>
      </c>
    </row>
    <row r="27" spans="1:6" ht="51" x14ac:dyDescent="0.2">
      <c r="A27" s="50" t="s">
        <v>51</v>
      </c>
      <c r="B27" s="69">
        <f>C27*D12</f>
        <v>931834.84848484851</v>
      </c>
      <c r="C27" s="146">
        <f>26000-16500</f>
        <v>9500</v>
      </c>
      <c r="D27" s="63">
        <f>B27/C27</f>
        <v>98.087878787878793</v>
      </c>
      <c r="E27" s="52"/>
      <c r="F27" s="51" t="s">
        <v>101</v>
      </c>
    </row>
    <row r="28" spans="1:6" x14ac:dyDescent="0.2">
      <c r="A28" s="50"/>
      <c r="B28" s="69"/>
      <c r="C28" s="55"/>
      <c r="D28" s="51"/>
      <c r="E28" s="52"/>
      <c r="F28" s="51"/>
    </row>
    <row r="29" spans="1:6" x14ac:dyDescent="0.2">
      <c r="A29" s="46"/>
      <c r="B29" s="71"/>
      <c r="C29" s="58"/>
      <c r="D29" s="10"/>
      <c r="E29" s="12"/>
      <c r="F29" s="83"/>
    </row>
    <row r="30" spans="1:6" x14ac:dyDescent="0.2">
      <c r="A30" s="6" t="s">
        <v>68</v>
      </c>
      <c r="B30" s="67">
        <f>B7+B18+B24</f>
        <v>8446062.9067817926</v>
      </c>
      <c r="C30" s="8">
        <f>SUM(C7+C18+C24)</f>
        <v>91036.5</v>
      </c>
      <c r="D30" s="7"/>
      <c r="E30" s="8">
        <f>SUM(E7+E18+E24)</f>
        <v>0</v>
      </c>
      <c r="F30" s="87"/>
    </row>
    <row r="31" spans="1:6" x14ac:dyDescent="0.2">
      <c r="A31" s="76"/>
      <c r="B31" s="77"/>
      <c r="C31" s="78"/>
      <c r="D31" s="76"/>
      <c r="E31" s="78"/>
      <c r="F31" s="79"/>
    </row>
    <row r="32" spans="1:6" s="80" customFormat="1" x14ac:dyDescent="0.2">
      <c r="A32" s="7" t="s">
        <v>81</v>
      </c>
      <c r="B32" s="89">
        <f>(50*B7/100)+B7</f>
        <v>8720010</v>
      </c>
      <c r="C32" s="90"/>
      <c r="D32" s="7"/>
      <c r="E32" s="90"/>
      <c r="F32" s="17" t="s">
        <v>69</v>
      </c>
    </row>
    <row r="33" spans="1:6" ht="7.5" customHeight="1" x14ac:dyDescent="0.2"/>
    <row r="34" spans="1:6" s="80" customFormat="1" x14ac:dyDescent="0.2">
      <c r="A34" s="212" t="s">
        <v>80</v>
      </c>
      <c r="B34" s="211">
        <f>-B30+B32</f>
        <v>273947.09321820736</v>
      </c>
      <c r="C34" s="210" t="s">
        <v>82</v>
      </c>
      <c r="D34" s="210"/>
      <c r="E34" s="210"/>
      <c r="F34" s="210"/>
    </row>
    <row r="35" spans="1:6" ht="7.5" customHeight="1" x14ac:dyDescent="0.2">
      <c r="A35" s="212"/>
      <c r="B35" s="211"/>
      <c r="C35" s="210"/>
      <c r="D35" s="210"/>
      <c r="E35" s="210"/>
      <c r="F35" s="210"/>
    </row>
    <row r="36" spans="1:6" x14ac:dyDescent="0.2">
      <c r="A36" s="212"/>
      <c r="B36" s="211"/>
      <c r="C36" s="210"/>
      <c r="D36" s="210"/>
      <c r="E36" s="210"/>
      <c r="F36" s="210"/>
    </row>
    <row r="38" spans="1:6" x14ac:dyDescent="0.2">
      <c r="A38" s="104" t="s">
        <v>86</v>
      </c>
    </row>
    <row r="39" spans="1:6" x14ac:dyDescent="0.2">
      <c r="A39" t="s">
        <v>102</v>
      </c>
    </row>
  </sheetData>
  <mergeCells count="5">
    <mergeCell ref="B4:C4"/>
    <mergeCell ref="D4:E4"/>
    <mergeCell ref="C34:F36"/>
    <mergeCell ref="B34:B36"/>
    <mergeCell ref="A34:A36"/>
  </mergeCells>
  <printOptions horizontalCentered="1"/>
  <pageMargins left="0.70866141732283472" right="0.70866141732283472" top="0.39370078740157483" bottom="0.59055118110236227" header="0.23622047244094491" footer="0.31496062992125984"/>
  <pageSetup paperSize="9" scale="80" orientation="landscape" r:id="rId1"/>
  <headerFooter>
    <oddFooter>&amp;LINGE EPSI / JS + AeBo
&amp;Z&amp;F&amp;R&amp;D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MP-DP</vt:lpstr>
      <vt:lpstr>Endkostenprognose</vt:lpstr>
      <vt:lpstr>Endkostenprognose!Druckbereich</vt:lpstr>
      <vt:lpstr>'MP-DP'!Druckbereich</vt:lpstr>
    </vt:vector>
  </TitlesOfParts>
  <Company>Aegerter &amp; Bosshardt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Schädler Beat</dc:creator>
  <cp:lastModifiedBy>Schädler Beat</cp:lastModifiedBy>
  <cp:lastPrinted>2016-01-11T16:22:18Z</cp:lastPrinted>
  <dcterms:created xsi:type="dcterms:W3CDTF">2015-04-17T15:32:41Z</dcterms:created>
  <dcterms:modified xsi:type="dcterms:W3CDTF">2016-01-11T16:22:22Z</dcterms:modified>
</cp:coreProperties>
</file>