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definedNames>
    <definedName name="_xlnm.Print_Area" localSheetId="0">Tabelle1!$A$1:$M$45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H19" i="1"/>
  <c r="H29" i="1"/>
  <c r="I17" i="1"/>
  <c r="K17" i="1"/>
  <c r="I21" i="1"/>
  <c r="K21" i="1"/>
  <c r="I25" i="1"/>
  <c r="K25" i="1"/>
  <c r="I35" i="1"/>
  <c r="K35" i="1"/>
  <c r="K36" i="1"/>
  <c r="C6" i="1"/>
  <c r="C8" i="1"/>
  <c r="H27" i="1"/>
  <c r="H23" i="1"/>
  <c r="H18" i="1"/>
  <c r="H36" i="1"/>
  <c r="C39" i="1"/>
  <c r="G27" i="1"/>
  <c r="G23" i="1"/>
  <c r="G18" i="1"/>
  <c r="G19" i="1"/>
  <c r="G29" i="1"/>
  <c r="C40" i="1"/>
  <c r="G31" i="1"/>
  <c r="G34" i="1"/>
  <c r="I34" i="1"/>
  <c r="G35" i="1"/>
  <c r="I36" i="1"/>
  <c r="C41" i="1"/>
  <c r="C42" i="1"/>
  <c r="C43" i="1"/>
  <c r="C44" i="1"/>
  <c r="M35" i="1"/>
  <c r="K34" i="1"/>
  <c r="M34" i="1"/>
  <c r="I26" i="1"/>
  <c r="K26" i="1"/>
  <c r="I22" i="1"/>
  <c r="K22" i="1"/>
  <c r="I18" i="1"/>
  <c r="K18" i="1"/>
  <c r="J35" i="1"/>
  <c r="J34" i="1"/>
  <c r="J26" i="1"/>
  <c r="J25" i="1"/>
  <c r="J22" i="1"/>
  <c r="J21" i="1"/>
  <c r="J18" i="1"/>
  <c r="I19" i="1"/>
  <c r="I23" i="1"/>
  <c r="I27" i="1"/>
  <c r="I29" i="1"/>
  <c r="J29" i="1"/>
  <c r="J27" i="1"/>
  <c r="J23" i="1"/>
  <c r="J19" i="1"/>
  <c r="J36" i="1"/>
  <c r="G36" i="1"/>
  <c r="C11" i="1"/>
</calcChain>
</file>

<file path=xl/sharedStrings.xml><?xml version="1.0" encoding="utf-8"?>
<sst xmlns="http://schemas.openxmlformats.org/spreadsheetml/2006/main" count="69" uniqueCount="60">
  <si>
    <t>Fachbereich</t>
  </si>
  <si>
    <t>INGE-Partner</t>
  </si>
  <si>
    <t>Hefte Submission Baumeister</t>
  </si>
  <si>
    <t>Trasse / Umwelt</t>
  </si>
  <si>
    <t>TP 2</t>
  </si>
  <si>
    <t>[h]</t>
  </si>
  <si>
    <t>Prov. Verkehrsführung</t>
  </si>
  <si>
    <t>TP 1</t>
  </si>
  <si>
    <t>Tunnel / Geotechnik</t>
  </si>
  <si>
    <t>22, 23, 24</t>
  </si>
  <si>
    <t>TP 3</t>
  </si>
  <si>
    <t>Kunstbauten</t>
  </si>
  <si>
    <t>BDL (32), UNF (33), UEF (34), LSW (35)</t>
  </si>
  <si>
    <t>Brücken (31), UEF (34)</t>
  </si>
  <si>
    <t>bisher abgelaufen</t>
  </si>
  <si>
    <t>TP</t>
  </si>
  <si>
    <t>Stützmauer (14), Schutzbauten / Rutschhänge (15)</t>
  </si>
  <si>
    <t>(inkl. Akustik)</t>
  </si>
  <si>
    <t>Std.-Budget INGE für die Phase 51 "Unterlagen für die Ausführung"</t>
  </si>
  <si>
    <t>Korrektur NO12 (Minderleistungen)</t>
  </si>
  <si>
    <t>Korrektur NO12 (WTQ)</t>
  </si>
  <si>
    <t>ZMT gemäss Hauptauftrag</t>
  </si>
  <si>
    <t>CHF/h</t>
  </si>
  <si>
    <t>h</t>
  </si>
  <si>
    <t>CHF</t>
  </si>
  <si>
    <t>Honorar (Kostendach)</t>
  </si>
  <si>
    <t>Tunnels (11, 12, 13)</t>
  </si>
  <si>
    <t>Std.-Budget</t>
  </si>
  <si>
    <t>Total</t>
  </si>
  <si>
    <t>AeBo-TG</t>
  </si>
  <si>
    <t>AeBo-TU</t>
  </si>
  <si>
    <t>AeBo-K</t>
  </si>
  <si>
    <t>JS-K</t>
  </si>
  <si>
    <t>JS-TU</t>
  </si>
  <si>
    <t>PNP-TG, JS-TG</t>
  </si>
  <si>
    <t>PL</t>
  </si>
  <si>
    <t>Aufwendungen Projektleitung</t>
  </si>
  <si>
    <t>[h/Mo]</t>
  </si>
  <si>
    <t>PL AeBo</t>
  </si>
  <si>
    <t>PL-Stv. + FF JS</t>
  </si>
  <si>
    <t>Std-Budget UfA</t>
  </si>
  <si>
    <t>Reserve</t>
  </si>
  <si>
    <t>Zusammenstellung:</t>
  </si>
  <si>
    <t>Bisherige Leistungen</t>
  </si>
  <si>
    <t>H-Schätzung  
gem. TPL</t>
  </si>
  <si>
    <t>Neue Vertragssumme</t>
  </si>
  <si>
    <t>Kostendach 
je Partner</t>
  </si>
  <si>
    <t xml:space="preserve"> [CHF/h]</t>
  </si>
  <si>
    <t>Ansatz</t>
  </si>
  <si>
    <t>effektiv</t>
  </si>
  <si>
    <t>durchschn. Std. mit ZMT 82.20 Fr/h</t>
  </si>
  <si>
    <t>Annahme Anzahl Monate:</t>
  </si>
  <si>
    <t>per 31.10.2020</t>
  </si>
  <si>
    <t>abr 01.11.2020</t>
  </si>
  <si>
    <t>Hauptvertrag:</t>
  </si>
  <si>
    <t>Aufteilung PL zw. AeBoJA (nicht fix):</t>
  </si>
  <si>
    <t>24.11.2020 / FL</t>
  </si>
  <si>
    <t>geht an:</t>
  </si>
  <si>
    <t>Stand:</t>
  </si>
  <si>
    <t>TPL INGE 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</si>
</sst>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i/>
      <sz val="11"/>
      <color theme="1"/>
      <name val="Arial"/>
      <family val="2"/>
    </font>
    <font>
      <sz val="11"/>
      <color rgb="FF0000FF"/>
      <name val="Arial"/>
      <family val="2"/>
    </font>
    <font>
      <sz val="11"/>
      <name val="Arial"/>
      <family val="2"/>
    </font>
    <font>
      <u/>
      <sz val="11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2" fillId="0" borderId="0" xfId="0" applyFont="1" applyBorder="1"/>
    <xf numFmtId="3" fontId="2" fillId="0" borderId="0" xfId="0" applyNumberFormat="1" applyFont="1" applyFill="1"/>
    <xf numFmtId="0" fontId="2" fillId="0" borderId="1" xfId="0" applyFont="1" applyFill="1" applyBorder="1"/>
    <xf numFmtId="0" fontId="4" fillId="0" borderId="0" xfId="0" applyFont="1"/>
    <xf numFmtId="9" fontId="2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3" fontId="2" fillId="0" borderId="1" xfId="0" applyNumberFormat="1" applyFont="1" applyFill="1" applyBorder="1"/>
    <xf numFmtId="0" fontId="3" fillId="0" borderId="0" xfId="0" applyFont="1" applyAlignment="1">
      <alignment horizontal="right"/>
    </xf>
    <xf numFmtId="3" fontId="5" fillId="0" borderId="0" xfId="0" applyNumberFormat="1" applyFont="1" applyFill="1" applyBorder="1"/>
    <xf numFmtId="0" fontId="5" fillId="0" borderId="0" xfId="0" applyFont="1"/>
    <xf numFmtId="3" fontId="5" fillId="0" borderId="1" xfId="0" applyNumberFormat="1" applyFont="1" applyFill="1" applyBorder="1"/>
    <xf numFmtId="0" fontId="5" fillId="0" borderId="0" xfId="0" applyFont="1" applyAlignment="1">
      <alignment horizontal="center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9" fontId="2" fillId="0" borderId="0" xfId="0" applyNumberFormat="1" applyFont="1"/>
    <xf numFmtId="0" fontId="3" fillId="0" borderId="0" xfId="0" applyFont="1" applyAlignment="1">
      <alignment horizontal="center" vertical="top" wrapText="1"/>
    </xf>
    <xf numFmtId="0" fontId="2" fillId="2" borderId="0" xfId="0" applyFont="1" applyFill="1"/>
    <xf numFmtId="3" fontId="2" fillId="2" borderId="0" xfId="0" applyNumberFormat="1" applyFont="1" applyFill="1"/>
    <xf numFmtId="0" fontId="6" fillId="0" borderId="0" xfId="0" applyFont="1" applyAlignment="1">
      <alignment horizontal="right"/>
    </xf>
    <xf numFmtId="0" fontId="2" fillId="2" borderId="1" xfId="0" applyFont="1" applyFill="1" applyBorder="1"/>
    <xf numFmtId="0" fontId="7" fillId="0" borderId="0" xfId="0" applyFont="1" applyAlignment="1">
      <alignment horizontal="right"/>
    </xf>
    <xf numFmtId="3" fontId="7" fillId="0" borderId="0" xfId="0" applyNumberFormat="1" applyFont="1"/>
    <xf numFmtId="0" fontId="7" fillId="0" borderId="1" xfId="0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Border="1"/>
    <xf numFmtId="0" fontId="3" fillId="2" borderId="0" xfId="0" applyFont="1" applyFill="1" applyAlignment="1">
      <alignment horizontal="center" vertical="top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3" fontId="7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 vertical="top" wrapText="1"/>
    </xf>
    <xf numFmtId="0" fontId="5" fillId="0" borderId="0" xfId="0" applyFont="1" applyAlignment="1">
      <alignment horizontal="left"/>
    </xf>
    <xf numFmtId="3" fontId="7" fillId="3" borderId="0" xfId="0" applyNumberFormat="1" applyFont="1" applyFill="1"/>
    <xf numFmtId="3" fontId="7" fillId="3" borderId="1" xfId="0" applyNumberFormat="1" applyFont="1" applyFill="1" applyBorder="1"/>
    <xf numFmtId="0" fontId="5" fillId="0" borderId="2" xfId="0" applyFont="1" applyBorder="1" applyAlignment="1">
      <alignment horizontal="center"/>
    </xf>
    <xf numFmtId="3" fontId="3" fillId="2" borderId="0" xfId="0" applyNumberFormat="1" applyFont="1" applyFill="1"/>
    <xf numFmtId="3" fontId="3" fillId="2" borderId="1" xfId="0" applyNumberFormat="1" applyFont="1" applyFill="1" applyBorder="1"/>
    <xf numFmtId="0" fontId="3" fillId="0" borderId="0" xfId="0" applyFont="1" applyFill="1" applyAlignment="1">
      <alignment horizontal="center" vertical="top" wrapText="1"/>
    </xf>
    <xf numFmtId="0" fontId="5" fillId="0" borderId="0" xfId="0" applyFont="1" applyBorder="1" applyAlignment="1">
      <alignment horizontal="center"/>
    </xf>
    <xf numFmtId="164" fontId="3" fillId="0" borderId="0" xfId="1" applyNumberFormat="1" applyFont="1"/>
    <xf numFmtId="164" fontId="5" fillId="0" borderId="0" xfId="0" applyNumberFormat="1" applyFont="1"/>
    <xf numFmtId="0" fontId="3" fillId="0" borderId="0" xfId="0" applyFont="1" applyAlignment="1">
      <alignment horizontal="left"/>
    </xf>
    <xf numFmtId="0" fontId="9" fillId="0" borderId="0" xfId="0" applyFont="1"/>
    <xf numFmtId="164" fontId="3" fillId="0" borderId="1" xfId="1" applyNumberFormat="1" applyFont="1" applyBorder="1"/>
    <xf numFmtId="164" fontId="3" fillId="0" borderId="0" xfId="0" applyNumberFormat="1" applyFont="1"/>
    <xf numFmtId="0" fontId="8" fillId="0" borderId="0" xfId="0" applyFont="1" applyAlignment="1">
      <alignment horizontal="left"/>
    </xf>
    <xf numFmtId="3" fontId="7" fillId="3" borderId="0" xfId="0" applyNumberFormat="1" applyFont="1" applyFill="1" applyBorder="1"/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3" fontId="2" fillId="0" borderId="4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7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7" xfId="0" applyFont="1" applyFill="1" applyBorder="1"/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3" fillId="0" borderId="0" xfId="0" applyNumberFormat="1" applyFont="1" applyFill="1" applyBorder="1"/>
    <xf numFmtId="0" fontId="3" fillId="0" borderId="7" xfId="0" applyFont="1" applyFill="1" applyBorder="1"/>
    <xf numFmtId="0" fontId="2" fillId="0" borderId="0" xfId="0" applyFont="1" applyFill="1" applyBorder="1"/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3" fontId="2" fillId="0" borderId="9" xfId="0" applyNumberFormat="1" applyFont="1" applyFill="1" applyBorder="1"/>
    <xf numFmtId="0" fontId="2" fillId="0" borderId="10" xfId="0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Normal="100" zoomScaleSheetLayoutView="115" workbookViewId="0">
      <selection activeCell="K7" sqref="K7"/>
    </sheetView>
  </sheetViews>
  <sheetFormatPr baseColWidth="10" defaultColWidth="9.140625" defaultRowHeight="14.25" x14ac:dyDescent="0.2"/>
  <cols>
    <col min="1" max="1" width="6" style="1" customWidth="1"/>
    <col min="2" max="2" width="27.28515625" style="1" customWidth="1"/>
    <col min="3" max="3" width="9.5703125" style="1" customWidth="1"/>
    <col min="4" max="4" width="7.7109375" style="1" customWidth="1"/>
    <col min="5" max="5" width="32.140625" style="1" customWidth="1"/>
    <col min="6" max="6" width="16.5703125" style="1" customWidth="1"/>
    <col min="7" max="7" width="13.7109375" style="1" customWidth="1"/>
    <col min="8" max="8" width="13.42578125" style="1" customWidth="1"/>
    <col min="9" max="9" width="14.42578125" style="1" customWidth="1"/>
    <col min="10" max="10" width="19.42578125" style="1" customWidth="1"/>
    <col min="11" max="11" width="15.5703125" style="1" customWidth="1"/>
    <col min="12" max="12" width="8.85546875" style="1" bestFit="1" customWidth="1"/>
    <col min="13" max="13" width="9.140625" style="1" bestFit="1" customWidth="1"/>
    <col min="14" max="16" width="9.140625" style="1"/>
    <col min="17" max="17" width="10.42578125" style="1" bestFit="1" customWidth="1"/>
    <col min="18" max="16384" width="9.140625" style="1"/>
  </cols>
  <sheetData>
    <row r="1" spans="1:14" ht="18" x14ac:dyDescent="0.25">
      <c r="A1" s="12" t="s">
        <v>18</v>
      </c>
      <c r="B1" s="12"/>
    </row>
    <row r="2" spans="1:14" x14ac:dyDescent="0.2">
      <c r="J2" s="8" t="s">
        <v>58</v>
      </c>
      <c r="K2" s="1" t="s">
        <v>56</v>
      </c>
    </row>
    <row r="3" spans="1:14" x14ac:dyDescent="0.2">
      <c r="J3" s="8"/>
    </row>
    <row r="4" spans="1:14" x14ac:dyDescent="0.2">
      <c r="J4" s="8" t="s">
        <v>57</v>
      </c>
      <c r="K4" s="1" t="s">
        <v>59</v>
      </c>
    </row>
    <row r="5" spans="1:14" x14ac:dyDescent="0.2">
      <c r="A5" s="57" t="s">
        <v>54</v>
      </c>
      <c r="B5" s="58"/>
      <c r="C5" s="59">
        <v>16500</v>
      </c>
      <c r="D5" s="60" t="s">
        <v>23</v>
      </c>
      <c r="J5" s="8"/>
    </row>
    <row r="6" spans="1:14" x14ac:dyDescent="0.2">
      <c r="A6" s="61" t="s">
        <v>19</v>
      </c>
      <c r="B6" s="62"/>
      <c r="C6" s="19">
        <f>-2000+240</f>
        <v>-1760</v>
      </c>
      <c r="D6" s="63" t="s">
        <v>23</v>
      </c>
    </row>
    <row r="7" spans="1:14" x14ac:dyDescent="0.2">
      <c r="A7" s="64" t="s">
        <v>20</v>
      </c>
      <c r="B7" s="65"/>
      <c r="C7" s="21">
        <v>-1700</v>
      </c>
      <c r="D7" s="66" t="s">
        <v>23</v>
      </c>
    </row>
    <row r="8" spans="1:14" ht="15" x14ac:dyDescent="0.25">
      <c r="A8" s="67" t="s">
        <v>45</v>
      </c>
      <c r="B8" s="68"/>
      <c r="C8" s="69">
        <f>SUM(C5:C7)</f>
        <v>13040</v>
      </c>
      <c r="D8" s="70" t="s">
        <v>23</v>
      </c>
    </row>
    <row r="9" spans="1:14" x14ac:dyDescent="0.2">
      <c r="A9" s="64"/>
      <c r="B9" s="65"/>
      <c r="C9" s="71"/>
      <c r="D9" s="66"/>
    </row>
    <row r="10" spans="1:14" x14ac:dyDescent="0.2">
      <c r="A10" s="64" t="s">
        <v>21</v>
      </c>
      <c r="B10" s="65"/>
      <c r="C10" s="71">
        <v>82.2</v>
      </c>
      <c r="D10" s="66" t="s">
        <v>22</v>
      </c>
    </row>
    <row r="11" spans="1:14" x14ac:dyDescent="0.2">
      <c r="A11" s="72" t="s">
        <v>25</v>
      </c>
      <c r="B11" s="73"/>
      <c r="C11" s="74">
        <f>C8*C10</f>
        <v>1071888</v>
      </c>
      <c r="D11" s="75" t="s">
        <v>24</v>
      </c>
      <c r="J11" s="14" t="s">
        <v>51</v>
      </c>
      <c r="K11" s="41">
        <v>12</v>
      </c>
    </row>
    <row r="13" spans="1:14" x14ac:dyDescent="0.2">
      <c r="H13" s="52" t="s">
        <v>52</v>
      </c>
      <c r="K13" s="52" t="s">
        <v>53</v>
      </c>
    </row>
    <row r="15" spans="1:14" ht="30" customHeight="1" x14ac:dyDescent="0.2">
      <c r="A15" s="23" t="s">
        <v>15</v>
      </c>
      <c r="B15" s="23" t="s">
        <v>0</v>
      </c>
      <c r="C15" s="23" t="s">
        <v>2</v>
      </c>
      <c r="D15" s="23"/>
      <c r="F15" s="23" t="s">
        <v>1</v>
      </c>
      <c r="G15" s="47" t="s">
        <v>44</v>
      </c>
      <c r="H15" s="26" t="s">
        <v>14</v>
      </c>
      <c r="I15" s="36" t="s">
        <v>27</v>
      </c>
      <c r="J15" s="22" t="s">
        <v>50</v>
      </c>
      <c r="K15" s="26" t="s">
        <v>46</v>
      </c>
      <c r="L15" s="24"/>
      <c r="M15" s="24"/>
      <c r="N15" s="24"/>
    </row>
    <row r="16" spans="1:14" x14ac:dyDescent="0.2">
      <c r="G16" s="38" t="s">
        <v>5</v>
      </c>
      <c r="H16" s="2" t="s">
        <v>5</v>
      </c>
      <c r="I16" s="27"/>
      <c r="J16" s="15" t="s">
        <v>37</v>
      </c>
      <c r="K16" s="2" t="s">
        <v>5</v>
      </c>
    </row>
    <row r="17" spans="1:13" ht="15" x14ac:dyDescent="0.25">
      <c r="A17" s="1" t="s">
        <v>7</v>
      </c>
      <c r="B17" s="1" t="s">
        <v>8</v>
      </c>
      <c r="C17" s="5" t="s">
        <v>26</v>
      </c>
      <c r="D17" s="5"/>
      <c r="F17" s="51" t="s">
        <v>29</v>
      </c>
      <c r="G17" s="10">
        <v>1300</v>
      </c>
      <c r="H17" s="31">
        <v>197</v>
      </c>
      <c r="I17" s="45">
        <f>G17-H17</f>
        <v>1103</v>
      </c>
      <c r="J17" s="48">
        <f>MROUND(I17/$K$11,10)</f>
        <v>90</v>
      </c>
      <c r="K17" s="49">
        <f>MROUND(I17*$C$10,10)</f>
        <v>90670</v>
      </c>
    </row>
    <row r="18" spans="1:13" ht="15" x14ac:dyDescent="0.25">
      <c r="C18" s="5" t="s">
        <v>16</v>
      </c>
      <c r="D18" s="5"/>
      <c r="F18" s="51" t="s">
        <v>34</v>
      </c>
      <c r="G18" s="17">
        <f>1000+300+200</f>
        <v>1500</v>
      </c>
      <c r="H18" s="33">
        <f>12+45</f>
        <v>57</v>
      </c>
      <c r="I18" s="46">
        <f>G18-H18</f>
        <v>1443</v>
      </c>
      <c r="J18" s="16">
        <f>MROUND(I18/$K$11,10)</f>
        <v>120</v>
      </c>
      <c r="K18" s="49">
        <f>MROUND(I18*$C$10,10)</f>
        <v>118610</v>
      </c>
    </row>
    <row r="19" spans="1:13" ht="15" x14ac:dyDescent="0.25">
      <c r="C19" s="5"/>
      <c r="D19" s="5"/>
      <c r="F19" s="51"/>
      <c r="G19" s="10">
        <f>SUM(G17:G18)</f>
        <v>2800</v>
      </c>
      <c r="H19" s="34">
        <f>SUM(H17:H18)</f>
        <v>254</v>
      </c>
      <c r="I19" s="28">
        <f>SUM(I17:I18)</f>
        <v>2546</v>
      </c>
      <c r="J19" s="44">
        <f>SUM(J17:J18)</f>
        <v>210</v>
      </c>
      <c r="K19" s="3"/>
    </row>
    <row r="20" spans="1:13" ht="15" x14ac:dyDescent="0.25">
      <c r="C20" s="5"/>
      <c r="D20" s="5"/>
      <c r="F20" s="51"/>
      <c r="G20" s="10"/>
      <c r="H20" s="31"/>
      <c r="I20" s="27"/>
      <c r="K20" s="3"/>
    </row>
    <row r="21" spans="1:13" ht="15" x14ac:dyDescent="0.25">
      <c r="A21" s="1" t="s">
        <v>4</v>
      </c>
      <c r="B21" s="1" t="s">
        <v>3</v>
      </c>
      <c r="C21" s="5" t="s">
        <v>9</v>
      </c>
      <c r="D21" s="5"/>
      <c r="F21" s="51" t="s">
        <v>33</v>
      </c>
      <c r="G21" s="10">
        <v>3700</v>
      </c>
      <c r="H21" s="31">
        <v>371</v>
      </c>
      <c r="I21" s="45">
        <f t="shared" ref="I21:I22" si="0">G21-H21</f>
        <v>3329</v>
      </c>
      <c r="J21" s="15">
        <f>MROUND(I21/$K$11,10)</f>
        <v>280</v>
      </c>
      <c r="K21" s="49">
        <f>MROUND(I21*$C$10,10)</f>
        <v>273640</v>
      </c>
    </row>
    <row r="22" spans="1:13" ht="15" x14ac:dyDescent="0.25">
      <c r="B22" s="1" t="s">
        <v>6</v>
      </c>
      <c r="C22" s="5">
        <v>22</v>
      </c>
      <c r="D22" s="5"/>
      <c r="F22" s="51" t="s">
        <v>30</v>
      </c>
      <c r="G22" s="11">
        <v>500</v>
      </c>
      <c r="H22" s="33">
        <v>0</v>
      </c>
      <c r="I22" s="46">
        <f t="shared" si="0"/>
        <v>500</v>
      </c>
      <c r="J22" s="15">
        <f>MROUND(I22/$K$11,10)</f>
        <v>40</v>
      </c>
      <c r="K22" s="49">
        <f>MROUND(I22*$C$10,10)</f>
        <v>41100</v>
      </c>
    </row>
    <row r="23" spans="1:13" ht="15" x14ac:dyDescent="0.25">
      <c r="B23" s="1" t="s">
        <v>17</v>
      </c>
      <c r="C23" s="5"/>
      <c r="D23" s="5"/>
      <c r="F23" s="51"/>
      <c r="G23" s="10">
        <f>SUM(G21:G22)</f>
        <v>4200</v>
      </c>
      <c r="H23" s="34">
        <f>SUM(H21:H22)</f>
        <v>371</v>
      </c>
      <c r="I23" s="28">
        <f>SUM(I21:I22)</f>
        <v>3829</v>
      </c>
      <c r="J23" s="44">
        <f>SUM(J21:J22)</f>
        <v>320</v>
      </c>
      <c r="K23" s="3"/>
    </row>
    <row r="24" spans="1:13" ht="15" x14ac:dyDescent="0.25">
      <c r="C24" s="5"/>
      <c r="D24" s="5"/>
      <c r="F24" s="51"/>
      <c r="G24" s="37"/>
      <c r="H24" s="31"/>
      <c r="I24" s="27"/>
      <c r="K24" s="3"/>
    </row>
    <row r="25" spans="1:13" ht="15" x14ac:dyDescent="0.25">
      <c r="A25" s="1" t="s">
        <v>10</v>
      </c>
      <c r="B25" s="1" t="s">
        <v>11</v>
      </c>
      <c r="C25" s="5" t="s">
        <v>13</v>
      </c>
      <c r="D25" s="5"/>
      <c r="F25" s="51" t="s">
        <v>32</v>
      </c>
      <c r="G25" s="10">
        <v>1450</v>
      </c>
      <c r="H25" s="31">
        <v>181</v>
      </c>
      <c r="I25" s="45">
        <f t="shared" ref="I25:I26" si="1">G25-H25</f>
        <v>1269</v>
      </c>
      <c r="J25" s="15">
        <f>MROUND(I25/$K$11,10)</f>
        <v>110</v>
      </c>
      <c r="K25" s="49">
        <f>MROUND(I25*$C$10,10)</f>
        <v>104310</v>
      </c>
    </row>
    <row r="26" spans="1:13" ht="15" x14ac:dyDescent="0.25">
      <c r="C26" s="5" t="s">
        <v>12</v>
      </c>
      <c r="D26" s="5"/>
      <c r="F26" s="51" t="s">
        <v>31</v>
      </c>
      <c r="G26" s="17">
        <v>1400</v>
      </c>
      <c r="H26" s="33">
        <v>0</v>
      </c>
      <c r="I26" s="46">
        <f t="shared" si="1"/>
        <v>1400</v>
      </c>
      <c r="J26" s="15">
        <f>MROUND(I26/$K$11,10)</f>
        <v>120</v>
      </c>
      <c r="K26" s="49">
        <f>MROUND(I26*$C$10,10)</f>
        <v>115080</v>
      </c>
    </row>
    <row r="27" spans="1:13" ht="15" x14ac:dyDescent="0.25">
      <c r="G27" s="10">
        <f>SUM(G25:G26)</f>
        <v>2850</v>
      </c>
      <c r="H27" s="34">
        <f>SUM(H25:H26)</f>
        <v>181</v>
      </c>
      <c r="I27" s="28">
        <f>SUM(I25:I26)</f>
        <v>2669</v>
      </c>
      <c r="J27" s="44">
        <f>SUM(J25:J26)</f>
        <v>230</v>
      </c>
      <c r="K27" s="3"/>
    </row>
    <row r="28" spans="1:13" ht="15" x14ac:dyDescent="0.25">
      <c r="G28" s="11"/>
      <c r="H28" s="33"/>
      <c r="I28" s="30"/>
      <c r="K28" s="3"/>
    </row>
    <row r="29" spans="1:13" ht="15" x14ac:dyDescent="0.25">
      <c r="G29" s="10">
        <f>G27+G23+G19</f>
        <v>9850</v>
      </c>
      <c r="H29" s="34">
        <f>H27+H23+H19</f>
        <v>806</v>
      </c>
      <c r="I29" s="28">
        <f>I19+I23+I27</f>
        <v>9044</v>
      </c>
      <c r="J29" s="44">
        <f>MROUND(I29/$K$11,10)</f>
        <v>750</v>
      </c>
      <c r="K29" s="3"/>
    </row>
    <row r="30" spans="1:13" ht="15" x14ac:dyDescent="0.25">
      <c r="K30" s="3"/>
    </row>
    <row r="31" spans="1:13" ht="15" x14ac:dyDescent="0.25">
      <c r="E31" s="40" t="s">
        <v>36</v>
      </c>
      <c r="F31" s="13">
        <v>0.2</v>
      </c>
      <c r="G31" s="32">
        <f>F31*G29</f>
        <v>1970</v>
      </c>
      <c r="K31" s="3"/>
    </row>
    <row r="32" spans="1:13" ht="15" x14ac:dyDescent="0.25">
      <c r="K32" s="3"/>
      <c r="L32" s="15" t="s">
        <v>48</v>
      </c>
      <c r="M32" s="20" t="s">
        <v>49</v>
      </c>
    </row>
    <row r="33" spans="1:15" ht="15" x14ac:dyDescent="0.25">
      <c r="E33" s="31" t="s">
        <v>55</v>
      </c>
      <c r="I33" s="36" t="s">
        <v>27</v>
      </c>
      <c r="J33" s="15" t="s">
        <v>37</v>
      </c>
      <c r="K33" s="3"/>
      <c r="L33" s="15" t="s">
        <v>47</v>
      </c>
      <c r="M33" s="20" t="s">
        <v>37</v>
      </c>
    </row>
    <row r="34" spans="1:15" ht="15" x14ac:dyDescent="0.25">
      <c r="E34" s="18" t="s">
        <v>38</v>
      </c>
      <c r="F34" s="25">
        <v>0.5</v>
      </c>
      <c r="G34" s="35">
        <f>G31*F34</f>
        <v>985</v>
      </c>
      <c r="H34" s="1">
        <v>0</v>
      </c>
      <c r="I34" s="45">
        <f>G34-H34</f>
        <v>985</v>
      </c>
      <c r="J34" s="15">
        <f>MROUND(I34/$K$11,10)</f>
        <v>80</v>
      </c>
      <c r="K34" s="49">
        <f>MROUND(I34*$C$10,10)</f>
        <v>80970</v>
      </c>
      <c r="L34" s="20">
        <v>140</v>
      </c>
      <c r="M34" s="50">
        <f>MROUND(K34/L34/$K$11,1)</f>
        <v>48</v>
      </c>
    </row>
    <row r="35" spans="1:15" ht="15" x14ac:dyDescent="0.25">
      <c r="E35" s="18" t="s">
        <v>39</v>
      </c>
      <c r="F35" s="25">
        <v>0.5</v>
      </c>
      <c r="G35" s="6">
        <f>G31-G34</f>
        <v>985</v>
      </c>
      <c r="H35" s="7"/>
      <c r="I35" s="46">
        <f>G35-H35</f>
        <v>985</v>
      </c>
      <c r="J35" s="16">
        <f>MROUND(I35/$K$11,10)</f>
        <v>80</v>
      </c>
      <c r="K35" s="53">
        <f>MROUND(I35*$C$10,10)</f>
        <v>80970</v>
      </c>
      <c r="L35" s="20">
        <v>100</v>
      </c>
      <c r="M35" s="50">
        <f>MROUND(K35/L35/$K$11,1)</f>
        <v>67</v>
      </c>
    </row>
    <row r="36" spans="1:15" ht="15" x14ac:dyDescent="0.25">
      <c r="G36" s="4">
        <f>SUM(G34:G35)</f>
        <v>1970</v>
      </c>
      <c r="H36" s="1">
        <f>SUM(H34:H35)</f>
        <v>0</v>
      </c>
      <c r="I36" s="39">
        <f>SUM(I34:I35)</f>
        <v>1970</v>
      </c>
      <c r="J36" s="15">
        <f t="shared" ref="J36" si="2">MROUND(I36/12,10)</f>
        <v>160</v>
      </c>
      <c r="K36" s="54">
        <f>SUM(K17:K35)</f>
        <v>905350</v>
      </c>
    </row>
    <row r="38" spans="1:15" x14ac:dyDescent="0.2">
      <c r="A38" s="55" t="s">
        <v>42</v>
      </c>
      <c r="C38" s="2" t="s">
        <v>5</v>
      </c>
      <c r="D38" s="2"/>
    </row>
    <row r="39" spans="1:15" x14ac:dyDescent="0.2">
      <c r="A39" s="5" t="s">
        <v>43</v>
      </c>
      <c r="C39" s="4">
        <f>H29+H36</f>
        <v>806</v>
      </c>
      <c r="D39" s="4"/>
    </row>
    <row r="40" spans="1:15" x14ac:dyDescent="0.2">
      <c r="A40" s="5" t="s">
        <v>40</v>
      </c>
      <c r="C40" s="42">
        <f>G29</f>
        <v>9850</v>
      </c>
      <c r="D40" s="42"/>
    </row>
    <row r="41" spans="1:15" x14ac:dyDescent="0.2">
      <c r="A41" s="5" t="s">
        <v>35</v>
      </c>
      <c r="C41" s="43">
        <f>I36</f>
        <v>1970</v>
      </c>
      <c r="D41" s="56"/>
    </row>
    <row r="42" spans="1:15" x14ac:dyDescent="0.2">
      <c r="A42" s="5"/>
      <c r="C42" s="42">
        <f>SUM(C39:C41)</f>
        <v>12626</v>
      </c>
      <c r="D42" s="42"/>
    </row>
    <row r="43" spans="1:15" x14ac:dyDescent="0.2">
      <c r="A43" s="5" t="s">
        <v>41</v>
      </c>
      <c r="C43" s="6">
        <f>C8-C42</f>
        <v>414</v>
      </c>
      <c r="D43" s="35"/>
    </row>
    <row r="44" spans="1:15" x14ac:dyDescent="0.2">
      <c r="B44" s="8" t="s">
        <v>28</v>
      </c>
      <c r="C44" s="4">
        <f>SUM(C42:C43)</f>
        <v>13040</v>
      </c>
      <c r="D44" s="4"/>
      <c r="G44" s="29"/>
    </row>
    <row r="46" spans="1:15" x14ac:dyDescent="0.2">
      <c r="O46" s="9"/>
    </row>
    <row r="48" spans="1:15" x14ac:dyDescent="0.2">
      <c r="K48" s="4"/>
    </row>
    <row r="49" spans="5:11" x14ac:dyDescent="0.2">
      <c r="K49" s="4"/>
    </row>
    <row r="51" spans="5:11" x14ac:dyDescent="0.2">
      <c r="E51" s="2"/>
    </row>
    <row r="52" spans="5:11" x14ac:dyDescent="0.2">
      <c r="E52" s="2"/>
    </row>
  </sheetData>
  <pageMargins left="0.31496062992125984" right="0.23622047244094491" top="0.47244094488188981" bottom="0.39370078740157483" header="0.31496062992125984" footer="0.19685039370078741"/>
  <pageSetup paperSize="9" scale="73" orientation="landscape" r:id="rId1"/>
  <headerFooter>
    <oddFooter>&amp;L&amp;"Arial,Standard"&amp;8&amp;F&amp;R&amp;"Arial,Standard"&amp;8&amp;P/&amp;N</oddFooter>
  </headerFooter>
  <rowBreaks count="1" manualBreakCount="1">
    <brk id="4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2020-11-24T08:50:06Z</dcterms:modified>
</cp:coreProperties>
</file>