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RI\VA\23.xxx.x Bund\1023.079.0_EP Sissach-Eptingen\09.Überw. Objektkosten\"/>
    </mc:Choice>
  </mc:AlternateContent>
  <xr:revisionPtr revIDLastSave="0" documentId="13_ncr:1_{5DE8484D-4B33-4FD5-97DB-9318FB49D546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Kostenübersicht" sheetId="2" r:id="rId1"/>
    <sheet name="PIVOT-Tabelle 1" sheetId="3" r:id="rId2"/>
    <sheet name="PIVOT-Tabelle 2" sheetId="5" r:id="rId3"/>
    <sheet name="PIVOT-Tabelle EKP" sheetId="6" r:id="rId4"/>
  </sheets>
  <definedNames>
    <definedName name="_xlnm.Print_Area" localSheetId="0">Kostenübersicht!$A$1:$AD$318</definedName>
    <definedName name="_xlnm.Print_Titles" localSheetId="0">Kostenübersicht!$2:$2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35" i="2" l="1" a="1"/>
  <c r="Y335" i="2" s="1"/>
  <c r="Y337" i="2" s="1"/>
  <c r="Y332" i="2" a="1"/>
  <c r="Y332" i="2" s="1"/>
  <c r="Y329" i="2" a="1"/>
  <c r="Y329" i="2" s="1"/>
  <c r="Y320" i="2" a="1"/>
  <c r="Y320" i="2" s="1"/>
  <c r="Y318" i="2" a="1"/>
  <c r="Y318" i="2" s="1"/>
  <c r="Y316" i="2" a="1"/>
  <c r="Y316" i="2" s="1"/>
  <c r="AE196" i="2" l="1"/>
  <c r="AE248" i="2"/>
  <c r="AE132" i="2"/>
  <c r="AE156" i="2"/>
  <c r="AG156" i="2" s="1"/>
  <c r="AE3" i="2"/>
  <c r="AE240" i="2"/>
  <c r="Z132" i="2"/>
  <c r="Y132" i="2"/>
  <c r="Z248" i="2"/>
  <c r="W218" i="2"/>
  <c r="W196" i="2"/>
  <c r="W13" i="2"/>
  <c r="W217" i="2" l="1"/>
  <c r="W213" i="2"/>
  <c r="F235" i="2"/>
  <c r="Z235" i="2" s="1"/>
  <c r="W11" i="2"/>
  <c r="W268" i="2"/>
  <c r="W240" i="2"/>
  <c r="W239" i="2"/>
  <c r="X239" i="2" s="1"/>
  <c r="W223" i="2"/>
  <c r="W187" i="2"/>
  <c r="W131" i="2"/>
  <c r="W220" i="2"/>
  <c r="W233" i="2"/>
  <c r="X233" i="2" s="1"/>
  <c r="W132" i="2"/>
  <c r="W222" i="2"/>
  <c r="W237" i="2"/>
  <c r="W70" i="2"/>
  <c r="W69" i="2"/>
  <c r="W247" i="2"/>
  <c r="W263" i="2"/>
  <c r="W148" i="2"/>
  <c r="W192" i="2"/>
  <c r="X192" i="2" s="1"/>
  <c r="W248" i="2"/>
  <c r="F231" i="2"/>
  <c r="W99" i="2"/>
  <c r="W141" i="2"/>
  <c r="W245" i="2"/>
  <c r="W250" i="2"/>
  <c r="W221" i="2"/>
  <c r="W258" i="2"/>
  <c r="X258" i="2" s="1"/>
  <c r="W260" i="2" l="1"/>
  <c r="W246" i="2"/>
  <c r="F242" i="2"/>
  <c r="AE124" i="2"/>
  <c r="AG124" i="2" s="1"/>
  <c r="AE273" i="2"/>
  <c r="F273" i="2"/>
  <c r="Z273" i="2" s="1"/>
  <c r="F270" i="2"/>
  <c r="X196" i="2"/>
  <c r="W252" i="2"/>
  <c r="AE298" i="2"/>
  <c r="AF298" i="2" s="1"/>
  <c r="AE123" i="2"/>
  <c r="AE269" i="2"/>
  <c r="AE271" i="2"/>
  <c r="AF273" i="2" l="1"/>
  <c r="AG273" i="2" s="1"/>
  <c r="AG298" i="2"/>
  <c r="X229" i="2"/>
  <c r="AF271" i="2"/>
  <c r="AG271" i="2" s="1"/>
  <c r="AF269" i="2"/>
  <c r="AG269" i="2" s="1"/>
  <c r="F149" i="2"/>
  <c r="F210" i="2"/>
  <c r="F88" i="2" l="1"/>
  <c r="AG123" i="2"/>
  <c r="F216" i="2"/>
  <c r="F268" i="2"/>
  <c r="F215" i="2"/>
  <c r="W147" i="2"/>
  <c r="F241" i="2"/>
  <c r="AE280" i="2"/>
  <c r="F280" i="2"/>
  <c r="F11" i="2"/>
  <c r="AF280" i="2" l="1"/>
  <c r="AG280" i="2" s="1"/>
  <c r="F203" i="2"/>
  <c r="F202" i="2"/>
  <c r="F201" i="2"/>
  <c r="AG240" i="2" l="1"/>
  <c r="F255" i="2"/>
  <c r="AE142" i="2"/>
  <c r="AE87" i="2"/>
  <c r="AE88" i="2"/>
  <c r="AE282" i="2"/>
  <c r="AE277" i="2"/>
  <c r="AE278" i="2"/>
  <c r="AE268" i="2"/>
  <c r="Z255" i="2"/>
  <c r="AG268" i="2" l="1"/>
  <c r="AF278" i="2"/>
  <c r="AG278" i="2" s="1"/>
  <c r="AF282" i="2"/>
  <c r="AG282" i="2" s="1"/>
  <c r="AG142" i="2"/>
  <c r="AG88" i="2"/>
  <c r="AF277" i="2"/>
  <c r="AG277" i="2" s="1"/>
  <c r="X147" i="2"/>
  <c r="W186" i="2"/>
  <c r="X186" i="2" s="1"/>
  <c r="W208" i="2"/>
  <c r="W206" i="2"/>
  <c r="X206" i="2" s="1"/>
  <c r="AE263" i="2"/>
  <c r="AE264" i="2"/>
  <c r="AE307" i="2" l="1"/>
  <c r="AF307" i="2" l="1"/>
  <c r="AG307" i="2" s="1"/>
  <c r="AE304" i="2"/>
  <c r="AE172" i="2"/>
  <c r="AE185" i="2"/>
  <c r="AE155" i="2"/>
  <c r="AG155" i="2" l="1"/>
  <c r="AG172" i="2"/>
  <c r="AF304" i="2"/>
  <c r="AG304" i="2" s="1"/>
  <c r="AG185" i="2"/>
  <c r="F264" i="2" l="1"/>
  <c r="F261" i="2"/>
  <c r="F263" i="2"/>
  <c r="X250" i="2"/>
  <c r="AE175" i="2"/>
  <c r="AE174" i="2"/>
  <c r="AE173" i="2"/>
  <c r="F175" i="2"/>
  <c r="F174" i="2"/>
  <c r="F173" i="2"/>
  <c r="W122" i="2"/>
  <c r="X122" i="2" s="1"/>
  <c r="F122" i="2"/>
  <c r="AE229" i="2"/>
  <c r="F229" i="2"/>
  <c r="F230" i="2"/>
  <c r="F253" i="2"/>
  <c r="AE253" i="2"/>
  <c r="W121" i="2"/>
  <c r="F121" i="2"/>
  <c r="F200" i="2"/>
  <c r="F199" i="2"/>
  <c r="AE238" i="2"/>
  <c r="AE170" i="2"/>
  <c r="AE254" i="2"/>
  <c r="F254" i="2"/>
  <c r="AE255" i="2"/>
  <c r="AF255" i="2" s="1"/>
  <c r="AE257" i="2"/>
  <c r="AE258" i="2"/>
  <c r="AE259" i="2"/>
  <c r="F259" i="2"/>
  <c r="Z259" i="2" s="1"/>
  <c r="AE260" i="2"/>
  <c r="F260" i="2"/>
  <c r="AE261" i="2"/>
  <c r="AE262" i="2"/>
  <c r="F262" i="2"/>
  <c r="AE247" i="2"/>
  <c r="AE305" i="2"/>
  <c r="AE306" i="2"/>
  <c r="AE120" i="2"/>
  <c r="AE206" i="2"/>
  <c r="F206" i="2"/>
  <c r="F207" i="2"/>
  <c r="AE171" i="2"/>
  <c r="F171" i="2"/>
  <c r="V196" i="2"/>
  <c r="F196" i="2"/>
  <c r="F197" i="2"/>
  <c r="F198" i="2"/>
  <c r="U205" i="2"/>
  <c r="V205" i="2"/>
  <c r="F214" i="2"/>
  <c r="F208" i="2"/>
  <c r="W243" i="2"/>
  <c r="X243" i="2" s="1"/>
  <c r="AA316" i="2" a="1"/>
  <c r="AA316" i="2" s="1"/>
  <c r="AB316" i="2" a="1"/>
  <c r="AB316" i="2" s="1"/>
  <c r="AC316" i="2" a="1"/>
  <c r="AC316" i="2" s="1"/>
  <c r="AA318" i="2" a="1"/>
  <c r="AA318" i="2" s="1"/>
  <c r="AB318" i="2" a="1"/>
  <c r="AB318" i="2" s="1"/>
  <c r="AC318" i="2" a="1"/>
  <c r="AC318" i="2" s="1"/>
  <c r="AA320" i="2" a="1"/>
  <c r="AA320" i="2" s="1"/>
  <c r="AB320" i="2" a="1"/>
  <c r="AB320" i="2" s="1"/>
  <c r="AC320" i="2" a="1"/>
  <c r="AC320" i="2" s="1"/>
  <c r="F250" i="2"/>
  <c r="AE251" i="2"/>
  <c r="AE309" i="2"/>
  <c r="AE308" i="2"/>
  <c r="AE303" i="2"/>
  <c r="AE302" i="2"/>
  <c r="AE301" i="2"/>
  <c r="AE300" i="2"/>
  <c r="AE265" i="2"/>
  <c r="AE297" i="2"/>
  <c r="AE296" i="2"/>
  <c r="AE295" i="2"/>
  <c r="AE293" i="2"/>
  <c r="AE292" i="2"/>
  <c r="AE291" i="2"/>
  <c r="AE266" i="2"/>
  <c r="AE270" i="2"/>
  <c r="AE290" i="2"/>
  <c r="AE289" i="2"/>
  <c r="AE288" i="2"/>
  <c r="AE287" i="2"/>
  <c r="AE267" i="2"/>
  <c r="AE286" i="2"/>
  <c r="AE285" i="2"/>
  <c r="AE284" i="2"/>
  <c r="AE283" i="2"/>
  <c r="AE281" i="2"/>
  <c r="AE279" i="2"/>
  <c r="AE272" i="2"/>
  <c r="AE276" i="2"/>
  <c r="AE275" i="2"/>
  <c r="AE274" i="2"/>
  <c r="AE249" i="2"/>
  <c r="AE246" i="2"/>
  <c r="AE244" i="2"/>
  <c r="AE239" i="2"/>
  <c r="V237" i="2"/>
  <c r="AE237" i="2" s="1"/>
  <c r="AE236" i="2"/>
  <c r="AE235" i="2"/>
  <c r="V234" i="2"/>
  <c r="AE234" i="2" s="1"/>
  <c r="AE233" i="2"/>
  <c r="AE232" i="2"/>
  <c r="AE228" i="2"/>
  <c r="AE227" i="2"/>
  <c r="V223" i="2"/>
  <c r="AE222" i="2"/>
  <c r="AE221" i="2"/>
  <c r="U220" i="2"/>
  <c r="V220" i="2"/>
  <c r="AE219" i="2"/>
  <c r="AE218" i="2"/>
  <c r="AE217" i="2"/>
  <c r="V213" i="2"/>
  <c r="AE213" i="2" s="1"/>
  <c r="U212" i="2"/>
  <c r="AE212" i="2" s="1"/>
  <c r="AE210" i="2"/>
  <c r="AE209" i="2"/>
  <c r="AE208" i="2"/>
  <c r="U192" i="2"/>
  <c r="V192" i="2"/>
  <c r="U187" i="2"/>
  <c r="V187" i="2"/>
  <c r="AE186" i="2"/>
  <c r="R159" i="2"/>
  <c r="S159" i="2"/>
  <c r="Q148" i="2"/>
  <c r="R148" i="2"/>
  <c r="S148" i="2"/>
  <c r="T148" i="2"/>
  <c r="U148" i="2"/>
  <c r="V148" i="2"/>
  <c r="AE147" i="2"/>
  <c r="R141" i="2"/>
  <c r="U141" i="2"/>
  <c r="V141" i="2"/>
  <c r="R131" i="2"/>
  <c r="S131" i="2"/>
  <c r="T131" i="2"/>
  <c r="U131" i="2"/>
  <c r="V131" i="2"/>
  <c r="T99" i="2"/>
  <c r="V99" i="2"/>
  <c r="AG87" i="2"/>
  <c r="V70" i="2"/>
  <c r="R69" i="2"/>
  <c r="S69" i="2"/>
  <c r="T69" i="2"/>
  <c r="U69" i="2"/>
  <c r="V69" i="2"/>
  <c r="AE64" i="2"/>
  <c r="AE14" i="2"/>
  <c r="AE13" i="2"/>
  <c r="L11" i="2"/>
  <c r="M11" i="2"/>
  <c r="N11" i="2"/>
  <c r="O11" i="2"/>
  <c r="P11" i="2"/>
  <c r="Q11" i="2"/>
  <c r="R11" i="2"/>
  <c r="S11" i="2"/>
  <c r="T11" i="2"/>
  <c r="U11" i="2"/>
  <c r="V11" i="2"/>
  <c r="F227" i="2"/>
  <c r="F239" i="2"/>
  <c r="F131" i="2"/>
  <c r="F133" i="2"/>
  <c r="F249" i="2"/>
  <c r="AE169" i="2"/>
  <c r="F246" i="2"/>
  <c r="F245" i="2"/>
  <c r="F247" i="2"/>
  <c r="F244" i="2"/>
  <c r="V146" i="2"/>
  <c r="AE146" i="2" s="1"/>
  <c r="F228" i="2"/>
  <c r="AA329" i="2" a="1"/>
  <c r="AA329" i="2" s="1"/>
  <c r="AB329" i="2" a="1"/>
  <c r="AB329" i="2" s="1"/>
  <c r="AC329" i="2" a="1"/>
  <c r="AC329" i="2" s="1"/>
  <c r="AA332" i="2" a="1"/>
  <c r="AA332" i="2" s="1"/>
  <c r="AB332" i="2" a="1"/>
  <c r="AB332" i="2" s="1"/>
  <c r="AC332" i="2" a="1"/>
  <c r="AC332" i="2" s="1"/>
  <c r="AA335" i="2" a="1"/>
  <c r="AA335" i="2" s="1"/>
  <c r="AB335" i="2" a="1"/>
  <c r="AB335" i="2" s="1"/>
  <c r="AC335" i="2" a="1"/>
  <c r="AC335" i="2" s="1"/>
  <c r="F221" i="2"/>
  <c r="F237" i="2"/>
  <c r="F238" i="2"/>
  <c r="V224" i="2"/>
  <c r="AE224" i="2" s="1"/>
  <c r="F236" i="2"/>
  <c r="F233" i="2"/>
  <c r="F222" i="2"/>
  <c r="AE299" i="2"/>
  <c r="AE294" i="2"/>
  <c r="AE226" i="2"/>
  <c r="AE195" i="2"/>
  <c r="AE143" i="2"/>
  <c r="AE133" i="2"/>
  <c r="F232" i="2"/>
  <c r="AG133" i="2"/>
  <c r="V194" i="2"/>
  <c r="AE194" i="2" s="1"/>
  <c r="AE211" i="2"/>
  <c r="AE225" i="2"/>
  <c r="AE188" i="2"/>
  <c r="AE119" i="2"/>
  <c r="AE5" i="2"/>
  <c r="AE10" i="2"/>
  <c r="AE15" i="2"/>
  <c r="AE19" i="2"/>
  <c r="AE20" i="2"/>
  <c r="AE21" i="2"/>
  <c r="AE24" i="2"/>
  <c r="AE25" i="2"/>
  <c r="AE26" i="2"/>
  <c r="AE27" i="2"/>
  <c r="AE30" i="2"/>
  <c r="AE31" i="2"/>
  <c r="AE33" i="2"/>
  <c r="AE34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2" i="2"/>
  <c r="AE53" i="2"/>
  <c r="AE54" i="2"/>
  <c r="AE55" i="2"/>
  <c r="AE57" i="2"/>
  <c r="AE58" i="2"/>
  <c r="AE60" i="2"/>
  <c r="AE62" i="2"/>
  <c r="AE67" i="2"/>
  <c r="AE76" i="2"/>
  <c r="AE77" i="2"/>
  <c r="AE78" i="2"/>
  <c r="AE79" i="2"/>
  <c r="AE80" i="2"/>
  <c r="AE81" i="2"/>
  <c r="AE82" i="2"/>
  <c r="AE83" i="2"/>
  <c r="AE84" i="2"/>
  <c r="AE85" i="2"/>
  <c r="AE86" i="2"/>
  <c r="AE92" i="2"/>
  <c r="AE98" i="2"/>
  <c r="AE100" i="2"/>
  <c r="AE101" i="2"/>
  <c r="AE102" i="2"/>
  <c r="AE103" i="2"/>
  <c r="AE105" i="2"/>
  <c r="AE106" i="2"/>
  <c r="AE109" i="2"/>
  <c r="AE110" i="2"/>
  <c r="AE111" i="2"/>
  <c r="AE112" i="2"/>
  <c r="AE113" i="2"/>
  <c r="AE115" i="2"/>
  <c r="AE116" i="2"/>
  <c r="AE117" i="2"/>
  <c r="AE118" i="2"/>
  <c r="AE126" i="2"/>
  <c r="AE127" i="2"/>
  <c r="AE128" i="2"/>
  <c r="AE129" i="2"/>
  <c r="AE139" i="2"/>
  <c r="AE140" i="2"/>
  <c r="AE144" i="2"/>
  <c r="AE150" i="2"/>
  <c r="AE151" i="2"/>
  <c r="AE152" i="2"/>
  <c r="AE153" i="2"/>
  <c r="AE154" i="2"/>
  <c r="AE158" i="2"/>
  <c r="AE160" i="2"/>
  <c r="AE161" i="2"/>
  <c r="AE162" i="2"/>
  <c r="AE163" i="2"/>
  <c r="AE164" i="2"/>
  <c r="AE165" i="2"/>
  <c r="AE166" i="2"/>
  <c r="AE167" i="2"/>
  <c r="AE168" i="2"/>
  <c r="AE180" i="2"/>
  <c r="AE181" i="2"/>
  <c r="AE183" i="2"/>
  <c r="AE184" i="2"/>
  <c r="AE189" i="2"/>
  <c r="AE190" i="2"/>
  <c r="AE191" i="2"/>
  <c r="AE193" i="2"/>
  <c r="F213" i="2"/>
  <c r="F147" i="2"/>
  <c r="F146" i="2"/>
  <c r="F145" i="2"/>
  <c r="U68" i="2"/>
  <c r="AB311" i="2"/>
  <c r="AC311" i="2"/>
  <c r="AA311" i="2"/>
  <c r="U178" i="2"/>
  <c r="F143" i="2"/>
  <c r="F87" i="2"/>
  <c r="T63" i="2"/>
  <c r="F194" i="2"/>
  <c r="U177" i="2"/>
  <c r="F86" i="2"/>
  <c r="U63" i="2"/>
  <c r="T68" i="2"/>
  <c r="T177" i="2"/>
  <c r="T178" i="2"/>
  <c r="F132" i="2"/>
  <c r="F84" i="2"/>
  <c r="F78" i="2"/>
  <c r="F193" i="2"/>
  <c r="F85" i="2"/>
  <c r="S177" i="2"/>
  <c r="S68" i="2"/>
  <c r="S63" i="2"/>
  <c r="S178" i="2"/>
  <c r="F167" i="2"/>
  <c r="S179" i="2"/>
  <c r="AE179" i="2" s="1"/>
  <c r="F186" i="2"/>
  <c r="R68" i="2"/>
  <c r="R63" i="2"/>
  <c r="Q134" i="2"/>
  <c r="AE134" i="2" s="1"/>
  <c r="R145" i="2"/>
  <c r="AE145" i="2" s="1"/>
  <c r="R65" i="2"/>
  <c r="R178" i="2"/>
  <c r="R137" i="2"/>
  <c r="AE137" i="2" s="1"/>
  <c r="R138" i="2"/>
  <c r="AE138" i="2" s="1"/>
  <c r="F99" i="2"/>
  <c r="R177" i="2"/>
  <c r="F179" i="2"/>
  <c r="R61" i="2"/>
  <c r="R182" i="2"/>
  <c r="AE182" i="2" s="1"/>
  <c r="F182" i="2"/>
  <c r="F70" i="2"/>
  <c r="F69" i="2"/>
  <c r="O12" i="2"/>
  <c r="O9" i="2"/>
  <c r="R157" i="2"/>
  <c r="AE157" i="2" s="1"/>
  <c r="R97" i="2"/>
  <c r="R176" i="2"/>
  <c r="AE176" i="2" s="1"/>
  <c r="R130" i="2"/>
  <c r="Q130" i="2"/>
  <c r="Q72" i="2"/>
  <c r="Q73" i="2"/>
  <c r="AE73" i="2" s="1"/>
  <c r="Q61" i="2"/>
  <c r="R66" i="2"/>
  <c r="AE66" i="2" s="1"/>
  <c r="F164" i="2"/>
  <c r="F137" i="2"/>
  <c r="Q135" i="2"/>
  <c r="AE135" i="2" s="1"/>
  <c r="Q136" i="2"/>
  <c r="AE136" i="2" s="1"/>
  <c r="Q65" i="2"/>
  <c r="Q63" i="2"/>
  <c r="Q95" i="2"/>
  <c r="F67" i="2"/>
  <c r="F65" i="2"/>
  <c r="F63" i="2"/>
  <c r="F138" i="2"/>
  <c r="F57" i="2"/>
  <c r="N91" i="2"/>
  <c r="AE91" i="2" s="1"/>
  <c r="N93" i="2"/>
  <c r="AE93" i="2" s="1"/>
  <c r="P125" i="2"/>
  <c r="Q125" i="2"/>
  <c r="F68" i="2"/>
  <c r="Q97" i="2"/>
  <c r="Q114" i="2"/>
  <c r="AE114" i="2" s="1"/>
  <c r="F148" i="2"/>
  <c r="Q90" i="2"/>
  <c r="K4" i="2"/>
  <c r="AE4" i="2" s="1"/>
  <c r="L18" i="2"/>
  <c r="AE18" i="2" s="1"/>
  <c r="L17" i="2"/>
  <c r="AE17" i="2" s="1"/>
  <c r="F17" i="2"/>
  <c r="F72" i="2"/>
  <c r="F135" i="2"/>
  <c r="F134" i="2"/>
  <c r="F130" i="2"/>
  <c r="F139" i="2"/>
  <c r="F76" i="2"/>
  <c r="F79" i="2"/>
  <c r="F80" i="2"/>
  <c r="F83" i="2"/>
  <c r="F82" i="2"/>
  <c r="P95" i="2"/>
  <c r="P108" i="2"/>
  <c r="AE108" i="2" s="1"/>
  <c r="P90" i="2"/>
  <c r="O90" i="2"/>
  <c r="P97" i="2"/>
  <c r="F129" i="2"/>
  <c r="P72" i="2"/>
  <c r="P61" i="2"/>
  <c r="F81" i="2"/>
  <c r="O61" i="2"/>
  <c r="O104" i="2"/>
  <c r="AE104" i="2" s="1"/>
  <c r="O96" i="2"/>
  <c r="O95" i="2"/>
  <c r="O89" i="2"/>
  <c r="AE89" i="2" s="1"/>
  <c r="O107" i="2"/>
  <c r="AE107" i="2" s="1"/>
  <c r="O94" i="2"/>
  <c r="O97" i="2"/>
  <c r="O72" i="2"/>
  <c r="N72" i="2"/>
  <c r="F61" i="2"/>
  <c r="F74" i="2"/>
  <c r="N61" i="2"/>
  <c r="O75" i="2"/>
  <c r="O74" i="2"/>
  <c r="N74" i="2"/>
  <c r="N75" i="2"/>
  <c r="N71" i="2"/>
  <c r="AE71" i="2" s="1"/>
  <c r="N96" i="2"/>
  <c r="AE96" i="2" s="1"/>
  <c r="N9" i="2"/>
  <c r="N94" i="2"/>
  <c r="N35" i="2"/>
  <c r="AE35" i="2" s="1"/>
  <c r="N12" i="2"/>
  <c r="M12" i="2"/>
  <c r="L12" i="2"/>
  <c r="K12" i="2"/>
  <c r="M59" i="2"/>
  <c r="AE59" i="2" s="1"/>
  <c r="M56" i="2"/>
  <c r="AE56" i="2" s="1"/>
  <c r="M32" i="2"/>
  <c r="AE32" i="2" s="1"/>
  <c r="L9" i="2"/>
  <c r="L6" i="2"/>
  <c r="L22" i="2"/>
  <c r="L23" i="2"/>
  <c r="L51" i="2"/>
  <c r="L28" i="2"/>
  <c r="AE28" i="2" s="1"/>
  <c r="L29" i="2"/>
  <c r="AE29" i="2" s="1"/>
  <c r="M9" i="2"/>
  <c r="M23" i="2"/>
  <c r="M51" i="2"/>
  <c r="K7" i="2"/>
  <c r="AE7" i="2" s="1"/>
  <c r="K9" i="2"/>
  <c r="K6" i="2"/>
  <c r="K8" i="2"/>
  <c r="AE8" i="2" s="1"/>
  <c r="K22" i="2"/>
  <c r="K16" i="2"/>
  <c r="AE16" i="2" s="1"/>
  <c r="F9" i="2"/>
  <c r="F60" i="2"/>
  <c r="F23" i="2"/>
  <c r="F16" i="2"/>
  <c r="F8" i="2"/>
  <c r="F51" i="2"/>
  <c r="AF229" i="2" l="1"/>
  <c r="AG229" i="2" s="1"/>
  <c r="AB337" i="2"/>
  <c r="AC337" i="2"/>
  <c r="AA337" i="2"/>
  <c r="AE252" i="2"/>
  <c r="AG252" i="2" s="1"/>
  <c r="AF213" i="2"/>
  <c r="AG213" i="2" s="1"/>
  <c r="AG173" i="2"/>
  <c r="AG35" i="2"/>
  <c r="AG107" i="2"/>
  <c r="AG176" i="2"/>
  <c r="AG182" i="2"/>
  <c r="AG184" i="2"/>
  <c r="AG164" i="2"/>
  <c r="AG152" i="2"/>
  <c r="AG127" i="2"/>
  <c r="AG111" i="2"/>
  <c r="AG100" i="2"/>
  <c r="AG81" i="2"/>
  <c r="AG60" i="2"/>
  <c r="AG49" i="2"/>
  <c r="AG41" i="2"/>
  <c r="AG31" i="2"/>
  <c r="AG19" i="2"/>
  <c r="AG211" i="2"/>
  <c r="AG13" i="2"/>
  <c r="AF218" i="2"/>
  <c r="AG218" i="2" s="1"/>
  <c r="AF279" i="2"/>
  <c r="AG279" i="2" s="1"/>
  <c r="AF267" i="2"/>
  <c r="AG267" i="2" s="1"/>
  <c r="AF292" i="2"/>
  <c r="AG292" i="2" s="1"/>
  <c r="AF301" i="2"/>
  <c r="AG301" i="2" s="1"/>
  <c r="AG174" i="2"/>
  <c r="AG135" i="2"/>
  <c r="AF239" i="2"/>
  <c r="AG239" i="2" s="1"/>
  <c r="AF291" i="2"/>
  <c r="AG291" i="2" s="1"/>
  <c r="AG32" i="2"/>
  <c r="AG89" i="2"/>
  <c r="AG163" i="2"/>
  <c r="AG151" i="2"/>
  <c r="AG110" i="2"/>
  <c r="AG80" i="2"/>
  <c r="AG58" i="2"/>
  <c r="AG40" i="2"/>
  <c r="AG30" i="2"/>
  <c r="AG15" i="2"/>
  <c r="AG194" i="2"/>
  <c r="AG299" i="2"/>
  <c r="AG165" i="2"/>
  <c r="AG112" i="2"/>
  <c r="AG82" i="2"/>
  <c r="AG50" i="2"/>
  <c r="AG20" i="2"/>
  <c r="AG226" i="2"/>
  <c r="AG217" i="2"/>
  <c r="AG145" i="2"/>
  <c r="AG183" i="2"/>
  <c r="AG126" i="2"/>
  <c r="AG48" i="2"/>
  <c r="AG64" i="2"/>
  <c r="AG249" i="2"/>
  <c r="AF283" i="2"/>
  <c r="AG283" i="2" s="1"/>
  <c r="AF288" i="2"/>
  <c r="AG288" i="2" s="1"/>
  <c r="AF303" i="2"/>
  <c r="AG303" i="2" s="1"/>
  <c r="AF258" i="2"/>
  <c r="AG258" i="2" s="1"/>
  <c r="AG170" i="2"/>
  <c r="AG114" i="2"/>
  <c r="AG189" i="2"/>
  <c r="AG128" i="2"/>
  <c r="AG42" i="2"/>
  <c r="AF305" i="2"/>
  <c r="AG305" i="2" s="1"/>
  <c r="AG29" i="2"/>
  <c r="AG17" i="2"/>
  <c r="AG157" i="2"/>
  <c r="AG181" i="2"/>
  <c r="AG150" i="2"/>
  <c r="AG92" i="2"/>
  <c r="AG47" i="2"/>
  <c r="AF209" i="2"/>
  <c r="AG209" i="2" s="1"/>
  <c r="AG234" i="2"/>
  <c r="AF274" i="2"/>
  <c r="AG274" i="2" s="1"/>
  <c r="AF289" i="2"/>
  <c r="AG289" i="2" s="1"/>
  <c r="AF295" i="2"/>
  <c r="AG295" i="2" s="1"/>
  <c r="AG171" i="2"/>
  <c r="AF257" i="2"/>
  <c r="AG257" i="2" s="1"/>
  <c r="AG153" i="2"/>
  <c r="AG101" i="2"/>
  <c r="AG62" i="2"/>
  <c r="AG33" i="2"/>
  <c r="AG225" i="2"/>
  <c r="AF286" i="2"/>
  <c r="AG286" i="2" s="1"/>
  <c r="AG16" i="2"/>
  <c r="AG98" i="2"/>
  <c r="AF210" i="2"/>
  <c r="AG210" i="2" s="1"/>
  <c r="AF275" i="2"/>
  <c r="AG275" i="2" s="1"/>
  <c r="AF290" i="2"/>
  <c r="AG290" i="2" s="1"/>
  <c r="AF296" i="2"/>
  <c r="AG296" i="2" s="1"/>
  <c r="AF14" i="2"/>
  <c r="AF219" i="2"/>
  <c r="AG219" i="2" s="1"/>
  <c r="AF281" i="2"/>
  <c r="AG281" i="2" s="1"/>
  <c r="AF287" i="2"/>
  <c r="AG287" i="2" s="1"/>
  <c r="AF293" i="2"/>
  <c r="AG293" i="2" s="1"/>
  <c r="AF302" i="2"/>
  <c r="AG302" i="2" s="1"/>
  <c r="AG56" i="2"/>
  <c r="AG66" i="2"/>
  <c r="AG134" i="2"/>
  <c r="AG162" i="2"/>
  <c r="AG118" i="2"/>
  <c r="AG109" i="2"/>
  <c r="AG79" i="2"/>
  <c r="AG57" i="2"/>
  <c r="AG39" i="2"/>
  <c r="AG27" i="2"/>
  <c r="AG10" i="2"/>
  <c r="AG8" i="2"/>
  <c r="AG28" i="2"/>
  <c r="AG59" i="2"/>
  <c r="AG96" i="2"/>
  <c r="AG18" i="2"/>
  <c r="AG180" i="2"/>
  <c r="AG161" i="2"/>
  <c r="AG144" i="2"/>
  <c r="AG117" i="2"/>
  <c r="AG106" i="2"/>
  <c r="AG86" i="2"/>
  <c r="AG78" i="2"/>
  <c r="AG55" i="2"/>
  <c r="AG46" i="2"/>
  <c r="AG38" i="2"/>
  <c r="AG26" i="2"/>
  <c r="AG5" i="2"/>
  <c r="AG71" i="2"/>
  <c r="AG104" i="2"/>
  <c r="AG4" i="2"/>
  <c r="AG93" i="2"/>
  <c r="AG73" i="2"/>
  <c r="AG193" i="2"/>
  <c r="AG168" i="2"/>
  <c r="AG160" i="2"/>
  <c r="AG140" i="2"/>
  <c r="AG116" i="2"/>
  <c r="AG105" i="2"/>
  <c r="AG85" i="2"/>
  <c r="AG77" i="2"/>
  <c r="AG54" i="2"/>
  <c r="AG45" i="2"/>
  <c r="AG37" i="2"/>
  <c r="AG25" i="2"/>
  <c r="AG3" i="2"/>
  <c r="AG108" i="2"/>
  <c r="AG91" i="2"/>
  <c r="AG138" i="2"/>
  <c r="AG191" i="2"/>
  <c r="AG167" i="2"/>
  <c r="AG158" i="2"/>
  <c r="AG139" i="2"/>
  <c r="AG115" i="2"/>
  <c r="AG103" i="2"/>
  <c r="AG84" i="2"/>
  <c r="AG76" i="2"/>
  <c r="AG53" i="2"/>
  <c r="AG44" i="2"/>
  <c r="AG36" i="2"/>
  <c r="AG24" i="2"/>
  <c r="AG119" i="2"/>
  <c r="AG143" i="2"/>
  <c r="AF212" i="2"/>
  <c r="AG212" i="2" s="1"/>
  <c r="AF276" i="2"/>
  <c r="AG276" i="2" s="1"/>
  <c r="AF284" i="2"/>
  <c r="AG284" i="2" s="1"/>
  <c r="AF270" i="2"/>
  <c r="AG270" i="2" s="1"/>
  <c r="AF297" i="2"/>
  <c r="AG297" i="2" s="1"/>
  <c r="AF251" i="2"/>
  <c r="AG251" i="2" s="1"/>
  <c r="AG7" i="2"/>
  <c r="AG136" i="2"/>
  <c r="AG137" i="2"/>
  <c r="AG179" i="2"/>
  <c r="AG190" i="2"/>
  <c r="AG166" i="2"/>
  <c r="AG154" i="2"/>
  <c r="AG129" i="2"/>
  <c r="AG113" i="2"/>
  <c r="AG102" i="2"/>
  <c r="AG83" i="2"/>
  <c r="AG67" i="2"/>
  <c r="AG52" i="2"/>
  <c r="AG43" i="2"/>
  <c r="AG34" i="2"/>
  <c r="AG21" i="2"/>
  <c r="AG188" i="2"/>
  <c r="AG195" i="2"/>
  <c r="AG224" i="2"/>
  <c r="AG169" i="2"/>
  <c r="AF272" i="2"/>
  <c r="AG272" i="2" s="1"/>
  <c r="AF285" i="2"/>
  <c r="AG285" i="2" s="1"/>
  <c r="AF266" i="2"/>
  <c r="AG266" i="2" s="1"/>
  <c r="AF265" i="2"/>
  <c r="AG265" i="2" s="1"/>
  <c r="AG238" i="2"/>
  <c r="AE121" i="2"/>
  <c r="AG120" i="2"/>
  <c r="AC323" i="2"/>
  <c r="AC325" i="2"/>
  <c r="AB323" i="2"/>
  <c r="AB325" i="2"/>
  <c r="AA323" i="2"/>
  <c r="AA325" i="2"/>
  <c r="AE243" i="2"/>
  <c r="AE130" i="2"/>
  <c r="AE70" i="2"/>
  <c r="AF233" i="2"/>
  <c r="AG233" i="2" s="1"/>
  <c r="AF260" i="2"/>
  <c r="AG260" i="2" s="1"/>
  <c r="AF237" i="2"/>
  <c r="AG237" i="2" s="1"/>
  <c r="AF147" i="2"/>
  <c r="AG147" i="2" s="1"/>
  <c r="AF235" i="2"/>
  <c r="AG235" i="2" s="1"/>
  <c r="AF221" i="2"/>
  <c r="AG221" i="2" s="1"/>
  <c r="AF227" i="2"/>
  <c r="AG227" i="2" s="1"/>
  <c r="AF264" i="2"/>
  <c r="AG264" i="2" s="1"/>
  <c r="AE187" i="2"/>
  <c r="AE63" i="2"/>
  <c r="AE61" i="2"/>
  <c r="M311" i="2"/>
  <c r="AE94" i="2"/>
  <c r="AE178" i="2"/>
  <c r="AE177" i="2"/>
  <c r="AE220" i="2"/>
  <c r="U311" i="2"/>
  <c r="AE9" i="2"/>
  <c r="AE318" i="2" s="1" a="1"/>
  <c r="AE318" i="2" s="1"/>
  <c r="AE23" i="2"/>
  <c r="AF246" i="2"/>
  <c r="AG246" i="2" s="1"/>
  <c r="AE75" i="2"/>
  <c r="AE68" i="2"/>
  <c r="AE51" i="2"/>
  <c r="AE6" i="2"/>
  <c r="AE316" i="2" s="1" a="1"/>
  <c r="AE316" i="2" s="1"/>
  <c r="AE97" i="2"/>
  <c r="AE95" i="2"/>
  <c r="AE99" i="2"/>
  <c r="AF99" i="2" s="1"/>
  <c r="AE159" i="2"/>
  <c r="AE245" i="2"/>
  <c r="N311" i="2"/>
  <c r="AE65" i="2"/>
  <c r="AE223" i="2"/>
  <c r="Z318" i="2" a="1"/>
  <c r="Z318" i="2" s="1"/>
  <c r="Z320" i="2" a="1"/>
  <c r="Z320" i="2" s="1"/>
  <c r="Z332" i="2" a="1"/>
  <c r="Z332" i="2" s="1"/>
  <c r="Y333" i="2" s="1"/>
  <c r="AE22" i="2"/>
  <c r="AE12" i="2"/>
  <c r="AE72" i="2"/>
  <c r="AE125" i="2"/>
  <c r="AF186" i="2"/>
  <c r="AG186" i="2" s="1"/>
  <c r="Q311" i="2"/>
  <c r="AE11" i="2"/>
  <c r="AF208" i="2"/>
  <c r="AG208" i="2" s="1"/>
  <c r="AG228" i="2"/>
  <c r="AF244" i="2"/>
  <c r="AG244" i="2" s="1"/>
  <c r="AE250" i="2"/>
  <c r="AE205" i="2"/>
  <c r="L311" i="2"/>
  <c r="O311" i="2"/>
  <c r="AG146" i="2"/>
  <c r="AE69" i="2"/>
  <c r="AE131" i="2"/>
  <c r="AE141" i="2"/>
  <c r="AE148" i="2"/>
  <c r="AF148" i="2" s="1"/>
  <c r="AF222" i="2"/>
  <c r="AG222" i="2" s="1"/>
  <c r="AF232" i="2"/>
  <c r="AG232" i="2" s="1"/>
  <c r="AF236" i="2"/>
  <c r="AG236" i="2" s="1"/>
  <c r="AF259" i="2"/>
  <c r="AG259" i="2" s="1"/>
  <c r="AE74" i="2"/>
  <c r="P311" i="2"/>
  <c r="AE90" i="2"/>
  <c r="R311" i="2"/>
  <c r="AE192" i="2"/>
  <c r="AF247" i="2"/>
  <c r="AG247" i="2" s="1"/>
  <c r="AF253" i="2"/>
  <c r="AG253" i="2" s="1"/>
  <c r="AF263" i="2"/>
  <c r="AG263" i="2" s="1"/>
  <c r="AF254" i="2"/>
  <c r="AG254" i="2" s="1"/>
  <c r="AF261" i="2"/>
  <c r="AG261" i="2" s="1"/>
  <c r="Z335" i="2" a="1"/>
  <c r="Z335" i="2" s="1"/>
  <c r="Y336" i="2" s="1"/>
  <c r="Z316" i="2" a="1"/>
  <c r="Z316" i="2" s="1"/>
  <c r="Z329" i="2" a="1"/>
  <c r="Z329" i="2" s="1"/>
  <c r="Y330" i="2" s="1"/>
  <c r="AG309" i="2"/>
  <c r="Z311" i="2"/>
  <c r="AG175" i="2"/>
  <c r="AF206" i="2"/>
  <c r="AG206" i="2" s="1"/>
  <c r="AG262" i="2"/>
  <c r="AF300" i="2"/>
  <c r="AG300" i="2" s="1"/>
  <c r="W329" i="2" a="1"/>
  <c r="W329" i="2" s="1"/>
  <c r="W332" i="2" a="1"/>
  <c r="W332" i="2" s="1"/>
  <c r="AG294" i="2"/>
  <c r="W311" i="2"/>
  <c r="W320" i="2" a="1"/>
  <c r="W320" i="2" s="1"/>
  <c r="W316" i="2" a="1"/>
  <c r="W316" i="2" s="1"/>
  <c r="V311" i="2"/>
  <c r="AF306" i="2"/>
  <c r="AG306" i="2" s="1"/>
  <c r="W335" i="2" a="1"/>
  <c r="W335" i="2" s="1"/>
  <c r="S311" i="2"/>
  <c r="W318" i="2" a="1"/>
  <c r="W318" i="2" s="1"/>
  <c r="K311" i="2"/>
  <c r="AG308" i="2"/>
  <c r="AG255" i="2"/>
  <c r="AE122" i="2"/>
  <c r="Y325" i="2" l="1"/>
  <c r="AE329" i="2" a="1"/>
  <c r="AE329" i="2" s="1"/>
  <c r="AE332" i="2" a="1"/>
  <c r="AE332" i="2" s="1"/>
  <c r="AE335" i="2" a="1"/>
  <c r="AE335" i="2" s="1"/>
  <c r="Y323" i="2"/>
  <c r="AE320" i="2" a="1"/>
  <c r="AE320" i="2" s="1"/>
  <c r="AE325" i="2" s="1"/>
  <c r="Z337" i="2"/>
  <c r="Y338" i="2" s="1"/>
  <c r="W337" i="2"/>
  <c r="AG75" i="2"/>
  <c r="AF248" i="2"/>
  <c r="AG248" i="2" s="1"/>
  <c r="AG90" i="2"/>
  <c r="AG148" i="2"/>
  <c r="AF196" i="2"/>
  <c r="AG196" i="2" s="1"/>
  <c r="AG99" i="2"/>
  <c r="AF220" i="2"/>
  <c r="AG220" i="2" s="1"/>
  <c r="AF187" i="2"/>
  <c r="AG187" i="2" s="1"/>
  <c r="AF243" i="2"/>
  <c r="AG243" i="2" s="1"/>
  <c r="AG141" i="2"/>
  <c r="AG205" i="2"/>
  <c r="AG125" i="2"/>
  <c r="AG95" i="2"/>
  <c r="AG177" i="2"/>
  <c r="AG121" i="2"/>
  <c r="AF122" i="2"/>
  <c r="AG122" i="2" s="1"/>
  <c r="AG74" i="2"/>
  <c r="AF250" i="2"/>
  <c r="AG250" i="2" s="1"/>
  <c r="AG72" i="2"/>
  <c r="AG97" i="2"/>
  <c r="AG178" i="2"/>
  <c r="AF69" i="2"/>
  <c r="AG69" i="2" s="1"/>
  <c r="AG12" i="2"/>
  <c r="AF223" i="2"/>
  <c r="AG223" i="2" s="1"/>
  <c r="AG6" i="2"/>
  <c r="AG94" i="2"/>
  <c r="AG22" i="2"/>
  <c r="AG65" i="2"/>
  <c r="AG51" i="2"/>
  <c r="AG23" i="2"/>
  <c r="AG159" i="2"/>
  <c r="AF192" i="2"/>
  <c r="AG192" i="2" s="1"/>
  <c r="AG9" i="2"/>
  <c r="AG61" i="2"/>
  <c r="AG130" i="2"/>
  <c r="AF11" i="2"/>
  <c r="AF245" i="2"/>
  <c r="AG245" i="2" s="1"/>
  <c r="AG68" i="2"/>
  <c r="AG63" i="2"/>
  <c r="AF132" i="2"/>
  <c r="AG132" i="2" s="1"/>
  <c r="AF70" i="2"/>
  <c r="AG70" i="2" s="1"/>
  <c r="AC326" i="2"/>
  <c r="AB326" i="2"/>
  <c r="X316" i="2" a="1"/>
  <c r="X316" i="2" s="1"/>
  <c r="AA326" i="2"/>
  <c r="AF131" i="2"/>
  <c r="AG131" i="2" s="1"/>
  <c r="X329" i="2" a="1"/>
  <c r="X329" i="2" s="1"/>
  <c r="X320" i="2" a="1"/>
  <c r="X320" i="2" s="1"/>
  <c r="X335" i="2" a="1"/>
  <c r="X335" i="2" s="1"/>
  <c r="W336" i="2" s="1"/>
  <c r="X318" i="2" a="1"/>
  <c r="X318" i="2" s="1"/>
  <c r="X332" i="2" a="1"/>
  <c r="X332" i="2" s="1"/>
  <c r="W333" i="2" s="1"/>
  <c r="X311" i="2"/>
  <c r="W312" i="2" s="1"/>
  <c r="AG329" i="2" l="1" a="1"/>
  <c r="AG329" i="2" s="1"/>
  <c r="AG11" i="2"/>
  <c r="AF316" i="2" a="1"/>
  <c r="AF316" i="2" s="1"/>
  <c r="AF332" i="2" a="1"/>
  <c r="AF332" i="2" s="1"/>
  <c r="AF318" i="2" a="1"/>
  <c r="AF318" i="2" s="1"/>
  <c r="AF325" i="2" s="1"/>
  <c r="AF335" i="2" a="1"/>
  <c r="AF335" i="2" s="1"/>
  <c r="AF320" i="2" a="1"/>
  <c r="AF320" i="2" s="1"/>
  <c r="AF329" i="2" a="1"/>
  <c r="AF329" i="2" s="1"/>
  <c r="AF337" i="2" s="1"/>
  <c r="AE337" i="2"/>
  <c r="AG332" i="2" a="1"/>
  <c r="AG332" i="2" s="1"/>
  <c r="AG316" i="2" a="1"/>
  <c r="AG316" i="2" s="1"/>
  <c r="AE323" i="2"/>
  <c r="AE326" i="2" s="1"/>
  <c r="W330" i="2"/>
  <c r="X337" i="2"/>
  <c r="W338" i="2" s="1"/>
  <c r="W323" i="2"/>
  <c r="Y326" i="2"/>
  <c r="W325" i="2"/>
  <c r="AG311" i="2"/>
  <c r="AG312" i="2" s="1"/>
  <c r="AF326" i="2" l="1"/>
  <c r="AF323" i="2"/>
  <c r="AG318" i="2" a="1"/>
  <c r="AG318" i="2" s="1"/>
  <c r="AG335" i="2" a="1"/>
  <c r="AG335" i="2" s="1"/>
  <c r="AG337" i="2" s="1"/>
  <c r="AG320" i="2" a="1"/>
  <c r="AG320" i="2" s="1"/>
  <c r="W326" i="2"/>
  <c r="AF311" i="2"/>
  <c r="AE311" i="2"/>
  <c r="T311" i="2"/>
  <c r="AG325" i="2" l="1"/>
  <c r="AG323" i="2"/>
  <c r="AG32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Rotzler Ronnie</author>
  </authors>
  <commentList>
    <comment ref="J7" authorId="0" shapeId="0" xr:uid="{22E86C73-EA6B-46B6-9FA6-D5F84D04BB8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J9" authorId="0" shapeId="0" xr:uid="{FB4DB8E2-7FA5-4D3B-97FF-E38F903DB2C7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J10" authorId="0" shapeId="0" xr:uid="{626CC673-1F29-48EE-AEA5-698AAFE7AC8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J11" authorId="0" shapeId="0" xr:uid="{C5E6568D-82BF-44DC-9E45-9FD33E00013C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Q1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4.Q.2015, 1.-3.Q.2016</t>
        </r>
      </text>
    </comment>
    <comment ref="R1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4.Q.2016-3.Q.2017</t>
        </r>
      </text>
    </comment>
    <comment ref="S11" authorId="0" shapeId="0" xr:uid="{00000000-0006-0000-0000-000003000000}">
      <text>
        <r>
          <rPr>
            <b/>
            <sz val="9"/>
            <color indexed="81"/>
            <rFont val="Verdana"/>
            <family val="2"/>
          </rPr>
          <t>Rotzler Ronnie:</t>
        </r>
        <r>
          <rPr>
            <sz val="9"/>
            <color indexed="81"/>
            <rFont val="Verdana"/>
            <family val="2"/>
          </rPr>
          <t xml:space="preserve">
4.Q.2017+1.-3.Q.2018</t>
        </r>
      </text>
    </comment>
    <comment ref="T11" authorId="0" shapeId="0" xr:uid="{7C4F2117-299B-4C7D-8082-C30C3D8D81B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4.Q.2018-3.Q.2019</t>
        </r>
      </text>
    </comment>
    <comment ref="U11" authorId="0" shapeId="0" xr:uid="{63190C49-14CC-43D2-A3CB-DBF95DE94D14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4.Q.2019-3.Q.2020</t>
        </r>
      </text>
    </comment>
    <comment ref="V11" authorId="0" shapeId="0" xr:uid="{022E2D18-A0CC-4F79-A2C5-A742780ED3C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4.Q.2020-3.Q.2021</t>
        </r>
      </text>
    </comment>
    <comment ref="W11" authorId="0" shapeId="0" xr:uid="{773C6C7E-37CC-4648-BD57-54971E49C14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4.Q.2021-Dez.2022</t>
        </r>
      </text>
    </comment>
    <comment ref="J12" authorId="0" shapeId="0" xr:uid="{458605F3-BC4B-4A6D-B019-8BF5AFE669F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J13" authorId="0" shapeId="0" xr:uid="{0ED796B4-8F26-46CF-8A72-8BE61D9F00B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R13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2016</t>
        </r>
      </text>
    </comment>
    <comment ref="S13" authorId="0" shapeId="0" xr:uid="{00000000-0006-0000-0000-000005000000}">
      <text>
        <r>
          <rPr>
            <b/>
            <sz val="9"/>
            <color indexed="81"/>
            <rFont val="Verdana"/>
            <family val="2"/>
          </rPr>
          <t>Rotzler Ronnie:</t>
        </r>
        <r>
          <rPr>
            <sz val="9"/>
            <color indexed="81"/>
            <rFont val="Verdana"/>
            <family val="2"/>
          </rPr>
          <t xml:space="preserve">
Teuerung 2017</t>
        </r>
      </text>
    </comment>
    <comment ref="T13" authorId="0" shapeId="0" xr:uid="{769263DF-22E9-4874-9F57-D73D94867EF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2018</t>
        </r>
      </text>
    </comment>
    <comment ref="U13" authorId="0" shapeId="0" xr:uid="{30DB0CAE-7EF4-45CD-A68C-16D33B07107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2019</t>
        </r>
      </text>
    </comment>
    <comment ref="V13" authorId="0" shapeId="0" xr:uid="{1C2A979C-FD9F-4ABE-8DD5-4456063548A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2020</t>
        </r>
      </text>
    </comment>
    <comment ref="W13" authorId="0" shapeId="0" xr:uid="{7C353A17-3CBB-4F13-9607-21989C7ACF3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2021+2022</t>
        </r>
      </text>
    </comment>
    <comment ref="J14" authorId="0" shapeId="0" xr:uid="{61B4403D-AD7E-46CD-9E3B-384E9FA385D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J37" authorId="0" shapeId="0" xr:uid="{384293AB-7503-4FBE-A2AF-53393FB04F0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UNF</t>
        </r>
      </text>
    </comment>
    <comment ref="J39" authorId="0" shapeId="0" xr:uid="{7804F666-5B73-4EA6-8479-53DE5D74A37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40" authorId="0" shapeId="0" xr:uid="{51121B99-8866-4E3F-A28F-87A25D7A8C7B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41" authorId="0" shapeId="0" xr:uid="{D6D3028E-D062-465A-8319-AF21A444816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43" authorId="0" shapeId="0" xr:uid="{8B0B1BB3-93C0-49FF-8CFF-1829D18F64A7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LSW.U</t>
        </r>
      </text>
    </comment>
    <comment ref="J48" authorId="0" shapeId="0" xr:uid="{1AF11798-E553-4284-8F96-93401DE7EF9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LSW.U</t>
        </r>
      </text>
    </comment>
    <comment ref="J53" authorId="0" shapeId="0" xr:uid="{3B2C7A20-DB8F-4418-B1E4-D19277661BB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UEF</t>
        </r>
      </text>
    </comment>
    <comment ref="J54" authorId="0" shapeId="0" xr:uid="{099FB70F-332A-479F-9BD6-820D46611383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UNF</t>
        </r>
      </text>
    </comment>
    <comment ref="J55" authorId="0" shapeId="0" xr:uid="{411F3C7A-A1D8-456F-9DC3-45DE6756D1D3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BD</t>
        </r>
      </text>
    </comment>
    <comment ref="J56" authorId="0" shapeId="0" xr:uid="{B0D760CD-E4E0-4615-B897-7D9F7035C50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59" authorId="0" shapeId="0" xr:uid="{99222770-85EE-4F55-8DB4-764EC537097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SM</t>
        </r>
      </text>
    </comment>
    <comment ref="J60" authorId="0" shapeId="0" xr:uid="{FBAD349A-D1F9-4F0C-BA94-2980D629215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Q61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September 2015 bis Oktober 2016</t>
        </r>
      </text>
    </comment>
    <comment ref="R61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Nov16, Mär17</t>
        </r>
      </text>
    </comment>
    <comment ref="Q62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2015</t>
        </r>
      </text>
    </comment>
    <comment ref="R62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2016</t>
        </r>
      </text>
    </comment>
    <comment ref="Q63" authorId="0" shapeId="0" xr:uid="{00000000-0006-0000-0000-00001D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Januar 2016 - Oktober 2016</t>
        </r>
      </text>
    </comment>
    <comment ref="R63" authorId="0" shapeId="0" xr:uid="{00000000-0006-0000-0000-00001E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Nov+Dez16+Jan-Sep17</t>
        </r>
      </text>
    </comment>
    <comment ref="S63" authorId="0" shapeId="0" xr:uid="{00000000-0006-0000-0000-00001F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Okt17-Dez17+NK+NK+Jan18-Sept18</t>
        </r>
      </text>
    </comment>
    <comment ref="T63" authorId="0" shapeId="0" xr:uid="{048C5A81-A227-41EE-90B6-01F5597301A1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10.2018-10.2019</t>
        </r>
      </text>
    </comment>
    <comment ref="U63" authorId="0" shapeId="0" xr:uid="{0E2FE215-2BD7-4CDA-A26C-51EC3AEAB813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11.2019+12.2019</t>
        </r>
      </text>
    </comment>
    <comment ref="R64" authorId="0" shapeId="0" xr:uid="{00000000-0006-0000-0000-000020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2016</t>
        </r>
      </text>
    </comment>
    <comment ref="S64" authorId="0" shapeId="0" xr:uid="{00000000-0006-0000-0000-000021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2017 alle Phasen</t>
        </r>
      </text>
    </comment>
    <comment ref="T64" authorId="0" shapeId="0" xr:uid="{49763B58-36D9-408B-9525-65852694105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2018 alle Rechnungen</t>
        </r>
      </text>
    </comment>
    <comment ref="U64" authorId="0" shapeId="0" xr:uid="{27E8CD87-3CD3-4587-8AF6-D683E9C2D96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2019 alle Rechnungen</t>
        </r>
      </text>
    </comment>
    <comment ref="W64" authorId="0" shapeId="0" xr:uid="{34CD5110-35E4-4C5F-B0B2-46A4821E747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2021</t>
        </r>
      </text>
    </comment>
    <comment ref="Q65" authorId="0" shapeId="0" xr:uid="{00000000-0006-0000-0000-000022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Oktober 2016</t>
        </r>
      </text>
    </comment>
    <comment ref="R65" authorId="0" shapeId="0" xr:uid="{00000000-0006-0000-0000-000023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Nov16+Feb17-Sep17</t>
        </r>
      </text>
    </comment>
    <comment ref="R66" authorId="0" shapeId="0" xr:uid="{00000000-0006-0000-0000-000024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Teuerung16</t>
        </r>
      </text>
    </comment>
    <comment ref="R68" authorId="0" shapeId="0" xr:uid="{00000000-0006-0000-0000-00002E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Feb17-Sep17</t>
        </r>
      </text>
    </comment>
    <comment ref="S68" authorId="0" shapeId="0" xr:uid="{00000000-0006-0000-0000-00002F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Okt17-Sept18</t>
        </r>
      </text>
    </comment>
    <comment ref="T68" authorId="0" shapeId="0" xr:uid="{335E4D55-27B1-4EFA-9015-EF27793F8961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10.2018-10.2019</t>
        </r>
      </text>
    </comment>
    <comment ref="U68" authorId="0" shapeId="0" xr:uid="{2F411C02-73EF-42C3-B3E8-3168543F554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10.-12.2019 +01.-09.2020</t>
        </r>
      </text>
    </comment>
    <comment ref="R69" authorId="0" shapeId="0" xr:uid="{00000000-0006-0000-0000-000036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Apr17-Sep17</t>
        </r>
      </text>
    </comment>
    <comment ref="S69" authorId="0" shapeId="0" xr:uid="{00000000-0006-0000-0000-000037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Okt17-Aug18</t>
        </r>
      </text>
    </comment>
    <comment ref="T69" authorId="0" shapeId="0" xr:uid="{4BE405AE-CFD7-45D9-B72D-9358DBBDF43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10.+11.+12.2018</t>
        </r>
      </text>
    </comment>
    <comment ref="V69" authorId="0" shapeId="0" xr:uid="{5CA170B2-7596-4469-94C1-DF22A708DA5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11.2020-09.2021</t>
        </r>
      </text>
    </comment>
    <comment ref="W69" authorId="0" shapeId="0" xr:uid="{9F3396B5-A305-4CE3-8D39-DFDA2A44550B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10.2021-12.2022</t>
        </r>
      </text>
    </comment>
    <comment ref="V70" authorId="0" shapeId="0" xr:uid="{3F4F53CD-32DE-4D28-8754-EB80E192C5C5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03.2021-09.2021</t>
        </r>
      </text>
    </comment>
    <comment ref="W70" authorId="0" shapeId="0" xr:uid="{60A4F84E-6770-4C22-95E3-C503BF234F0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10.2021-12.2022+Nachzuschläge</t>
        </r>
      </text>
    </comment>
    <comment ref="Q72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September 2015 bis Juli 2016</t>
        </r>
      </text>
    </comment>
    <comment ref="Q73" authorId="0" shapeId="0" xr:uid="{00000000-0006-0000-0000-000016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2015</t>
        </r>
      </text>
    </comment>
    <comment ref="R73" authorId="0" shapeId="0" xr:uid="{00000000-0006-0000-0000-000017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Teuerung16</t>
        </r>
      </text>
    </comment>
    <comment ref="J93" authorId="0" shapeId="0" xr:uid="{515DEA63-B60B-415D-A807-47083DDEA49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SM</t>
        </r>
      </text>
    </comment>
    <comment ref="Q95" authorId="0" shapeId="0" xr:uid="{00000000-0006-0000-0000-00001B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bis Oktober 2016</t>
        </r>
      </text>
    </comment>
    <comment ref="R95" authorId="0" shapeId="0" xr:uid="{00000000-0006-0000-0000-00001C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Schlussrechnung</t>
        </r>
      </text>
    </comment>
    <comment ref="Q97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4.Q.2015 + 1.H.2016</t>
        </r>
      </text>
    </comment>
    <comment ref="R97" authorId="0" shapeId="0" xr:uid="{00000000-0006-0000-0000-000019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Aug-Dez16+Jan-Mär17</t>
        </r>
      </text>
    </comment>
    <comment ref="S97" authorId="0" shapeId="0" xr:uid="{00000000-0006-0000-0000-00001A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Apr-Dez17</t>
        </r>
      </text>
    </comment>
    <comment ref="T99" authorId="0" shapeId="0" xr:uid="{84A77692-58A1-4730-8995-8BBB60AE7C1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01-12.2018</t>
        </r>
      </text>
    </comment>
    <comment ref="V99" authorId="0" shapeId="0" xr:uid="{CA6FA496-349F-4327-B0BB-D1D7E7A8651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1.Q.2021</t>
        </r>
      </text>
    </comment>
    <comment ref="W99" authorId="0" shapeId="0" xr:uid="{B67AE3E6-0374-4EDF-BDC2-1BEF7FE7714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2.H.2021-4.Q.2022</t>
        </r>
      </text>
    </comment>
    <comment ref="J101" authorId="0" shapeId="0" xr:uid="{806BE499-C59D-4C66-9668-74DD37B9220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102" authorId="0" shapeId="0" xr:uid="{C7C19526-7580-431D-A4EB-C532C93A38E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106" authorId="0" shapeId="0" xr:uid="{F1D5713E-6D59-48F7-AB12-91E6243915A1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107" authorId="0" shapeId="0" xr:uid="{22D68DA1-327B-4198-A6B1-1BF99E9A0FBB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111" authorId="0" shapeId="0" xr:uid="{F5FA5931-6B2E-4876-9A0F-A77DD1ADDCF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113" authorId="0" shapeId="0" xr:uid="{6582506A-CAAA-4FC0-8258-859824A2BCA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SM</t>
        </r>
      </text>
    </comment>
    <comment ref="R118" authorId="0" shapeId="0" xr:uid="{00000000-0006-0000-0000-000038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RG nicht bei BHU</t>
        </r>
      </text>
    </comment>
    <comment ref="W122" authorId="0" shapeId="0" xr:uid="{7EA91FF5-75B3-4012-8B66-4BD2864C537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RG1+2</t>
        </r>
      </text>
    </comment>
    <comment ref="Q130" authorId="0" shapeId="0" xr:uid="{00000000-0006-0000-0000-000025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Teilrechnung 6 vom November 2016</t>
        </r>
      </text>
    </comment>
    <comment ref="R130" authorId="0" shapeId="0" xr:uid="{00000000-0006-0000-0000-000026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Dez16-Mär17(inkl.ZL)
</t>
        </r>
      </text>
    </comment>
    <comment ref="R131" authorId="0" shapeId="0" xr:uid="{00000000-0006-0000-0000-000030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Apr.-Okt.17</t>
        </r>
      </text>
    </comment>
    <comment ref="S131" authorId="0" shapeId="0" xr:uid="{314D8DD3-C1B3-4A9A-9273-8F6CFC8256E3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Nov.17-Aug.18, Sep.18, Okt.18</t>
        </r>
      </text>
    </comment>
    <comment ref="T131" authorId="0" shapeId="0" xr:uid="{C37360DC-482C-4A1D-934B-6D1B71A28C7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11.2018-11.2019</t>
        </r>
      </text>
    </comment>
    <comment ref="U131" authorId="0" shapeId="0" xr:uid="{EC67551A-68A5-40E2-A750-E5B5CCD049C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11.2019-08.2020</t>
        </r>
      </text>
    </comment>
    <comment ref="V131" authorId="0" shapeId="0" xr:uid="{056D284F-183C-42D0-AEC3-100F0EDFCAF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11..2020 - 10.2021</t>
        </r>
      </text>
    </comment>
    <comment ref="W131" authorId="0" shapeId="0" xr:uid="{6E2BBED6-BA58-4A9B-BADE-6AD327E6BE2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11.2021-12.2022</t>
        </r>
      </text>
    </comment>
    <comment ref="W132" authorId="0" shapeId="0" xr:uid="{E8BFBB79-DC9A-4D7C-80D0-C08A4AF955A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12.2021-12.2022</t>
        </r>
      </text>
    </comment>
    <comment ref="Y132" authorId="0" shapeId="0" xr:uid="{0F44A1E9-8A66-4FD8-85C1-5CFDD72AB206}">
      <text>
        <r>
          <rPr>
            <b/>
            <sz val="9"/>
            <color indexed="81"/>
            <rFont val="Segoe UI"/>
            <charset val="1"/>
          </rPr>
          <t>Rotzler Ronnie:</t>
        </r>
        <r>
          <rPr>
            <sz val="9"/>
            <color indexed="81"/>
            <rFont val="Segoe UI"/>
            <charset val="1"/>
          </rPr>
          <t xml:space="preserve">
01.2023</t>
        </r>
      </text>
    </comment>
    <comment ref="Q134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bis August 2016</t>
        </r>
      </text>
    </comment>
    <comment ref="Q135" authorId="0" shapeId="0" xr:uid="{00000000-0006-0000-0000-000029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bis August 2016</t>
        </r>
      </text>
    </comment>
    <comment ref="Q136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bis August 2016</t>
        </r>
      </text>
    </comment>
    <comment ref="R138" authorId="0" shapeId="0" xr:uid="{00000000-0006-0000-0000-00002A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Dez16-Sep17</t>
        </r>
      </text>
    </comment>
    <comment ref="J139" authorId="0" shapeId="0" xr:uid="{FC7AEC8C-BF2A-4A52-8CB7-8762432C747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J140" authorId="0" shapeId="0" xr:uid="{3D966180-CD93-428C-9435-2B3EF6C69A7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SM</t>
        </r>
      </text>
    </comment>
    <comment ref="J141" authorId="0" shapeId="0" xr:uid="{FECBF261-06C8-4BF2-A3CD-9DF1E018407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HS</t>
        </r>
      </text>
    </comment>
    <comment ref="R141" authorId="0" shapeId="0" xr:uid="{00000000-0006-0000-0000-00002B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Apr-Dez16+Jan-Mär17</t>
        </r>
      </text>
    </comment>
    <comment ref="U141" authorId="0" shapeId="0" xr:uid="{12B6DE76-37FC-4417-9204-AFB0E8B778D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2019-06.2020</t>
        </r>
      </text>
    </comment>
    <comment ref="V141" authorId="0" shapeId="0" xr:uid="{38EF35E2-0586-4C15-85B4-D2C7C7CF244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2.H.2020-07.2021</t>
        </r>
      </text>
    </comment>
    <comment ref="W141" authorId="0" shapeId="0" xr:uid="{DCD0BCDB-AF9C-40E6-A5A0-66045A7ACE0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08.-12.2021+
01.-12.2022</t>
        </r>
      </text>
    </comment>
    <comment ref="J142" authorId="0" shapeId="0" xr:uid="{433D82A0-68CD-47A8-A6FC-814BCF092D2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HS</t>
        </r>
      </text>
    </comment>
    <comment ref="J143" authorId="0" shapeId="0" xr:uid="{CBB88231-9328-4F2A-ABC3-C9D97B84BA1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HS</t>
        </r>
      </text>
    </comment>
    <comment ref="Q145" authorId="0" shapeId="0" xr:uid="{00000000-0006-0000-0000-000027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bis September 2016</t>
        </r>
      </text>
    </comment>
    <comment ref="R145" authorId="0" shapeId="0" xr:uid="{00000000-0006-0000-0000-000028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Okt-Dez16, Jan-Mär17, Apr-Jun17, Jul-Sep17,</t>
        </r>
      </text>
    </comment>
    <comment ref="U146" authorId="0" shapeId="0" xr:uid="{FEEFC184-1074-45D9-937C-4C0A38753BA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1.Q.2020</t>
        </r>
      </text>
    </comment>
    <comment ref="V146" authorId="0" shapeId="0" xr:uid="{B9495F54-93CB-4EA6-971D-8B717E2EE1B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4.Q.2020-3.Q.2021</t>
        </r>
      </text>
    </comment>
    <comment ref="W147" authorId="0" shapeId="0" xr:uid="{936A14FA-AC8D-47CC-9EE8-D3E6A8C02DC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4.Q.2021-3.Q.2022</t>
        </r>
      </text>
    </comment>
    <comment ref="Q14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Juni 2016 + 3.Q.2016</t>
        </r>
      </text>
    </comment>
    <comment ref="R148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4.Q.16-3.Q.17</t>
        </r>
      </text>
    </comment>
    <comment ref="S148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Verdana"/>
            <family val="2"/>
          </rPr>
          <t>4.Q.2017+1.Q.2018+2.Q.2018+3.Q.2018</t>
        </r>
      </text>
    </comment>
    <comment ref="T148" authorId="0" shapeId="0" xr:uid="{0D057223-BBC2-4E57-82AC-1F78F036604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4.Q.2018-3.Q.2019</t>
        </r>
      </text>
    </comment>
    <comment ref="U148" authorId="0" shapeId="0" xr:uid="{4DC3AC2B-8F48-4EC1-A909-88DF56B4317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4.Q.2019-3.Q.2020</t>
        </r>
      </text>
    </comment>
    <comment ref="V148" authorId="0" shapeId="0" xr:uid="{FBEC2C0C-59AA-4531-A06A-FA7B9A6483C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4.Q.2020-3.Q.2021</t>
        </r>
      </text>
    </comment>
    <comment ref="W148" authorId="0" shapeId="0" xr:uid="{A881FA82-2E7A-4D7B-8302-10B44EAADE47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4.Q.2021+4.Q.2022</t>
        </r>
      </text>
    </comment>
    <comment ref="J153" authorId="0" shapeId="0" xr:uid="{C4260807-EF12-41E2-A0B5-EC9106BC5AA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J154" authorId="0" shapeId="0" xr:uid="{D72ED714-D0C6-4136-AEAB-FD629540A00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J157" authorId="0" shapeId="0" xr:uid="{796C1249-4183-4C3A-B5C4-0F0C87DB522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TP3.IO_FUP BR</t>
        </r>
      </text>
    </comment>
    <comment ref="R159" authorId="0" shapeId="0" xr:uid="{00000000-0006-0000-0000-00002C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Nov-Dez16, Jan-Mär17</t>
        </r>
      </text>
    </comment>
    <comment ref="S159" authorId="0" shapeId="0" xr:uid="{00000000-0006-0000-0000-00002D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08.-12.2017+01.-06.2018</t>
        </r>
      </text>
    </comment>
    <comment ref="T159" authorId="0" shapeId="0" xr:uid="{93EA4751-6371-4C39-BE06-E1C351920A9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07.-10.2018</t>
        </r>
      </text>
    </comment>
    <comment ref="R162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MwSt. befreit</t>
        </r>
      </text>
    </comment>
    <comment ref="R163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MwSt. befreit</t>
        </r>
      </text>
    </comment>
    <comment ref="W170" authorId="0" shapeId="0" xr:uid="{1320B8F1-6DF2-4995-BDC6-6BD5635747C5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2021</t>
        </r>
      </text>
    </comment>
    <comment ref="R177" authorId="0" shapeId="0" xr:uid="{00000000-0006-0000-0000-000033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1.Q.17-3.Q.17</t>
        </r>
      </text>
    </comment>
    <comment ref="S177" authorId="0" shapeId="0" xr:uid="{00000000-0006-0000-0000-000034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Umbau NRS, 10.-12.2017, TR005</t>
        </r>
      </text>
    </comment>
    <comment ref="T177" authorId="0" shapeId="0" xr:uid="{F6FBE7E7-70CA-44AF-89DB-3B16BB3B1AF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10.2018-09.2019</t>
        </r>
      </text>
    </comment>
    <comment ref="U177" authorId="0" shapeId="0" xr:uid="{BD779BBA-9AE8-4683-AD61-60DA5D05C345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4.Q.2019-2.Q.2020</t>
        </r>
      </text>
    </comment>
    <comment ref="R178" authorId="0" shapeId="0" xr:uid="{00000000-0006-0000-0000-000031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Feb-Sep17</t>
        </r>
      </text>
    </comment>
    <comment ref="S178" authorId="0" shapeId="0" xr:uid="{00000000-0006-0000-0000-000032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10.-12.2017+01.-09.2018</t>
        </r>
      </text>
    </comment>
    <comment ref="T178" authorId="0" shapeId="0" xr:uid="{E271C649-B3F0-4937-9781-E030A0F9D88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10.2018-09.2019</t>
        </r>
      </text>
    </comment>
    <comment ref="U178" authorId="0" shapeId="0" xr:uid="{B829ADC9-C415-4A64-8F90-D90B8B57E5E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4.Q.2019-11.2020</t>
        </r>
      </text>
    </comment>
    <comment ref="R179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Jan-Jun17</t>
        </r>
      </text>
    </comment>
    <comment ref="S179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07.-12.2017,
 01.-03.2018,+04.-06.2018</t>
        </r>
      </text>
    </comment>
    <comment ref="T179" authorId="0" shapeId="0" xr:uid="{D142B4D1-DD0C-4403-94A3-D426271BBDB3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07.-11.2018</t>
        </r>
      </text>
    </comment>
    <comment ref="Q183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RG nicht bei BHU</t>
        </r>
      </text>
    </comment>
    <comment ref="Q184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RG nicht bei BHU</t>
        </r>
      </text>
    </comment>
    <comment ref="J186" authorId="0" shapeId="0" xr:uid="{55DEC015-BEE6-427B-B46F-23E60A73D4C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W186" authorId="0" shapeId="0" xr:uid="{CDA6E39F-0745-4E52-ACA4-DDA4EC7F1687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12.2021-05.2022</t>
        </r>
      </text>
    </comment>
    <comment ref="S187" authorId="0" shapeId="0" xr:uid="{00000000-0006-0000-0000-000035000000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2016+2017,</t>
        </r>
      </text>
    </comment>
    <comment ref="U187" authorId="0" shapeId="0" xr:uid="{58FD5F7C-6F7C-4450-B1E1-C18E139A08A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März 2020</t>
        </r>
      </text>
    </comment>
    <comment ref="V187" authorId="0" shapeId="0" xr:uid="{69EE7DA2-E59F-4DDB-B413-58CF0C6B4D7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2.H.2020-30.09.2021</t>
        </r>
      </text>
    </comment>
    <comment ref="W187" authorId="0" shapeId="0" xr:uid="{12E046E1-81E9-452E-8874-B28DE81F69E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4.Q.2021-12.2022</t>
        </r>
      </text>
    </comment>
    <comment ref="J192" authorId="0" shapeId="0" xr:uid="{6BA71D26-3624-437F-903C-5E56D52C839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V192" authorId="0" shapeId="0" xr:uid="{3D9CCCDD-C34E-4441-98AB-4331A5C5839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bis 07.2021</t>
        </r>
      </text>
    </comment>
    <comment ref="W192" authorId="0" shapeId="0" xr:uid="{E4F0F2DE-4292-4335-993D-5F03C22126B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4.Q.2021-11.2022</t>
        </r>
      </text>
    </comment>
    <comment ref="J195" authorId="0" shapeId="0" xr:uid="{D85DAFA8-FD21-4532-AEAA-9A3DE9DBF7A5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V196" authorId="0" shapeId="0" xr:uid="{B84988F8-8564-4495-A485-5D39E960B334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08.2021+11.2021</t>
        </r>
      </text>
    </comment>
    <comment ref="W196" authorId="0" shapeId="0" xr:uid="{F611DA6C-AA7F-4321-8D03-7DC3DE7ACCC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12.2021-12.2022</t>
        </r>
      </text>
    </comment>
    <comment ref="W206" authorId="0" shapeId="0" xr:uid="{A8D5577C-CEF8-4962-A7ED-125ACB32EF2B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01.-04.2022</t>
        </r>
      </text>
    </comment>
    <comment ref="J210" authorId="0" shapeId="0" xr:uid="{C8989B86-A1C8-45AB-A3DB-12B6CF75132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V212" authorId="0" shapeId="0" xr:uid="{72675F12-05B7-4641-A85F-E8F5AE92E4AB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2.H.2020</t>
        </r>
      </text>
    </comment>
    <comment ref="J213" authorId="0" shapeId="0" xr:uid="{3A8EDE49-5F04-4362-A687-338C21A020FA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50% 13.02.16.763.09
50% 13.02.16.760.15</t>
        </r>
      </text>
    </comment>
    <comment ref="V213" authorId="0" shapeId="0" xr:uid="{3C601E5A-4DAF-43B3-91A3-E8590304A10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04.-09.2021</t>
        </r>
      </text>
    </comment>
    <comment ref="W213" authorId="0" shapeId="0" xr:uid="{3C73878F-4F48-4F1B-9B1D-0D42E425233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10.2021-12.2022</t>
        </r>
      </text>
    </comment>
    <comment ref="J214" authorId="0" shapeId="0" xr:uid="{A30245BB-75C6-4A03-B55A-BFE9A9C8806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50% 13.02.16.763.09
50% 13.02.16.760.15</t>
        </r>
      </text>
    </comment>
    <comment ref="J215" authorId="0" shapeId="0" xr:uid="{3293913B-04B0-4CED-811B-5E6B21D36DE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50% 13.02.16.763.09
50% 13.02.16.760.15</t>
        </r>
      </text>
    </comment>
    <comment ref="J216" authorId="0" shapeId="0" xr:uid="{A5A295E2-7734-471A-9459-9C734A403774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50% 13.02.16.763.09
50% 13.02.16.760.15</t>
        </r>
      </text>
    </comment>
    <comment ref="J217" authorId="0" shapeId="0" xr:uid="{8849CD2A-4A0A-4EC9-952D-8FBF18094157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50% 13.02.16.763.09
50% 13.02.16.760.15</t>
        </r>
      </text>
    </comment>
    <comment ref="W217" authorId="0" shapeId="0" xr:uid="{F7C132DE-8526-4044-8AB6-5ECB1BFDFC7C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Teuerung 2021+2022</t>
        </r>
      </text>
    </comment>
    <comment ref="W218" authorId="0" shapeId="0" xr:uid="{5495CF5E-CA58-4C8B-8796-E031AF0A5E77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bis 12.2021-12.2022</t>
        </r>
      </text>
    </comment>
    <comment ref="U220" authorId="0" shapeId="0" xr:uid="{D662053B-DEC3-459C-90CE-61D04F3F465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Okt. 2020+ Nov. 2020</t>
        </r>
      </text>
    </comment>
    <comment ref="V220" authorId="0" shapeId="0" xr:uid="{0798847E-A417-4374-8313-0A35C8D626C3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1.Q.2021-30.11.2021</t>
        </r>
      </text>
    </comment>
    <comment ref="W220" authorId="0" shapeId="0" xr:uid="{0C462C59-520D-4F03-832A-25C2B8F2121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12.2021-12.2022</t>
        </r>
      </text>
    </comment>
    <comment ref="J221" authorId="0" shapeId="0" xr:uid="{4ED3710A-4D72-4A55-944B-6A90A372129B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RH</t>
        </r>
      </text>
    </comment>
    <comment ref="W221" authorId="0" shapeId="0" xr:uid="{5F60A791-EE0E-4AF7-AEA4-FBCF64E4FD12}">
      <text>
        <r>
          <rPr>
            <b/>
            <sz val="9"/>
            <color indexed="81"/>
            <rFont val="Segoe UI"/>
            <charset val="1"/>
          </rPr>
          <t>Rotzler Ronnie:</t>
        </r>
        <r>
          <rPr>
            <sz val="9"/>
            <color indexed="81"/>
            <rFont val="Segoe UI"/>
            <charset val="1"/>
          </rPr>
          <t xml:space="preserve">
TR1-6</t>
        </r>
      </text>
    </comment>
    <comment ref="V222" authorId="0" shapeId="0" xr:uid="{06384E3B-F5AD-4DC9-8713-87D7BF5C8C4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3.Q.2021</t>
        </r>
      </text>
    </comment>
    <comment ref="W222" authorId="0" shapeId="0" xr:uid="{74751B17-C6E9-4E00-B567-E703AA271F6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10.2021-12.2022</t>
        </r>
      </text>
    </comment>
    <comment ref="V223" authorId="0" shapeId="0" xr:uid="{141AED87-6A28-4FEC-AD54-2BB3DFE7214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1.Q.2021-30.11.2021</t>
        </r>
      </text>
    </comment>
    <comment ref="W223" authorId="0" shapeId="0" xr:uid="{152FCBDB-F1C5-4E17-A954-BCD38AED7B85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12.2021-12.2022</t>
        </r>
      </text>
    </comment>
    <comment ref="U225" authorId="0" shapeId="0" xr:uid="{1DCA2250-6311-4C10-9EEE-909D344EE7A9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Nicht über BHU.</t>
        </r>
      </text>
    </comment>
    <comment ref="W229" authorId="0" shapeId="0" xr:uid="{90E782D3-CB6E-40D2-9ABF-B24A4B884C9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30%</t>
        </r>
      </text>
    </comment>
    <comment ref="J232" authorId="0" shapeId="0" xr:uid="{0E15B1E6-35BC-47E8-AAF0-D85F019A21B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  <comment ref="W233" authorId="0" shapeId="0" xr:uid="{283DFA19-21D5-4957-98CA-43A6F98EC980}">
      <text>
        <r>
          <rPr>
            <b/>
            <sz val="9"/>
            <color indexed="81"/>
            <rFont val="Segoe UI"/>
            <charset val="1"/>
          </rPr>
          <t>Rotzler Ronnie:</t>
        </r>
        <r>
          <rPr>
            <sz val="9"/>
            <color indexed="81"/>
            <rFont val="Segoe UI"/>
            <charset val="1"/>
          </rPr>
          <t xml:space="preserve">
-15.11.2022</t>
        </r>
      </text>
    </comment>
    <comment ref="V234" authorId="0" shapeId="0" xr:uid="{6ABA7814-9728-4C8A-B306-62C63E5CCBE3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01.03.-21.11.2021</t>
        </r>
      </text>
    </comment>
    <comment ref="W234" authorId="0" shapeId="0" xr:uid="{4E7242B7-3183-4BFA-86C8-FEB4EFE4F65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bis 31.12.2021</t>
        </r>
      </text>
    </comment>
    <comment ref="V237" authorId="0" shapeId="0" xr:uid="{90A0A2DE-3F70-43D6-84A2-52A27C3DD9E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06.-08.2021</t>
        </r>
      </text>
    </comment>
    <comment ref="W237" authorId="0" shapeId="0" xr:uid="{EB82E242-4DCD-47E1-ABB4-943D8986E71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09.2021-12.2022+Monitoring</t>
        </r>
      </text>
    </comment>
    <comment ref="V238" authorId="0" shapeId="0" xr:uid="{C6ABC163-6DE6-4DF0-95EA-C541EBD000D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1.Akonto</t>
        </r>
      </text>
    </comment>
    <comment ref="J239" authorId="0" shapeId="0" xr:uid="{CEE5BBC9-FFC6-4833-8FFB-64392C92E8C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HS</t>
        </r>
      </text>
    </comment>
    <comment ref="W239" authorId="0" shapeId="0" xr:uid="{99DC0C54-3573-4DB8-B45B-445CFC930F5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1TR-8TR+1.2TR (bis 23.12.2022)</t>
        </r>
      </text>
    </comment>
    <comment ref="J240" authorId="0" shapeId="0" xr:uid="{085EC4AF-5A02-4EBD-B6D7-023FC2F1758D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HS</t>
        </r>
      </text>
    </comment>
    <comment ref="J241" authorId="0" shapeId="0" xr:uid="{D7CA5226-B0CF-4371-8061-691A06E0F89E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HS</t>
        </r>
      </text>
    </comment>
    <comment ref="J242" authorId="0" shapeId="0" xr:uid="{AB4064C4-75A9-4995-AFE3-79AA7D50F4D5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TP1.IO_FUP HS</t>
        </r>
      </text>
    </comment>
    <comment ref="W243" authorId="0" shapeId="0" xr:uid="{DEC0EE6D-F3D0-4398-8054-0FC1FC574B0C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TR01-03</t>
        </r>
      </text>
    </comment>
    <comment ref="W245" authorId="0" shapeId="0" xr:uid="{64B17D60-0544-4E08-8845-A2C2FB5E7B16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10..2021-12.2022</t>
        </r>
      </text>
    </comment>
    <comment ref="W246" authorId="0" shapeId="0" xr:uid="{F73DAFD7-8A76-42F8-A7E4-56A9B9CDAEFF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bis 12.2021</t>
        </r>
      </text>
    </comment>
    <comment ref="W247" authorId="0" shapeId="0" xr:uid="{F022CD76-CA9F-422C-87A4-939C368965D7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12.2021-12.2022</t>
        </r>
      </text>
    </comment>
    <comment ref="W248" authorId="0" shapeId="0" xr:uid="{15C3D6D1-7229-4C3C-A6F2-AE7D966E69B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01.-12.2022</t>
        </r>
      </text>
    </comment>
    <comment ref="W250" authorId="0" shapeId="0" xr:uid="{30F41144-E664-4163-9A7F-29DB29FB6D6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01.-30.11.2022</t>
        </r>
      </text>
    </comment>
    <comment ref="W252" authorId="0" shapeId="0" xr:uid="{6DD696AD-5C64-4166-B0D7-30C60A481404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01.-09.2022</t>
        </r>
      </text>
    </comment>
    <comment ref="W258" authorId="0" shapeId="0" xr:uid="{E40E96F7-13B2-4B01-8A4C-73E5C4C2E424}">
      <text>
        <r>
          <rPr>
            <b/>
            <sz val="9"/>
            <color indexed="81"/>
            <rFont val="Segoe UI"/>
            <charset val="1"/>
          </rPr>
          <t>Rotzler Ronnie:</t>
        </r>
        <r>
          <rPr>
            <sz val="9"/>
            <color indexed="81"/>
            <rFont val="Segoe UI"/>
            <charset val="1"/>
          </rPr>
          <t xml:space="preserve">
Jan.-Nov. 2022</t>
        </r>
      </text>
    </comment>
    <comment ref="W259" authorId="0" shapeId="0" xr:uid="{DF0E9212-27CE-4E3B-B88B-9ACFCF040498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09-12.2022</t>
        </r>
      </text>
    </comment>
    <comment ref="W260" authorId="0" shapeId="0" xr:uid="{D0222021-3E79-471A-AA25-9E0333D783DA}">
      <text>
        <r>
          <rPr>
            <b/>
            <sz val="9"/>
            <color indexed="81"/>
            <rFont val="Segoe UI"/>
            <charset val="1"/>
          </rPr>
          <t>Rotzler Ronnie:</t>
        </r>
        <r>
          <rPr>
            <sz val="9"/>
            <color indexed="81"/>
            <rFont val="Segoe UI"/>
            <charset val="1"/>
          </rPr>
          <t xml:space="preserve">
03.2022-10.2022</t>
        </r>
      </text>
    </comment>
    <comment ref="W263" authorId="0" shapeId="0" xr:uid="{ED6EDAF0-DBEC-44A8-9DA2-3668AC60F2A1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06.-16.12.2022</t>
        </r>
      </text>
    </comment>
    <comment ref="J272" authorId="0" shapeId="0" xr:uid="{50AC9F95-6648-4487-A0AA-2B504FF03742}">
      <text>
        <r>
          <rPr>
            <b/>
            <sz val="9"/>
            <color indexed="81"/>
            <rFont val="Segoe UI"/>
            <family val="2"/>
          </rPr>
          <t>Rotzler Ronnie:</t>
        </r>
        <r>
          <rPr>
            <sz val="9"/>
            <color indexed="81"/>
            <rFont val="Segoe UI"/>
            <family val="2"/>
          </rPr>
          <t xml:space="preserve">
ehem. TP0.U_FUP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<sst xmlns="http://schemas.openxmlformats.org/spreadsheetml/2006/main" count="2911" uniqueCount="751">
  <si>
    <t>Kanton Basel-Landschaft</t>
  </si>
  <si>
    <t>Pöyry Infra AG</t>
  </si>
  <si>
    <t>Jauslin + Stebler AG</t>
  </si>
  <si>
    <t>MÖKAH AG</t>
  </si>
  <si>
    <t>Auftrag</t>
  </si>
  <si>
    <t>Projektierungsauftrag</t>
  </si>
  <si>
    <t>Kanalaufnahmen</t>
  </si>
  <si>
    <t>Marquis AG</t>
  </si>
  <si>
    <t>Kanalreinigung</t>
  </si>
  <si>
    <t>Ziegler AG</t>
  </si>
  <si>
    <t>Tauchbögen</t>
  </si>
  <si>
    <t>Rapp Infra AG</t>
  </si>
  <si>
    <t>Rapp Infra AG (Ammann AG)</t>
  </si>
  <si>
    <t>Vermessungsaufnahmen</t>
  </si>
  <si>
    <t>Belagsaufnahmen</t>
  </si>
  <si>
    <t>Erhaltungsprojekt Sissach - Eptingen</t>
  </si>
  <si>
    <t>NSNW AG</t>
  </si>
  <si>
    <t>Verkehrsführungen, Sperrungen</t>
  </si>
  <si>
    <t>OBL</t>
  </si>
  <si>
    <t>NK</t>
  </si>
  <si>
    <t>Ingenieursubmission EK</t>
  </si>
  <si>
    <t>Frühere Kosten Kantone</t>
  </si>
  <si>
    <t>Aegerter &amp; Bosshardt AG</t>
  </si>
  <si>
    <t>Zustandsaufnahmen</t>
  </si>
  <si>
    <t>Immissionsmessungen</t>
  </si>
  <si>
    <t>EK BSA</t>
  </si>
  <si>
    <t>LBP AG</t>
  </si>
  <si>
    <t>Ausbau</t>
  </si>
  <si>
    <t>Unterhalt</t>
  </si>
  <si>
    <t>A+U</t>
  </si>
  <si>
    <t>Zustandserfassung Lärm Eptingen</t>
  </si>
  <si>
    <t>Kummler + Matter AG</t>
  </si>
  <si>
    <t>Aufn. + Doku. Kabelschächte</t>
  </si>
  <si>
    <t>Akustische überprüfung Lärmschutz</t>
  </si>
  <si>
    <t>Risk &amp; Safety AG</t>
  </si>
  <si>
    <t>EK Störfallbericht</t>
  </si>
  <si>
    <t>R.Keller &amp; Partner AG</t>
  </si>
  <si>
    <t>EK Signalisationskonzept</t>
  </si>
  <si>
    <t>Verkehrsführungen, Sperrungen BSA</t>
  </si>
  <si>
    <t>Projektbegleitung BSA</t>
  </si>
  <si>
    <t>Schneider Consulting</t>
  </si>
  <si>
    <t>CNI-Fassaden Rastplätze</t>
  </si>
  <si>
    <t>Mat.techn. U. Brücken</t>
  </si>
  <si>
    <t>Mat.techn. U. Tunnel/Geotechnik</t>
  </si>
  <si>
    <t>Mat.techn. U. UEF, UNF, BDL</t>
  </si>
  <si>
    <t>TFB AG</t>
  </si>
  <si>
    <r>
      <t xml:space="preserve">Summe Vertrag
</t>
    </r>
    <r>
      <rPr>
        <sz val="8"/>
        <rFont val="Verdana"/>
        <family val="2"/>
      </rPr>
      <t>CHF inkl. MWST</t>
    </r>
  </si>
  <si>
    <t>Name / Firma</t>
  </si>
  <si>
    <r>
      <t xml:space="preserve">bis Ende 2010
</t>
    </r>
    <r>
      <rPr>
        <sz val="8"/>
        <rFont val="Verdana"/>
        <family val="2"/>
      </rPr>
      <t>CHF inkl. MWST</t>
    </r>
  </si>
  <si>
    <t>Amt für Geoinformation</t>
  </si>
  <si>
    <t>Bereinigung Erfassung ENIS</t>
  </si>
  <si>
    <t>Abklärung LKW-Überholverbot</t>
  </si>
  <si>
    <t>EK + Zusatzleistungen</t>
  </si>
  <si>
    <r>
      <t xml:space="preserve">2011
</t>
    </r>
    <r>
      <rPr>
        <sz val="8"/>
        <rFont val="Verdana"/>
        <family val="2"/>
      </rPr>
      <t>CHF inkl. MWST</t>
    </r>
  </si>
  <si>
    <t>Sperrungen Mat.techn.U. 2012</t>
  </si>
  <si>
    <t>Sperrungen Mat.techn.U. 2013</t>
  </si>
  <si>
    <t>Bachhofner &amp; Partner AG</t>
  </si>
  <si>
    <r>
      <t xml:space="preserve">2012
</t>
    </r>
    <r>
      <rPr>
        <sz val="8"/>
        <rFont val="Verdana"/>
        <family val="2"/>
      </rPr>
      <t>CHF inkl. MWST</t>
    </r>
  </si>
  <si>
    <t>Projektierung BSA (MK/AP)</t>
  </si>
  <si>
    <t>Hauptinspektionen 2013</t>
  </si>
  <si>
    <t>INGE EPSI</t>
  </si>
  <si>
    <t>Maltech.ch</t>
  </si>
  <si>
    <t>Hebebühnen für HI 2013</t>
  </si>
  <si>
    <t>Vermessungsaufnahmen "Loch"</t>
  </si>
  <si>
    <t>Aufnahmen LSW</t>
  </si>
  <si>
    <t>Projektierung Akustik (MK/AP)</t>
  </si>
  <si>
    <t>Projektierung Verkehr (MK/AP)</t>
  </si>
  <si>
    <t>Projektierung Geologie (MK/AP)</t>
  </si>
  <si>
    <t>Projektierung Störfall (MK/AP)</t>
  </si>
  <si>
    <t>Projektierung Wildtierökologie (AP)</t>
  </si>
  <si>
    <t>PiU GmbH</t>
  </si>
  <si>
    <t>Geoinformationen</t>
  </si>
  <si>
    <t>Marti AG</t>
  </si>
  <si>
    <t>Instandsetzung Fassaden Rastplätze</t>
  </si>
  <si>
    <t xml:space="preserve">Projektierung T/G+T&amp;U+K (MK/AP) </t>
  </si>
  <si>
    <t>Projektierung Archivaufbereitung</t>
  </si>
  <si>
    <t>Pfirter Nyfeler + Partner</t>
  </si>
  <si>
    <t>HI Ebmatt + Wasseranalyse</t>
  </si>
  <si>
    <t>Wasseranalyse</t>
  </si>
  <si>
    <t>INGE EPSI + Geotechn. Inst.</t>
  </si>
  <si>
    <t>Gruner AG</t>
  </si>
  <si>
    <t>Statik-Grundlagen</t>
  </si>
  <si>
    <r>
      <t xml:space="preserve">2013
</t>
    </r>
    <r>
      <rPr>
        <sz val="8"/>
        <rFont val="Verdana"/>
        <family val="2"/>
      </rPr>
      <t>CHF inkl. MWST</t>
    </r>
  </si>
  <si>
    <t>Untersuchungen Bückenlager</t>
  </si>
  <si>
    <t>Untersuchungen Sickerleitungen</t>
  </si>
  <si>
    <t>Sperrungen für Untersuchungen</t>
  </si>
  <si>
    <t xml:space="preserve">Nachtrag T/G+T&amp;U+K (MK/AP) </t>
  </si>
  <si>
    <t>Untersuchungen Hüllrohre (Labor)</t>
  </si>
  <si>
    <t>Walo</t>
  </si>
  <si>
    <t>Untersuchungen Hüllrohre (Bau)</t>
  </si>
  <si>
    <t>Ex Team</t>
  </si>
  <si>
    <t>IUB Engineering AG</t>
  </si>
  <si>
    <t>GEOCAD+Partner AG</t>
  </si>
  <si>
    <t>Bodenuntersuchung Analyse</t>
  </si>
  <si>
    <t>Sondierbohrungen Wildtierquerung</t>
  </si>
  <si>
    <t>Rammsondierung AS Diegten</t>
  </si>
  <si>
    <t>Teilprojekt</t>
  </si>
  <si>
    <t>TP1</t>
  </si>
  <si>
    <t>TP0</t>
  </si>
  <si>
    <t>TP4</t>
  </si>
  <si>
    <t>TP2</t>
  </si>
  <si>
    <t>TP3</t>
  </si>
  <si>
    <t>TP1-3</t>
  </si>
  <si>
    <t>Kostenart</t>
  </si>
  <si>
    <t>Finanzier-
ungskonto</t>
  </si>
  <si>
    <t>Jermann AG</t>
  </si>
  <si>
    <t>Leitungskataster</t>
  </si>
  <si>
    <t>Drillexpert AG</t>
  </si>
  <si>
    <t>Basler Baulabor</t>
  </si>
  <si>
    <t>Vorleistungen aus Folgephasen</t>
  </si>
  <si>
    <t>Vorleistungen zu Phase MK/AP</t>
  </si>
  <si>
    <t>Bauteilvermessung Br Lindenacker</t>
  </si>
  <si>
    <t xml:space="preserve">Mehrleistungen (MK/AP) </t>
  </si>
  <si>
    <t>Vermessung Holzbretterwand</t>
  </si>
  <si>
    <t>Mageba SA</t>
  </si>
  <si>
    <r>
      <t xml:space="preserve">2014
</t>
    </r>
    <r>
      <rPr>
        <sz val="8"/>
        <rFont val="Verdana"/>
        <family val="2"/>
      </rPr>
      <t>CHF inkl. MWST</t>
    </r>
  </si>
  <si>
    <t xml:space="preserve">Brücke Lindenacker (MK) </t>
  </si>
  <si>
    <t>Diamantbohr AG</t>
  </si>
  <si>
    <t>Sondierbohrung Tu Ebenrain</t>
  </si>
  <si>
    <t>Sperrungen Sondierbohrungen</t>
  </si>
  <si>
    <t>Bachema AG</t>
  </si>
  <si>
    <t>Anliker AG</t>
  </si>
  <si>
    <t>Wildtierunterführung (AP)</t>
  </si>
  <si>
    <t>Kalkulierter Mehraufwand  MP/DP</t>
  </si>
  <si>
    <t>Vermessung LSW Z, WTQ, Tu Ebenrain</t>
  </si>
  <si>
    <t>Sperrungen Tunnel Ebenrain</t>
  </si>
  <si>
    <t>Bewilligung Sondierbohrung WTQ</t>
  </si>
  <si>
    <t>Bewilligung Sondierbohrung AS Diegten</t>
  </si>
  <si>
    <t>Zusatzleistungen BSA (MK/AP)</t>
  </si>
  <si>
    <t>Projektunterstützung MK/AP</t>
  </si>
  <si>
    <t>Ecoplan AG</t>
  </si>
  <si>
    <t>Untersuchung Geschwindigkeitsred.</t>
  </si>
  <si>
    <t>Amberg Engineering AG</t>
  </si>
  <si>
    <t>Risikoanalyse Tunnel Ebenrain</t>
  </si>
  <si>
    <t>Projektunterstützung ZL MK/AP</t>
  </si>
  <si>
    <t>Projektierung Verkehr (MP/DP)</t>
  </si>
  <si>
    <t>Projektunterstützung MP/DP</t>
  </si>
  <si>
    <t>Schichtprüfung Brücken (MP/DP)</t>
  </si>
  <si>
    <t>Kernbohrungen SM (MP/DP)</t>
  </si>
  <si>
    <t>Sperrungen ZU 2016</t>
  </si>
  <si>
    <t>Zusatzleistungen Geologie (MK/AP)</t>
  </si>
  <si>
    <r>
      <t xml:space="preserve">2015
</t>
    </r>
    <r>
      <rPr>
        <sz val="8"/>
        <rFont val="Verdana"/>
        <family val="2"/>
      </rPr>
      <t>CHF inkl. MWST</t>
    </r>
  </si>
  <si>
    <t>m.t.U. Ramsenhübel (MP/DP)</t>
  </si>
  <si>
    <t>Rammsondierungen Holzbretterwand (MP/DP)</t>
  </si>
  <si>
    <t>ARZW, Ecoplan, ZU, WTQ, ZL</t>
  </si>
  <si>
    <t>Hydrojet AG</t>
  </si>
  <si>
    <t>BSL Baustofflabor AG</t>
  </si>
  <si>
    <t>Umweltbaubegleitung (UBB)</t>
  </si>
  <si>
    <t>Yaver I&amp;S GmbH</t>
  </si>
  <si>
    <t>Gitterschnittprüfung</t>
  </si>
  <si>
    <t>Bemerkungen BHU</t>
  </si>
  <si>
    <t>Zeilenbeschriftungen</t>
  </si>
  <si>
    <t>(Leer)</t>
  </si>
  <si>
    <t>Gesamtergebnis</t>
  </si>
  <si>
    <t>bis Ende 2010</t>
  </si>
  <si>
    <t>2011</t>
  </si>
  <si>
    <t>2012</t>
  </si>
  <si>
    <t>2013</t>
  </si>
  <si>
    <t>2014</t>
  </si>
  <si>
    <t>2015</t>
  </si>
  <si>
    <t>2016</t>
  </si>
  <si>
    <t>Total</t>
  </si>
  <si>
    <t>Sperrungen Musterflächen</t>
  </si>
  <si>
    <t>Trauffer AG</t>
  </si>
  <si>
    <t>Beschichtung Musterflächen</t>
  </si>
  <si>
    <t>IMP AG</t>
  </si>
  <si>
    <t>Prüfungen Musterflächen</t>
  </si>
  <si>
    <t>Aussteckung</t>
  </si>
  <si>
    <t>Spezialist Naturgefahren (MP/DP)</t>
  </si>
  <si>
    <t>KELAG Künzli Elektronik AG</t>
  </si>
  <si>
    <t>Analyse GFS</t>
  </si>
  <si>
    <t>BHU BSA (bis MK/AP)</t>
  </si>
  <si>
    <t>BHU BSA (bis Inbetriebnahme)</t>
  </si>
  <si>
    <t>Maurer AG</t>
  </si>
  <si>
    <t>BH Labor</t>
  </si>
  <si>
    <t>BH Vermessung</t>
  </si>
  <si>
    <t>SBB</t>
  </si>
  <si>
    <t>Projektunterstützung SBB (MP)</t>
  </si>
  <si>
    <t>Tonanlage Öffentlichkeitsinfo</t>
  </si>
  <si>
    <t>Hunziker Bauprofile AG</t>
  </si>
  <si>
    <t>Profile ARZW</t>
  </si>
  <si>
    <t>1.2300</t>
  </si>
  <si>
    <t>1.3100</t>
  </si>
  <si>
    <t>1.2100</t>
  </si>
  <si>
    <t>1.2200</t>
  </si>
  <si>
    <t>1.2400</t>
  </si>
  <si>
    <t>1.3300</t>
  </si>
  <si>
    <t>1.7300</t>
  </si>
  <si>
    <t>ENIS-Daten</t>
  </si>
  <si>
    <t>3.5810</t>
  </si>
  <si>
    <t>Ausschreibung T&amp;U+K + T/G</t>
  </si>
  <si>
    <t>Einwohnergemeinde Sissach</t>
  </si>
  <si>
    <t>Turnhalle Öffentlichkeitsinfo</t>
  </si>
  <si>
    <t>IO</t>
  </si>
  <si>
    <t>INGE</t>
  </si>
  <si>
    <t>Projektunterstützung ZL MP/DP</t>
  </si>
  <si>
    <t>Metas</t>
  </si>
  <si>
    <t>Notfallmanagement Bau</t>
  </si>
  <si>
    <t>PNP</t>
  </si>
  <si>
    <t>Publikation Amtsblatt</t>
  </si>
  <si>
    <t>Publikation Volksstimme</t>
  </si>
  <si>
    <t>Annahme BHU</t>
  </si>
  <si>
    <t>Finanzverwaltung Kanton BL</t>
  </si>
  <si>
    <t>Schaub Medien AG</t>
  </si>
  <si>
    <t>Projektierung (PGV)</t>
  </si>
  <si>
    <t xml:space="preserve">Projektierung T/G+T&amp;U+K (MP/DP) </t>
  </si>
  <si>
    <t>3.5710</t>
  </si>
  <si>
    <t>Beleuchtungsmessungen 2016</t>
  </si>
  <si>
    <t>Beleuchtungsmessungen 2017</t>
  </si>
  <si>
    <t>KA-TE</t>
  </si>
  <si>
    <t>Sterobit</t>
  </si>
  <si>
    <t>Rissinjektionen Tu Ebenrain</t>
  </si>
  <si>
    <r>
      <t xml:space="preserve">2016
</t>
    </r>
    <r>
      <rPr>
        <sz val="8"/>
        <rFont val="Verdana"/>
        <family val="2"/>
      </rPr>
      <t>CHF inkl. MWST</t>
    </r>
  </si>
  <si>
    <t>3.5300</t>
  </si>
  <si>
    <t>Sickerleitungen fräsen Tu Ebenrain</t>
  </si>
  <si>
    <t>Sickerleitungen reinigen Tu Ebenrain</t>
  </si>
  <si>
    <t>Sperrungen Tu Ebenrain</t>
  </si>
  <si>
    <t>Kontrollbohrungen Tu Ebenrain</t>
  </si>
  <si>
    <t>Bechtel Ingenieure AG</t>
  </si>
  <si>
    <t>Raumlüftungen Betriebszentralen</t>
  </si>
  <si>
    <t>Montage Retrofit Tu Oberburg</t>
  </si>
  <si>
    <t>Sperrungen Tu</t>
  </si>
  <si>
    <t>Liefern LED-Beleuchtung Tu Oberburg</t>
  </si>
  <si>
    <t>Rigamonti SA</t>
  </si>
  <si>
    <t>Summe Vertrag</t>
  </si>
  <si>
    <t>Projektbegleitung Bau (2017)</t>
  </si>
  <si>
    <t>Projektbegleitung BSA (2017-2018)</t>
  </si>
  <si>
    <t>Quinel AG</t>
  </si>
  <si>
    <t>Prüfung LED Tu Oberburg</t>
  </si>
  <si>
    <t>Teuerung</t>
  </si>
  <si>
    <t>1.3950</t>
  </si>
  <si>
    <t>PV Geologie</t>
  </si>
  <si>
    <t>Schliesskonzept</t>
  </si>
  <si>
    <t>Mobile Sperrung Tu Oberburg</t>
  </si>
  <si>
    <t>Kommunikations-Agentur</t>
  </si>
  <si>
    <t>Plattform ReproService</t>
  </si>
  <si>
    <t>UN Metallbau</t>
  </si>
  <si>
    <t>Lager Brücke Zunzgen</t>
  </si>
  <si>
    <t xml:space="preserve">Schallschutzfenster </t>
  </si>
  <si>
    <t>Installationsarbeiten ohne LWL</t>
  </si>
  <si>
    <t>Ersatz der USV-Anlagen</t>
  </si>
  <si>
    <t>Rückbau im IKS</t>
  </si>
  <si>
    <t>Ersatz Beleuchtungssteuerung</t>
  </si>
  <si>
    <t>Lieferung LED-Leuchten Retrofit</t>
  </si>
  <si>
    <t>Arbeiten Retrofit</t>
  </si>
  <si>
    <t>Beleuchtungsmessung</t>
  </si>
  <si>
    <t>Verkehrssteuerung Sissach-Diegten</t>
  </si>
  <si>
    <t>Sicherheitseinrichtungen</t>
  </si>
  <si>
    <t>Mobile MÜLS</t>
  </si>
  <si>
    <t>VTV Kameras inkl. Installation</t>
  </si>
  <si>
    <t>Anlage Divers und Rückbau NS Master</t>
  </si>
  <si>
    <t>Ersatz GFS-Stationen Nord</t>
  </si>
  <si>
    <t>Ausbau WAN GE VIII</t>
  </si>
  <si>
    <t>NTA und Telefonie</t>
  </si>
  <si>
    <t>LWL und UKV</t>
  </si>
  <si>
    <t>Fluchtwegtore</t>
  </si>
  <si>
    <t>Instandstellen Brandabschottungen</t>
  </si>
  <si>
    <t>BHU+NK</t>
  </si>
  <si>
    <t>Umbau Notrufsäulen</t>
  </si>
  <si>
    <t>Unterlagen für Ausführung T&amp;U+K+T/G</t>
  </si>
  <si>
    <t>Bauleitung, ZL, I&amp;A T&amp;U+K+T/G</t>
  </si>
  <si>
    <t>3.5600</t>
  </si>
  <si>
    <t>UN-Steinschlagschutzbauten</t>
  </si>
  <si>
    <t>Beweissicherung Liegenschaften</t>
  </si>
  <si>
    <t>Hebebühnen für 2017</t>
  </si>
  <si>
    <t>TransData (Telematix AG)</t>
  </si>
  <si>
    <t>Kalkulierter Mehraufwand Subm.</t>
  </si>
  <si>
    <t>Friedrich Schwab</t>
  </si>
  <si>
    <t>Entschädigungen</t>
  </si>
  <si>
    <t>lic. Jur. Roman Zeller</t>
  </si>
  <si>
    <r>
      <t xml:space="preserve">2017
</t>
    </r>
    <r>
      <rPr>
        <sz val="8"/>
        <rFont val="Verdana"/>
        <family val="2"/>
      </rPr>
      <t>CHF inkl. MWST</t>
    </r>
  </si>
  <si>
    <t>Spezialist Naturgefahren (Bewilligung)</t>
  </si>
  <si>
    <t>Arbeiten Radar Tenniken</t>
  </si>
  <si>
    <t>2017</t>
  </si>
  <si>
    <t>Erstellen Fixpunktenetz</t>
  </si>
  <si>
    <t>Ruepp AG</t>
  </si>
  <si>
    <t>Baumeister Hydrant Schloss Ebenrain</t>
  </si>
  <si>
    <t>Sanitär Hydrant Schloss Ebenrain</t>
  </si>
  <si>
    <t>John Haustechnik AG</t>
  </si>
  <si>
    <t>Socomec AG</t>
  </si>
  <si>
    <t>3.5910</t>
  </si>
  <si>
    <t>2.4300</t>
  </si>
  <si>
    <t>3.5730</t>
  </si>
  <si>
    <t>2018</t>
  </si>
  <si>
    <t>Abhängen / Anschliessen USV-Anlagen</t>
  </si>
  <si>
    <t>Rauscher &amp; Stöcklin AG</t>
  </si>
  <si>
    <t>Bodensockel USV-Analgen</t>
  </si>
  <si>
    <t>Gisicom Leitungsbau GmbH</t>
  </si>
  <si>
    <t>Vorbereitung Kabelanlagen</t>
  </si>
  <si>
    <r>
      <t xml:space="preserve">2018
</t>
    </r>
    <r>
      <rPr>
        <sz val="8"/>
        <rFont val="Verdana"/>
        <family val="2"/>
      </rPr>
      <t>CHF inkl. MWST</t>
    </r>
  </si>
  <si>
    <t>Emch+Berger AG</t>
  </si>
  <si>
    <t>Mobile Befahrung</t>
  </si>
  <si>
    <t>Sperrungen für Fixpunktenetz</t>
  </si>
  <si>
    <t>Phase 52-53 BSA</t>
  </si>
  <si>
    <t>Phase 32 BSA (MP/DP)</t>
  </si>
  <si>
    <t>Ersatz Brandmeldeanlagen</t>
  </si>
  <si>
    <t>Total Rechnungen</t>
  </si>
  <si>
    <t>Restbudget Vertrag</t>
  </si>
  <si>
    <t>EKP</t>
  </si>
  <si>
    <t>Los 005</t>
  </si>
  <si>
    <t>Los 008</t>
  </si>
  <si>
    <t>Los 009</t>
  </si>
  <si>
    <t>Los 010</t>
  </si>
  <si>
    <t>Los 015</t>
  </si>
  <si>
    <t>Los 019</t>
  </si>
  <si>
    <t>Los 020</t>
  </si>
  <si>
    <t>Los 022</t>
  </si>
  <si>
    <t>Los 024</t>
  </si>
  <si>
    <t>Los 026</t>
  </si>
  <si>
    <t>Los 027</t>
  </si>
  <si>
    <t>Inst. ohne LWL (VOMA VLS)</t>
  </si>
  <si>
    <t>Inst. LWL (VOMA VLS)</t>
  </si>
  <si>
    <t>Los 032</t>
  </si>
  <si>
    <t xml:space="preserve">Dynamische Signale </t>
  </si>
  <si>
    <t>Statische Signale</t>
  </si>
  <si>
    <t>Los 029</t>
  </si>
  <si>
    <t>Spez. Prüfung Submissionsdossier</t>
  </si>
  <si>
    <t>SBD-Schluep</t>
  </si>
  <si>
    <t>Los 028</t>
  </si>
  <si>
    <t>Akkredidierte Prüfstelle SINA</t>
  </si>
  <si>
    <r>
      <t xml:space="preserve">Geplant 2022
</t>
    </r>
    <r>
      <rPr>
        <sz val="9"/>
        <rFont val="Verdana"/>
        <family val="2"/>
      </rPr>
      <t>CHF inkl. MWST</t>
    </r>
  </si>
  <si>
    <r>
      <t xml:space="preserve">Geplant 2023
</t>
    </r>
    <r>
      <rPr>
        <sz val="9"/>
        <rFont val="Verdana"/>
        <family val="2"/>
      </rPr>
      <t>CHF inkl. MWST</t>
    </r>
  </si>
  <si>
    <r>
      <t xml:space="preserve">Geplant 2024
</t>
    </r>
    <r>
      <rPr>
        <sz val="9"/>
        <rFont val="Verdana"/>
        <family val="2"/>
      </rPr>
      <t>CHF inkl. MWST</t>
    </r>
  </si>
  <si>
    <r>
      <t xml:space="preserve">Geplant 2025
</t>
    </r>
    <r>
      <rPr>
        <sz val="9"/>
        <rFont val="Verdana"/>
        <family val="2"/>
      </rPr>
      <t>CHF inkl. MWST</t>
    </r>
  </si>
  <si>
    <r>
      <t xml:space="preserve">Geplant 2026
</t>
    </r>
    <r>
      <rPr>
        <sz val="9"/>
        <rFont val="Verdana"/>
        <family val="2"/>
      </rPr>
      <t>CHF inkl. MWST</t>
    </r>
  </si>
  <si>
    <t>Beizug kant. Fachstellen</t>
  </si>
  <si>
    <t>Kanton Basel-Landschaft / AUE</t>
  </si>
  <si>
    <t>Baumeisterarbeiten TU, K, TG</t>
  </si>
  <si>
    <t>Siemens Schweiz AG</t>
  </si>
  <si>
    <t>Wildtierüberführung (Bau)</t>
  </si>
  <si>
    <r>
      <t xml:space="preserve">2019
</t>
    </r>
    <r>
      <rPr>
        <sz val="9"/>
        <rFont val="Verdana"/>
        <family val="2"/>
      </rPr>
      <t>CHF inkl. MWST</t>
    </r>
  </si>
  <si>
    <t>Signal Sissach</t>
  </si>
  <si>
    <t>IDZ AG</t>
  </si>
  <si>
    <t>Planung Ersatz Brandmeldeanlagen</t>
  </si>
  <si>
    <t>2019</t>
  </si>
  <si>
    <t>Spez. Prüfungen Stahlbau+FBÜ</t>
  </si>
  <si>
    <t>Ausbau VRA/TVS BTB</t>
  </si>
  <si>
    <t>Los 034</t>
  </si>
  <si>
    <t>Los 035</t>
  </si>
  <si>
    <t>Los 036</t>
  </si>
  <si>
    <t>Los 037</t>
  </si>
  <si>
    <t>Steuerung Energieanlage T.EBE</t>
  </si>
  <si>
    <t>PV Wildtierüberführung</t>
  </si>
  <si>
    <t>ARGE ABA N2</t>
  </si>
  <si>
    <t>Lieferung Steinschlagschutzsysteme</t>
  </si>
  <si>
    <t>Lombardi AG</t>
  </si>
  <si>
    <t>Annahme BHU BSA</t>
  </si>
  <si>
    <t>Planung Raumlüftung</t>
  </si>
  <si>
    <t>Status</t>
  </si>
  <si>
    <t>Abg.</t>
  </si>
  <si>
    <t>Aktiv</t>
  </si>
  <si>
    <t>geplant</t>
  </si>
  <si>
    <t>ARGE</t>
  </si>
  <si>
    <t>Vorsubmission Netze</t>
  </si>
  <si>
    <t>Kalkulierter Mehraufwand Bauleitung</t>
  </si>
  <si>
    <t>Phase 41+51 BSA</t>
  </si>
  <si>
    <t>Projektbegleitung Bau (2021-2026)</t>
  </si>
  <si>
    <r>
      <t xml:space="preserve">2020
</t>
    </r>
    <r>
      <rPr>
        <sz val="9"/>
        <rFont val="Verdana"/>
        <family val="2"/>
      </rPr>
      <t>CHF inkl. MWST</t>
    </r>
  </si>
  <si>
    <t>Projektierung Verkehr (Phase 41)</t>
  </si>
  <si>
    <t>Projektierung Verkehr (Phase 52+53)</t>
  </si>
  <si>
    <t>PV Spez. NG (Phase 41-53)</t>
  </si>
  <si>
    <t>Sopra Steria AG</t>
  </si>
  <si>
    <t>Abschnittsrechner Tu EBE Ausb. BLS</t>
  </si>
  <si>
    <t>Thomas Mumenthaler</t>
  </si>
  <si>
    <t>Werner+Dora Schneider-Imhof</t>
  </si>
  <si>
    <t>Geobrugg AG</t>
  </si>
  <si>
    <t>Kabelnetz, GIS+Daten</t>
  </si>
  <si>
    <t>TESI für 2021</t>
  </si>
  <si>
    <t>Nachtrag Phase 41+51 BSA</t>
  </si>
  <si>
    <t>Gysin Asiko AG</t>
  </si>
  <si>
    <t>xxx</t>
  </si>
  <si>
    <t>2020</t>
  </si>
  <si>
    <t>Summe von EKP</t>
  </si>
  <si>
    <t>Diverse Entschädigungen (z.B.Pächter)</t>
  </si>
  <si>
    <t>Lokalsteuerung Energieanlage T.OBB</t>
  </si>
  <si>
    <t>Lokalsteuerung Beleuchtung T.OBB</t>
  </si>
  <si>
    <t>Lokalsteuerung Divers T.OBB</t>
  </si>
  <si>
    <t>Anpassung AR BEL mit Anlagen T.OBB</t>
  </si>
  <si>
    <t>Ziegler Consultants</t>
  </si>
  <si>
    <t>Erschütterungsüberwachung Gerätemiete</t>
  </si>
  <si>
    <t>Kanal-TV 2021</t>
  </si>
  <si>
    <t>LMF Ingenieurbüro GmbH</t>
  </si>
  <si>
    <t>Überwachung SM</t>
  </si>
  <si>
    <t>IG WUEF Tenniken</t>
  </si>
  <si>
    <t>IMP Bautest AG</t>
  </si>
  <si>
    <t>Geoteschnisches Institut AG</t>
  </si>
  <si>
    <t>Kiefer+Studer AG</t>
  </si>
  <si>
    <t>Überwachung SM Anker</t>
  </si>
  <si>
    <t>Stromundbit GmbH</t>
  </si>
  <si>
    <t>Kaufmann AG</t>
  </si>
  <si>
    <t>Argonet</t>
  </si>
  <si>
    <t>Remtec</t>
  </si>
  <si>
    <t>Parcom</t>
  </si>
  <si>
    <t>Boschung</t>
  </si>
  <si>
    <t>TDM</t>
  </si>
  <si>
    <t>Elkuch Eisenring</t>
  </si>
  <si>
    <t>Elektrosuisse</t>
  </si>
  <si>
    <t>1.xxxx</t>
  </si>
  <si>
    <t>3.xxxx</t>
  </si>
  <si>
    <t>2.xxxx</t>
  </si>
  <si>
    <t>Signal AG</t>
  </si>
  <si>
    <t>unnötig</t>
  </si>
  <si>
    <t>Zusätzliche Signalportale</t>
  </si>
  <si>
    <t>EBL</t>
  </si>
  <si>
    <t>MS-Kabelarbeiten</t>
  </si>
  <si>
    <t>NO</t>
  </si>
  <si>
    <t>SKK Landschaftsarchitekten</t>
  </si>
  <si>
    <t>Vertrag 000xxx</t>
  </si>
  <si>
    <t>Miete Notstromaggregat</t>
  </si>
  <si>
    <t>Landschaftsarch. WTÜ</t>
  </si>
  <si>
    <t>UN Sondierbohrungen WTÜ</t>
  </si>
  <si>
    <t>Geologe WTÜ</t>
  </si>
  <si>
    <t>Wildtierbiologe WTÜ</t>
  </si>
  <si>
    <t>Eidg. Starkstrominsp. ESTI</t>
  </si>
  <si>
    <t>Genehmigung Transformatoren</t>
  </si>
  <si>
    <t>Erneuerung Raumlüftung Zentrale EBE</t>
  </si>
  <si>
    <t>Erneuerung Raumlüftung Zentrale OBB</t>
  </si>
  <si>
    <t>John AG Zaunbau</t>
  </si>
  <si>
    <t>Zaun bei Tunnel Oberburg</t>
  </si>
  <si>
    <r>
      <t xml:space="preserve">Aufgelaufene Kosten 2022
</t>
    </r>
    <r>
      <rPr>
        <sz val="9"/>
        <rFont val="Verdana"/>
        <family val="2"/>
      </rPr>
      <t>CHF inkl. MWST</t>
    </r>
  </si>
  <si>
    <t>Forstarbeiten (Rodungen) Oberburg</t>
  </si>
  <si>
    <t>Zweckverband Forstrevier</t>
  </si>
  <si>
    <t>Sicherheitselemente Kantonsstrasse</t>
  </si>
  <si>
    <r>
      <t xml:space="preserve">2021
</t>
    </r>
    <r>
      <rPr>
        <sz val="9"/>
        <rFont val="Verdana"/>
        <family val="2"/>
      </rPr>
      <t>CHF inkl. MWST</t>
    </r>
  </si>
  <si>
    <t>OLMeRO AG =&gt; Loy Digital AG</t>
  </si>
  <si>
    <t>frontwork communications AG</t>
  </si>
  <si>
    <t>Gasser Felstechnik AG</t>
  </si>
  <si>
    <t>TESI für 2022</t>
  </si>
  <si>
    <t>1.2700</t>
  </si>
  <si>
    <t>3.5500</t>
  </si>
  <si>
    <t>1.2950</t>
  </si>
  <si>
    <t>3.5020</t>
  </si>
  <si>
    <t>3.5010</t>
  </si>
  <si>
    <t>2021</t>
  </si>
  <si>
    <t>Projektunterstützung SBB (Phase 52-53)</t>
  </si>
  <si>
    <t>Ersatz MS-Anlagen Ebenrain</t>
  </si>
  <si>
    <t>Adsoft AG</t>
  </si>
  <si>
    <t>Erweiterung IKS</t>
  </si>
  <si>
    <t>NO1+NO2</t>
  </si>
  <si>
    <t>NO3+NO4</t>
  </si>
  <si>
    <t>NO5+NO6+NO7</t>
  </si>
  <si>
    <t>Walter AG</t>
  </si>
  <si>
    <t>VoMa statische Signalisierung</t>
  </si>
  <si>
    <t>Kostenangaben 2022</t>
  </si>
  <si>
    <t>Erneuerung Wildschutzzaun</t>
  </si>
  <si>
    <t>Kompensationsprojekt FFF</t>
  </si>
  <si>
    <t>Freischneiden Wildschutzzaun</t>
  </si>
  <si>
    <t>NO1</t>
  </si>
  <si>
    <t>KFB Pfister AG</t>
  </si>
  <si>
    <t>Road Safety Audit</t>
  </si>
  <si>
    <t>NO8+NO9</t>
  </si>
  <si>
    <t>Meier Jäggi</t>
  </si>
  <si>
    <t>LGT Geolab GmbH</t>
  </si>
  <si>
    <t>UN Rammsondierung WTÜ</t>
  </si>
  <si>
    <t>Neuer Verkehrszähler (für BAFU)</t>
  </si>
  <si>
    <t>Objektvereinbarung Quellwasser</t>
  </si>
  <si>
    <t>EBP Schweiz AG</t>
  </si>
  <si>
    <t>Norsonic Brechbühl AG</t>
  </si>
  <si>
    <t>Mikrofon RP Mühlematt</t>
  </si>
  <si>
    <t>NO1 Prov. Tunnel Ebenrain</t>
  </si>
  <si>
    <t>24 Security</t>
  </si>
  <si>
    <t>Verkehrsdienst</t>
  </si>
  <si>
    <t>Oberboden+Schadstoffe WTÜ</t>
  </si>
  <si>
    <t>VSH AG</t>
  </si>
  <si>
    <t>Druckversuche WTÜ</t>
  </si>
  <si>
    <t>BBL Basler Baulabor AG</t>
  </si>
  <si>
    <t>Kornverteilung WTÜ</t>
  </si>
  <si>
    <t>Bohrbewilligung</t>
  </si>
  <si>
    <t>Interessenabwägung WTÜ</t>
  </si>
  <si>
    <t>E. Kalt AG</t>
  </si>
  <si>
    <t>Planung Hochspannungsleitung WTÜ</t>
  </si>
  <si>
    <t>Sutter Ing.</t>
  </si>
  <si>
    <t>Elektrizitätswerke ZH</t>
  </si>
  <si>
    <t>ZT Medien AG</t>
  </si>
  <si>
    <t>Falzprospekt info 1</t>
  </si>
  <si>
    <t>13.02.16.311.02</t>
  </si>
  <si>
    <t>Grenzmutation Kleintierkorridor</t>
  </si>
  <si>
    <t>13.02.16.420.91</t>
  </si>
  <si>
    <t>Beurteilen NISV Ebenrain</t>
  </si>
  <si>
    <t>13.02.16.510.02</t>
  </si>
  <si>
    <t>13.02.16.890.02</t>
  </si>
  <si>
    <t>13.02.16.510.03</t>
  </si>
  <si>
    <t>13.02.16.720.21</t>
  </si>
  <si>
    <t>13.02.16.978.60</t>
  </si>
  <si>
    <t>13.02.16.763.07</t>
  </si>
  <si>
    <t>13.02.16.410.08</t>
  </si>
  <si>
    <t>13.02.16.440.10</t>
  </si>
  <si>
    <t>13.02.16.420.04</t>
  </si>
  <si>
    <t>13.02.16.430.18</t>
  </si>
  <si>
    <t>13.02.16.711.20</t>
  </si>
  <si>
    <t>13.02.16.711.02</t>
  </si>
  <si>
    <t>13.02.16.763.09</t>
  </si>
  <si>
    <t>Lombardi</t>
  </si>
  <si>
    <t>13.02.16.760.15</t>
  </si>
  <si>
    <t>2.4400</t>
  </si>
  <si>
    <t>Los 038</t>
  </si>
  <si>
    <t>Anpassung IKS T.EBE</t>
  </si>
  <si>
    <t>Projektbegleitung BSA (2020-2024)</t>
  </si>
  <si>
    <t>Schulung</t>
  </si>
  <si>
    <t>Lüthy Zäune AG</t>
  </si>
  <si>
    <t>Kontrolle</t>
  </si>
  <si>
    <t>Annahme Lombardi / BHU</t>
  </si>
  <si>
    <t>Annahme INGE EPSI / BHU</t>
  </si>
  <si>
    <t>Rapp AG</t>
  </si>
  <si>
    <t>Annahme NSNW / BHU</t>
  </si>
  <si>
    <t>Los 039</t>
  </si>
  <si>
    <t>Los 040</t>
  </si>
  <si>
    <t>Integration Zählstelle in ZSC</t>
  </si>
  <si>
    <t>NO2</t>
  </si>
  <si>
    <t>Vertragsnummer alt</t>
  </si>
  <si>
    <t>Vertragsnummer BKM</t>
  </si>
  <si>
    <t>Holinger AG</t>
  </si>
  <si>
    <t>Hydrologisches Gutachten WTÜ</t>
  </si>
  <si>
    <t>UN Stahlbau</t>
  </si>
  <si>
    <t>Stahlbau Brücken</t>
  </si>
  <si>
    <t>Metalbau Brücken</t>
  </si>
  <si>
    <t>UN Zugangswege Brücken</t>
  </si>
  <si>
    <t>UN</t>
  </si>
  <si>
    <t>Lager UEF Sperrmatt</t>
  </si>
  <si>
    <t xml:space="preserve">Zusatzleistungen </t>
  </si>
  <si>
    <t>NO10-NO14</t>
  </si>
  <si>
    <t>NO15-NO16</t>
  </si>
  <si>
    <t>Geotechnisches Institut AG</t>
  </si>
  <si>
    <t>NO17-NO20</t>
  </si>
  <si>
    <t>EK + Zusatzleistungen + NO 1-3</t>
  </si>
  <si>
    <t>BHU + NO4</t>
  </si>
  <si>
    <t>Monitorung UEF Diegten</t>
  </si>
  <si>
    <t>000025 NO1 (2013)</t>
  </si>
  <si>
    <t>000025 NO2a (2013)</t>
  </si>
  <si>
    <t>000025 NO2b (2013)</t>
  </si>
  <si>
    <t>000025 NO3 (2013)</t>
  </si>
  <si>
    <t>000025 NO4 (2014)</t>
  </si>
  <si>
    <t>000025 NO5 (2014)</t>
  </si>
  <si>
    <t>000025 NO6 (2014)</t>
  </si>
  <si>
    <t>000025 NO7 (2014)</t>
  </si>
  <si>
    <t>000025 NO8 (2016)</t>
  </si>
  <si>
    <t>000025 NO9 (2017)</t>
  </si>
  <si>
    <t>000025 NO10 (2018)</t>
  </si>
  <si>
    <t>000025 NO11 (2019)</t>
  </si>
  <si>
    <t>000025 NO12 (2020)</t>
  </si>
  <si>
    <t>000025 NO13 (2022)</t>
  </si>
  <si>
    <t>000032 NO1 (2015)</t>
  </si>
  <si>
    <t>000032 NO2 (2017)</t>
  </si>
  <si>
    <t>000037 NO1 (2015)</t>
  </si>
  <si>
    <t>000040 NO1 (2015)</t>
  </si>
  <si>
    <t>000048 NO1 (2021)</t>
  </si>
  <si>
    <t>000049 NO1 (2016)</t>
  </si>
  <si>
    <t>000049 NO2 (2016)</t>
  </si>
  <si>
    <t>000052 NO1 (2018)</t>
  </si>
  <si>
    <t>000052 NO2 (2020)</t>
  </si>
  <si>
    <t>000056 NO1 (2017)</t>
  </si>
  <si>
    <t>000081 NO1</t>
  </si>
  <si>
    <t>000081 NO2</t>
  </si>
  <si>
    <t>000081 NO3</t>
  </si>
  <si>
    <t>000081 NO4</t>
  </si>
  <si>
    <t>000081 NO5</t>
  </si>
  <si>
    <t>000081 NO6</t>
  </si>
  <si>
    <t>000081 NO7</t>
  </si>
  <si>
    <t>000081 NO8</t>
  </si>
  <si>
    <t>000083 NO1</t>
  </si>
  <si>
    <t>000089 NO1</t>
  </si>
  <si>
    <t>000089 NO2</t>
  </si>
  <si>
    <t>000101 NO1</t>
  </si>
  <si>
    <t>aktiv</t>
  </si>
  <si>
    <t>000089 NO3</t>
  </si>
  <si>
    <t>NO3</t>
  </si>
  <si>
    <t>Leuenberger AG</t>
  </si>
  <si>
    <t>Unterhalt Kreisel Eiken</t>
  </si>
  <si>
    <t>000055 NO1</t>
  </si>
  <si>
    <t>Merki &amp; Haefeli AG</t>
  </si>
  <si>
    <t>Kabinen Kameras für Nothaltebuchten</t>
  </si>
  <si>
    <t>Kameras für Nothaltebuchten</t>
  </si>
  <si>
    <t>Parcom Systems AG</t>
  </si>
  <si>
    <t>Annahme 96'313'000.00</t>
  </si>
  <si>
    <t>Los 031</t>
  </si>
  <si>
    <t>Ausbau WAN GE VIII (VOMA VLS)</t>
  </si>
  <si>
    <t>000001 (2009)</t>
  </si>
  <si>
    <t>000002 (2009)</t>
  </si>
  <si>
    <t>000003 (2010)</t>
  </si>
  <si>
    <t>000004 (2009)</t>
  </si>
  <si>
    <t>000005 (2010)</t>
  </si>
  <si>
    <t>000006 (2010)</t>
  </si>
  <si>
    <t>000006 (2011)</t>
  </si>
  <si>
    <t>000006 (2018)</t>
  </si>
  <si>
    <t>000007 (2010)</t>
  </si>
  <si>
    <t>000009 (2010)</t>
  </si>
  <si>
    <t>000010 (2010)</t>
  </si>
  <si>
    <t>000011 (2010)</t>
  </si>
  <si>
    <t>000012 (2010)</t>
  </si>
  <si>
    <t>000013 (2010)</t>
  </si>
  <si>
    <t>000014 (2010)</t>
  </si>
  <si>
    <t>000015 (2010)</t>
  </si>
  <si>
    <t>000016 (2010)</t>
  </si>
  <si>
    <t>000017 (2010)</t>
  </si>
  <si>
    <t>000018 (2016)</t>
  </si>
  <si>
    <t>000018 (2010)</t>
  </si>
  <si>
    <t>000018 (2011)</t>
  </si>
  <si>
    <t>000018 (2013)</t>
  </si>
  <si>
    <t>000018 (2014)</t>
  </si>
  <si>
    <t>000018 (2015)</t>
  </si>
  <si>
    <t>000019 (2010)</t>
  </si>
  <si>
    <t>000020 (2010)</t>
  </si>
  <si>
    <t>000021 (2012)</t>
  </si>
  <si>
    <t>000022 (2012)</t>
  </si>
  <si>
    <t>000023 (2012)</t>
  </si>
  <si>
    <t>000024 (2012)</t>
  </si>
  <si>
    <t>000025 (2013)</t>
  </si>
  <si>
    <t>000025 (2016)</t>
  </si>
  <si>
    <t>000025 (2017)</t>
  </si>
  <si>
    <t>000026 (2013)</t>
  </si>
  <si>
    <t>000027 (2013)</t>
  </si>
  <si>
    <t>000028 (2013)</t>
  </si>
  <si>
    <t>000029 (2013)</t>
  </si>
  <si>
    <t>000030 (2013)</t>
  </si>
  <si>
    <t>000031 (2013)</t>
  </si>
  <si>
    <t>000032 (2013)</t>
  </si>
  <si>
    <t>000033 (2013)</t>
  </si>
  <si>
    <t>000034 (2014)</t>
  </si>
  <si>
    <t>000035 (2014)</t>
  </si>
  <si>
    <t>000036 (2014)</t>
  </si>
  <si>
    <t>000037 (2014)</t>
  </si>
  <si>
    <t>000038 (2014)</t>
  </si>
  <si>
    <t>000039 (2014)</t>
  </si>
  <si>
    <t>000040 (2014)</t>
  </si>
  <si>
    <t>000041 (2014)</t>
  </si>
  <si>
    <t>000042 (2014)</t>
  </si>
  <si>
    <t>000043 (2015)</t>
  </si>
  <si>
    <t>000043 (2016)</t>
  </si>
  <si>
    <t>000043 (2017)</t>
  </si>
  <si>
    <t>000043 (2020)</t>
  </si>
  <si>
    <t>000043 (2022)</t>
  </si>
  <si>
    <t>000044 (2015)</t>
  </si>
  <si>
    <t>000045 (2015)</t>
  </si>
  <si>
    <t>000046 (2015)</t>
  </si>
  <si>
    <t>000047 (2015)</t>
  </si>
  <si>
    <t>000048 (2016)</t>
  </si>
  <si>
    <t>000048 (2017)</t>
  </si>
  <si>
    <t>000049 (2016)</t>
  </si>
  <si>
    <t>000050 (2016)</t>
  </si>
  <si>
    <t>000051 (2016)</t>
  </si>
  <si>
    <t>000052 (2016)</t>
  </si>
  <si>
    <t>000053 (2016)</t>
  </si>
  <si>
    <t>000054 (2017)</t>
  </si>
  <si>
    <t>000055 (2016)</t>
  </si>
  <si>
    <t>000056 (2016)</t>
  </si>
  <si>
    <t>000057 (2016)</t>
  </si>
  <si>
    <t>000058 (2016)</t>
  </si>
  <si>
    <t>000058 (2022)</t>
  </si>
  <si>
    <t>000059 (2016)</t>
  </si>
  <si>
    <t>000060 (2017)</t>
  </si>
  <si>
    <t>000061 (2016)</t>
  </si>
  <si>
    <t>000062 (2016)</t>
  </si>
  <si>
    <t>000062 (2017)</t>
  </si>
  <si>
    <t>000062 (2018)</t>
  </si>
  <si>
    <t>000062 (2021)</t>
  </si>
  <si>
    <t>000062 (2022)</t>
  </si>
  <si>
    <t>000063 (2017)</t>
  </si>
  <si>
    <t>000064 (2017)</t>
  </si>
  <si>
    <t>000065 (2017)</t>
  </si>
  <si>
    <t>000066 (2017)</t>
  </si>
  <si>
    <t>000067 (2017)</t>
  </si>
  <si>
    <t>000068 (2017)</t>
  </si>
  <si>
    <t>000069 (2017)</t>
  </si>
  <si>
    <t>000070 (2017)</t>
  </si>
  <si>
    <t>000070 (2022)</t>
  </si>
  <si>
    <t>000071 (2018)</t>
  </si>
  <si>
    <t>000072 (2018)</t>
  </si>
  <si>
    <t>000073 (2018)</t>
  </si>
  <si>
    <t>000074 (2018)</t>
  </si>
  <si>
    <t>000075 (2018)</t>
  </si>
  <si>
    <t>000076 (2018)</t>
  </si>
  <si>
    <t>000077 (2018)</t>
  </si>
  <si>
    <t>000078 (2018)</t>
  </si>
  <si>
    <t>000079 (2019)</t>
  </si>
  <si>
    <t>000080 (2019)</t>
  </si>
  <si>
    <t>000081 (2020)</t>
  </si>
  <si>
    <t>000082 (2019)</t>
  </si>
  <si>
    <t>000083 (Los 011)</t>
  </si>
  <si>
    <t>000084 (Los 013)</t>
  </si>
  <si>
    <t>000085 (Los 014)</t>
  </si>
  <si>
    <t>000086 (2022)</t>
  </si>
  <si>
    <t>000087 (2020)</t>
  </si>
  <si>
    <t>000088 (2020)</t>
  </si>
  <si>
    <t>000089 (2021)</t>
  </si>
  <si>
    <t>000090 (2020)</t>
  </si>
  <si>
    <t>000091 (Los 021)</t>
  </si>
  <si>
    <t>000092 (2020)</t>
  </si>
  <si>
    <t>000093 (2020)</t>
  </si>
  <si>
    <t>000094 (2021)</t>
  </si>
  <si>
    <t>000095 (2021)</t>
  </si>
  <si>
    <t>000096 (2020)</t>
  </si>
  <si>
    <t>000097 (2020)</t>
  </si>
  <si>
    <t>000098 (Los 030)</t>
  </si>
  <si>
    <t>000099 (Los 001)</t>
  </si>
  <si>
    <t>000100 (Los 016)</t>
  </si>
  <si>
    <t>000101 (Los 003)</t>
  </si>
  <si>
    <t>000102 (2021)</t>
  </si>
  <si>
    <t>000103 (2021)</t>
  </si>
  <si>
    <t>000104 (2021)</t>
  </si>
  <si>
    <t>000105 (2021)</t>
  </si>
  <si>
    <t>000106 (2021)</t>
  </si>
  <si>
    <t>000107 (2021)</t>
  </si>
  <si>
    <t>000108 (2021)</t>
  </si>
  <si>
    <t>000109 (2022)</t>
  </si>
  <si>
    <t>000110 (Los 001b)</t>
  </si>
  <si>
    <t>000111 (Los 002)</t>
  </si>
  <si>
    <t>000112 (2021)</t>
  </si>
  <si>
    <t>000113 (2021)</t>
  </si>
  <si>
    <t>000114 (2021)</t>
  </si>
  <si>
    <t>000115 (2022)</t>
  </si>
  <si>
    <t>000116 (2022)</t>
  </si>
  <si>
    <t>000117 (2022)</t>
  </si>
  <si>
    <t>000118 (Los 038)</t>
  </si>
  <si>
    <t>000119 (2022)</t>
  </si>
  <si>
    <t>000120 (2022)</t>
  </si>
  <si>
    <t>000121 (Los 012)</t>
  </si>
  <si>
    <t>000122 (2022)</t>
  </si>
  <si>
    <t>000123 (2022)</t>
  </si>
  <si>
    <t>000124 (2022)</t>
  </si>
  <si>
    <t>000125 (2022)</t>
  </si>
  <si>
    <t>000126 (2022)</t>
  </si>
  <si>
    <t>000127 (Los 025)</t>
  </si>
  <si>
    <t>000128 (2022)</t>
  </si>
  <si>
    <t>000129 (2022)</t>
  </si>
  <si>
    <t>000131 (Los 033)</t>
  </si>
  <si>
    <t>000132 (Los 018)</t>
  </si>
  <si>
    <t>000133 (Los 007)</t>
  </si>
  <si>
    <t>000134 (2022)</t>
  </si>
  <si>
    <t>000135Ron (Los 041)</t>
  </si>
  <si>
    <t>000130 (2022)</t>
  </si>
  <si>
    <t>000136Ron (Los 017)</t>
  </si>
  <si>
    <t>TESI 2023</t>
  </si>
  <si>
    <t>TESI für 2024-2026</t>
  </si>
  <si>
    <t>Jermann oder Gehma (Nachtrag)</t>
  </si>
  <si>
    <t>000109 NO1</t>
  </si>
  <si>
    <t xml:space="preserve">Pumpenschächte </t>
  </si>
  <si>
    <t>000122 NO1</t>
  </si>
  <si>
    <t>Amphibienschutz</t>
  </si>
  <si>
    <t>000109 NO2</t>
  </si>
  <si>
    <t>000101 NO2</t>
  </si>
  <si>
    <t>NO2 BSA Nothaltebuchten</t>
  </si>
  <si>
    <t>000137Ron (Los 031)</t>
  </si>
  <si>
    <t>Argonet SA</t>
  </si>
  <si>
    <t>000058 (2023)</t>
  </si>
  <si>
    <t>Falzprospekt info 2</t>
  </si>
  <si>
    <r>
      <t xml:space="preserve">Aufgelaufene Kosten 2023
</t>
    </r>
    <r>
      <rPr>
        <sz val="9"/>
        <rFont val="Verdana"/>
        <family val="2"/>
      </rPr>
      <t>CHF inkl. MWST</t>
    </r>
  </si>
  <si>
    <t>000138Ron (2021)</t>
  </si>
  <si>
    <t>000054 (2016)</t>
  </si>
  <si>
    <t>Rapp AG (Ammann AG)</t>
  </si>
  <si>
    <t>Sisag AG</t>
  </si>
  <si>
    <t>Stand: 21.02.2023 / 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</si>
</sst>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109" x14ac:knownFonts="1">
    <font>
      <sz val="9"/>
      <name val="Verdana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b/>
      <sz val="9"/>
      <name val="Verdana"/>
      <family val="2"/>
    </font>
    <font>
      <sz val="16"/>
      <name val="Verdana"/>
      <family val="2"/>
    </font>
    <font>
      <sz val="9"/>
      <color indexed="12"/>
      <name val="Verdana"/>
      <family val="2"/>
    </font>
    <font>
      <sz val="9"/>
      <color indexed="10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  <font>
      <sz val="9"/>
      <color rgb="FFC0C0C0"/>
      <name val="Verdan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10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sz val="9"/>
      <color indexed="10"/>
      <name val="Verdana"/>
      <family val="2"/>
    </font>
    <font>
      <sz val="9"/>
      <color indexed="10"/>
      <name val="Verdana"/>
      <family val="2"/>
    </font>
    <font>
      <sz val="9"/>
      <color indexed="10"/>
      <name val="Verdana"/>
      <family val="2"/>
    </font>
    <font>
      <sz val="9"/>
      <color indexed="10"/>
      <name val="Verdana"/>
      <family val="2"/>
    </font>
    <font>
      <b/>
      <sz val="9"/>
      <name val="Verdana"/>
      <family val="2"/>
    </font>
    <font>
      <sz val="9"/>
      <color rgb="FFFF0000"/>
      <name val="Verdana"/>
      <family val="2"/>
    </font>
    <font>
      <sz val="9"/>
      <color indexed="10"/>
      <name val="Verdana"/>
      <family val="2"/>
    </font>
    <font>
      <sz val="9"/>
      <color indexed="10"/>
      <name val="Verdana"/>
      <family val="2"/>
    </font>
    <font>
      <sz val="9"/>
      <color indexed="10"/>
      <name val="Verdana"/>
      <family val="2"/>
    </font>
    <font>
      <sz val="9"/>
      <color rgb="FFFF0000"/>
      <name val="Verdana"/>
      <family val="2"/>
    </font>
    <font>
      <sz val="9"/>
      <color indexed="10"/>
      <name val="Verdana"/>
      <family val="2"/>
    </font>
    <font>
      <sz val="12"/>
      <name val="Verdana"/>
      <family val="2"/>
    </font>
    <font>
      <sz val="9"/>
      <color indexed="10"/>
      <name val="Verdana"/>
      <family val="2"/>
    </font>
    <font>
      <sz val="9"/>
      <color indexed="10"/>
      <name val="Verdana"/>
      <family val="2"/>
    </font>
    <font>
      <sz val="9"/>
      <color indexed="10"/>
      <name val="Verdana"/>
      <family val="2"/>
    </font>
    <font>
      <sz val="9"/>
      <color indexed="10"/>
      <name val="Verdana"/>
      <family val="2"/>
    </font>
    <font>
      <sz val="9"/>
      <color indexed="10"/>
      <name val="Verdana"/>
      <family val="2"/>
    </font>
    <font>
      <sz val="9"/>
      <color rgb="FFFF0000"/>
      <name val="Verdana"/>
      <family val="2"/>
    </font>
    <font>
      <sz val="9"/>
      <color rgb="FF0070C0"/>
      <name val="Verdana"/>
      <family val="2"/>
    </font>
    <font>
      <sz val="10"/>
      <name val="Arial"/>
      <family val="2"/>
    </font>
    <font>
      <sz val="9"/>
      <color rgb="FFFF0000"/>
      <name val="Verdana"/>
      <family val="2"/>
    </font>
    <font>
      <sz val="9"/>
      <color indexed="10"/>
      <name val="Verdana"/>
      <family val="2"/>
    </font>
    <font>
      <sz val="10"/>
      <name val="Verdana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10"/>
      <name val="Verdana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2" fillId="0" borderId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8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75" fillId="0" borderId="1" xfId="0" applyFont="1" applyBorder="1" applyAlignment="1">
      <alignment vertical="center"/>
    </xf>
    <xf numFmtId="0" fontId="0" fillId="7" borderId="1" xfId="0" applyFill="1" applyBorder="1" applyAlignment="1">
      <alignment vertical="center"/>
    </xf>
    <xf numFmtId="0" fontId="68" fillId="0" borderId="1" xfId="0" applyFont="1" applyBorder="1" applyAlignment="1">
      <alignment vertical="center"/>
    </xf>
    <xf numFmtId="0" fontId="68" fillId="7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68" fillId="7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vertical="center"/>
    </xf>
    <xf numFmtId="164" fontId="68" fillId="3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vertical="center"/>
    </xf>
    <xf numFmtId="4" fontId="68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4" fontId="68" fillId="2" borderId="1" xfId="0" applyNumberFormat="1" applyFont="1" applyFill="1" applyBorder="1" applyAlignment="1">
      <alignment vertical="center"/>
    </xf>
    <xf numFmtId="4" fontId="68" fillId="3" borderId="1" xfId="0" applyNumberFormat="1" applyFont="1" applyFill="1" applyBorder="1" applyAlignment="1">
      <alignment vertical="center"/>
    </xf>
    <xf numFmtId="4" fontId="68" fillId="7" borderId="1" xfId="0" applyNumberFormat="1" applyFont="1" applyFill="1" applyBorder="1" applyAlignment="1">
      <alignment vertical="center"/>
    </xf>
    <xf numFmtId="4" fontId="68" fillId="6" borderId="1" xfId="0" applyNumberFormat="1" applyFont="1" applyFill="1" applyBorder="1" applyAlignment="1">
      <alignment vertical="center"/>
    </xf>
    <xf numFmtId="4" fontId="75" fillId="2" borderId="1" xfId="0" applyNumberFormat="1" applyFont="1" applyFill="1" applyBorder="1" applyAlignment="1">
      <alignment vertical="center"/>
    </xf>
    <xf numFmtId="4" fontId="75" fillId="7" borderId="1" xfId="0" applyNumberFormat="1" applyFont="1" applyFill="1" applyBorder="1" applyAlignment="1">
      <alignment vertical="center"/>
    </xf>
    <xf numFmtId="4" fontId="0" fillId="7" borderId="1" xfId="0" applyNumberFormat="1" applyFill="1" applyBorder="1" applyAlignment="1">
      <alignment vertical="center"/>
    </xf>
    <xf numFmtId="164" fontId="0" fillId="7" borderId="1" xfId="0" applyNumberForma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74" fillId="2" borderId="1" xfId="0" applyNumberFormat="1" applyFont="1" applyFill="1" applyBorder="1" applyAlignment="1">
      <alignment vertical="center"/>
    </xf>
    <xf numFmtId="164" fontId="68" fillId="3" borderId="1" xfId="0" applyNumberFormat="1" applyFont="1" applyFill="1" applyBorder="1" applyAlignment="1">
      <alignment horizontal="center" vertical="center"/>
    </xf>
    <xf numFmtId="4" fontId="68" fillId="3" borderId="1" xfId="0" applyNumberFormat="1" applyFont="1" applyFill="1" applyBorder="1" applyAlignment="1">
      <alignment horizontal="right" vertical="center"/>
    </xf>
    <xf numFmtId="4" fontId="68" fillId="2" borderId="1" xfId="0" applyNumberFormat="1" applyFont="1" applyFill="1" applyBorder="1" applyAlignment="1">
      <alignment horizontal="right" vertical="center"/>
    </xf>
    <xf numFmtId="4" fontId="68" fillId="6" borderId="1" xfId="0" applyNumberFormat="1" applyFont="1" applyFill="1" applyBorder="1" applyAlignment="1">
      <alignment horizontal="right" vertical="center"/>
    </xf>
    <xf numFmtId="164" fontId="68" fillId="7" borderId="1" xfId="0" applyNumberFormat="1" applyFont="1" applyFill="1" applyBorder="1" applyAlignment="1">
      <alignment horizontal="center" vertical="center"/>
    </xf>
    <xf numFmtId="4" fontId="73" fillId="2" borderId="1" xfId="0" applyNumberFormat="1" applyFont="1" applyFill="1" applyBorder="1" applyAlignment="1">
      <alignment vertical="center"/>
    </xf>
    <xf numFmtId="4" fontId="68" fillId="8" borderId="1" xfId="0" applyNumberFormat="1" applyFont="1" applyFill="1" applyBorder="1" applyAlignment="1">
      <alignment vertical="center"/>
    </xf>
    <xf numFmtId="4" fontId="73" fillId="8" borderId="1" xfId="0" applyNumberFormat="1" applyFont="1" applyFill="1" applyBorder="1" applyAlignment="1">
      <alignment vertical="center"/>
    </xf>
    <xf numFmtId="4" fontId="76" fillId="5" borderId="1" xfId="0" applyNumberFormat="1" applyFont="1" applyFill="1" applyBorder="1" applyAlignment="1">
      <alignment vertical="center"/>
    </xf>
    <xf numFmtId="0" fontId="76" fillId="5" borderId="1" xfId="0" applyFont="1" applyFill="1" applyBorder="1" applyAlignment="1">
      <alignment vertical="center"/>
    </xf>
    <xf numFmtId="0" fontId="76" fillId="5" borderId="1" xfId="0" applyFont="1" applyFill="1" applyBorder="1" applyAlignment="1">
      <alignment horizontal="center" vertical="center"/>
    </xf>
    <xf numFmtId="164" fontId="76" fillId="5" borderId="1" xfId="0" applyNumberFormat="1" applyFont="1" applyFill="1" applyBorder="1" applyAlignment="1">
      <alignment horizontal="center" vertical="center"/>
    </xf>
    <xf numFmtId="4" fontId="75" fillId="6" borderId="1" xfId="0" applyNumberFormat="1" applyFont="1" applyFill="1" applyBorder="1" applyAlignment="1">
      <alignment vertical="center"/>
    </xf>
    <xf numFmtId="4" fontId="75" fillId="8" borderId="1" xfId="0" applyNumberFormat="1" applyFont="1" applyFill="1" applyBorder="1" applyAlignment="1">
      <alignment vertical="center"/>
    </xf>
    <xf numFmtId="4" fontId="76" fillId="8" borderId="1" xfId="0" applyNumberFormat="1" applyFont="1" applyFill="1" applyBorder="1" applyAlignment="1">
      <alignment vertical="center"/>
    </xf>
    <xf numFmtId="0" fontId="71" fillId="0" borderId="0" xfId="0" applyFont="1" applyAlignment="1">
      <alignment vertical="center"/>
    </xf>
    <xf numFmtId="4" fontId="0" fillId="0" borderId="0" xfId="0" applyNumberFormat="1" applyAlignment="1">
      <alignment horizontal="center" vertical="center"/>
    </xf>
    <xf numFmtId="0" fontId="75" fillId="7" borderId="1" xfId="0" applyFont="1" applyFill="1" applyBorder="1" applyAlignment="1">
      <alignment vertical="center"/>
    </xf>
    <xf numFmtId="4" fontId="68" fillId="8" borderId="1" xfId="0" applyNumberFormat="1" applyFont="1" applyFill="1" applyBorder="1" applyAlignment="1">
      <alignment horizontal="center" vertical="center"/>
    </xf>
    <xf numFmtId="4" fontId="77" fillId="8" borderId="1" xfId="0" applyNumberFormat="1" applyFont="1" applyFill="1" applyBorder="1" applyAlignment="1">
      <alignment vertical="center"/>
    </xf>
    <xf numFmtId="0" fontId="76" fillId="0" borderId="0" xfId="0" applyFont="1" applyAlignment="1">
      <alignment vertical="center"/>
    </xf>
    <xf numFmtId="4" fontId="68" fillId="8" borderId="1" xfId="0" applyNumberFormat="1" applyFont="1" applyFill="1" applyBorder="1" applyAlignment="1">
      <alignment horizontal="right" vertical="center"/>
    </xf>
    <xf numFmtId="4" fontId="76" fillId="8" borderId="1" xfId="0" applyNumberFormat="1" applyFont="1" applyFill="1" applyBorder="1" applyAlignment="1">
      <alignment horizontal="right" vertical="center"/>
    </xf>
    <xf numFmtId="4" fontId="68" fillId="7" borderId="1" xfId="0" applyNumberFormat="1" applyFont="1" applyFill="1" applyBorder="1" applyAlignment="1">
      <alignment horizontal="right" vertical="center"/>
    </xf>
    <xf numFmtId="4" fontId="74" fillId="8" borderId="1" xfId="0" applyNumberFormat="1" applyFont="1" applyFill="1" applyBorder="1" applyAlignment="1">
      <alignment vertical="center"/>
    </xf>
    <xf numFmtId="164" fontId="68" fillId="0" borderId="1" xfId="0" applyNumberFormat="1" applyFont="1" applyBorder="1" applyAlignment="1">
      <alignment horizontal="center" vertical="center"/>
    </xf>
    <xf numFmtId="0" fontId="68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4" fontId="0" fillId="8" borderId="1" xfId="0" applyNumberFormat="1" applyFill="1" applyBorder="1" applyAlignment="1">
      <alignment vertical="center"/>
    </xf>
    <xf numFmtId="4" fontId="68" fillId="8" borderId="4" xfId="0" applyNumberFormat="1" applyFont="1" applyFill="1" applyBorder="1" applyAlignment="1">
      <alignment vertical="center"/>
    </xf>
    <xf numFmtId="0" fontId="68" fillId="0" borderId="2" xfId="0" applyFont="1" applyBorder="1" applyAlignment="1">
      <alignment vertical="center"/>
    </xf>
    <xf numFmtId="4" fontId="76" fillId="0" borderId="2" xfId="0" applyNumberFormat="1" applyFont="1" applyBorder="1" applyAlignment="1">
      <alignment vertical="center"/>
    </xf>
    <xf numFmtId="0" fontId="76" fillId="0" borderId="2" xfId="0" applyFont="1" applyBorder="1" applyAlignment="1">
      <alignment vertical="center"/>
    </xf>
    <xf numFmtId="0" fontId="76" fillId="0" borderId="2" xfId="0" applyFont="1" applyBorder="1" applyAlignment="1">
      <alignment horizontal="center" vertical="center"/>
    </xf>
    <xf numFmtId="164" fontId="7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74" fillId="0" borderId="2" xfId="0" applyNumberFormat="1" applyFont="1" applyBorder="1" applyAlignment="1">
      <alignment vertical="center"/>
    </xf>
    <xf numFmtId="0" fontId="71" fillId="0" borderId="4" xfId="0" applyFont="1" applyBorder="1" applyAlignment="1">
      <alignment vertical="center" wrapText="1"/>
    </xf>
    <xf numFmtId="0" fontId="71" fillId="0" borderId="4" xfId="0" applyFont="1" applyBorder="1" applyAlignment="1">
      <alignment vertical="center"/>
    </xf>
    <xf numFmtId="0" fontId="71" fillId="0" borderId="4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 wrapText="1"/>
    </xf>
    <xf numFmtId="4" fontId="76" fillId="5" borderId="3" xfId="0" applyNumberFormat="1" applyFont="1" applyFill="1" applyBorder="1" applyAlignment="1">
      <alignment vertical="center"/>
    </xf>
    <xf numFmtId="0" fontId="76" fillId="5" borderId="3" xfId="0" applyFont="1" applyFill="1" applyBorder="1" applyAlignment="1">
      <alignment vertical="center"/>
    </xf>
    <xf numFmtId="164" fontId="76" fillId="5" borderId="3" xfId="0" applyNumberFormat="1" applyFont="1" applyFill="1" applyBorder="1" applyAlignment="1">
      <alignment horizontal="center" vertical="center"/>
    </xf>
    <xf numFmtId="4" fontId="74" fillId="2" borderId="3" xfId="0" applyNumberFormat="1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164" fontId="0" fillId="0" borderId="0" xfId="0" applyNumberFormat="1" applyAlignment="1">
      <alignment horizontal="left" indent="2"/>
    </xf>
    <xf numFmtId="0" fontId="76" fillId="8" borderId="1" xfId="0" applyFont="1" applyFill="1" applyBorder="1" applyAlignment="1">
      <alignment horizontal="left" vertical="center"/>
    </xf>
    <xf numFmtId="4" fontId="74" fillId="8" borderId="1" xfId="0" applyNumberFormat="1" applyFont="1" applyFill="1" applyBorder="1" applyAlignment="1">
      <alignment horizontal="right" vertical="center"/>
    </xf>
    <xf numFmtId="4" fontId="68" fillId="8" borderId="4" xfId="0" applyNumberFormat="1" applyFont="1" applyFill="1" applyBorder="1" applyAlignment="1">
      <alignment horizontal="center" vertical="center"/>
    </xf>
    <xf numFmtId="4" fontId="74" fillId="8" borderId="4" xfId="0" applyNumberFormat="1" applyFont="1" applyFill="1" applyBorder="1" applyAlignment="1">
      <alignment horizontal="right" vertical="center"/>
    </xf>
    <xf numFmtId="0" fontId="76" fillId="8" borderId="4" xfId="0" applyFont="1" applyFill="1" applyBorder="1" applyAlignment="1">
      <alignment horizontal="left" vertical="center"/>
    </xf>
    <xf numFmtId="0" fontId="72" fillId="0" borderId="0" xfId="0" applyFont="1" applyAlignment="1">
      <alignment vertical="center"/>
    </xf>
    <xf numFmtId="0" fontId="72" fillId="0" borderId="0" xfId="0" applyFont="1" applyAlignment="1">
      <alignment horizontal="right" vertical="center"/>
    </xf>
    <xf numFmtId="0" fontId="71" fillId="0" borderId="1" xfId="0" applyFont="1" applyBorder="1" applyAlignment="1">
      <alignment horizontal="center" vertical="center"/>
    </xf>
    <xf numFmtId="0" fontId="68" fillId="0" borderId="3" xfId="0" applyFont="1" applyBorder="1" applyAlignment="1">
      <alignment vertical="center"/>
    </xf>
    <xf numFmtId="4" fontId="68" fillId="0" borderId="3" xfId="0" applyNumberFormat="1" applyFont="1" applyBorder="1" applyAlignment="1">
      <alignment vertical="center"/>
    </xf>
    <xf numFmtId="0" fontId="68" fillId="0" borderId="3" xfId="0" applyFont="1" applyBorder="1" applyAlignment="1">
      <alignment horizontal="center" vertical="center"/>
    </xf>
    <xf numFmtId="164" fontId="68" fillId="0" borderId="3" xfId="0" applyNumberFormat="1" applyFont="1" applyBorder="1" applyAlignment="1">
      <alignment horizontal="center" vertical="center"/>
    </xf>
    <xf numFmtId="4" fontId="68" fillId="2" borderId="3" xfId="0" applyNumberFormat="1" applyFont="1" applyFill="1" applyBorder="1" applyAlignment="1">
      <alignment vertical="center"/>
    </xf>
    <xf numFmtId="4" fontId="68" fillId="6" borderId="3" xfId="0" applyNumberFormat="1" applyFont="1" applyFill="1" applyBorder="1" applyAlignment="1">
      <alignment vertical="center"/>
    </xf>
    <xf numFmtId="4" fontId="76" fillId="8" borderId="3" xfId="0" applyNumberFormat="1" applyFont="1" applyFill="1" applyBorder="1" applyAlignment="1">
      <alignment vertical="center"/>
    </xf>
    <xf numFmtId="4" fontId="68" fillId="8" borderId="3" xfId="0" applyNumberFormat="1" applyFont="1" applyFill="1" applyBorder="1" applyAlignment="1">
      <alignment vertical="center"/>
    </xf>
    <xf numFmtId="0" fontId="68" fillId="7" borderId="3" xfId="0" applyFont="1" applyFill="1" applyBorder="1" applyAlignment="1">
      <alignment vertical="center"/>
    </xf>
    <xf numFmtId="4" fontId="68" fillId="7" borderId="3" xfId="0" applyNumberFormat="1" applyFont="1" applyFill="1" applyBorder="1" applyAlignment="1">
      <alignment vertical="center"/>
    </xf>
    <xf numFmtId="0" fontId="68" fillId="7" borderId="3" xfId="0" applyFont="1" applyFill="1" applyBorder="1" applyAlignment="1">
      <alignment horizontal="center" vertical="center"/>
    </xf>
    <xf numFmtId="164" fontId="68" fillId="7" borderId="3" xfId="0" applyNumberFormat="1" applyFont="1" applyFill="1" applyBorder="1" applyAlignment="1">
      <alignment horizontal="center" vertical="center"/>
    </xf>
    <xf numFmtId="4" fontId="75" fillId="6" borderId="3" xfId="0" applyNumberFormat="1" applyFont="1" applyFill="1" applyBorder="1" applyAlignment="1">
      <alignment vertical="center"/>
    </xf>
    <xf numFmtId="4" fontId="75" fillId="8" borderId="3" xfId="0" applyNumberFormat="1" applyFont="1" applyFill="1" applyBorder="1" applyAlignment="1">
      <alignment vertical="center"/>
    </xf>
    <xf numFmtId="4" fontId="68" fillId="7" borderId="3" xfId="0" applyNumberFormat="1" applyFont="1" applyFill="1" applyBorder="1" applyAlignment="1">
      <alignment horizontal="right" vertical="center"/>
    </xf>
    <xf numFmtId="4" fontId="68" fillId="8" borderId="3" xfId="0" applyNumberFormat="1" applyFont="1" applyFill="1" applyBorder="1" applyAlignment="1">
      <alignment horizontal="right" vertical="center"/>
    </xf>
    <xf numFmtId="4" fontId="75" fillId="2" borderId="3" xfId="0" applyNumberFormat="1" applyFont="1" applyFill="1" applyBorder="1" applyAlignment="1">
      <alignment vertical="center"/>
    </xf>
    <xf numFmtId="4" fontId="66" fillId="8" borderId="1" xfId="0" applyNumberFormat="1" applyFont="1" applyFill="1" applyBorder="1" applyAlignment="1">
      <alignment vertical="center"/>
    </xf>
    <xf numFmtId="0" fontId="66" fillId="8" borderId="1" xfId="0" applyFont="1" applyFill="1" applyBorder="1" applyAlignment="1">
      <alignment vertical="center"/>
    </xf>
    <xf numFmtId="0" fontId="76" fillId="8" borderId="3" xfId="0" applyFont="1" applyFill="1" applyBorder="1" applyAlignment="1">
      <alignment vertical="center"/>
    </xf>
    <xf numFmtId="164" fontId="68" fillId="10" borderId="1" xfId="0" applyNumberFormat="1" applyFont="1" applyFill="1" applyBorder="1" applyAlignment="1">
      <alignment horizontal="center" vertical="center"/>
    </xf>
    <xf numFmtId="4" fontId="76" fillId="2" borderId="1" xfId="0" applyNumberFormat="1" applyFont="1" applyFill="1" applyBorder="1" applyAlignment="1">
      <alignment vertical="center"/>
    </xf>
    <xf numFmtId="4" fontId="76" fillId="6" borderId="1" xfId="0" applyNumberFormat="1" applyFont="1" applyFill="1" applyBorder="1" applyAlignment="1">
      <alignment vertical="center"/>
    </xf>
    <xf numFmtId="0" fontId="76" fillId="8" borderId="1" xfId="0" applyFont="1" applyFill="1" applyBorder="1" applyAlignment="1">
      <alignment vertical="center"/>
    </xf>
    <xf numFmtId="4" fontId="63" fillId="7" borderId="1" xfId="0" applyNumberFormat="1" applyFont="1" applyFill="1" applyBorder="1" applyAlignment="1">
      <alignment vertical="center"/>
    </xf>
    <xf numFmtId="4" fontId="76" fillId="6" borderId="3" xfId="0" applyNumberFormat="1" applyFont="1" applyFill="1" applyBorder="1" applyAlignment="1">
      <alignment vertical="center"/>
    </xf>
    <xf numFmtId="0" fontId="76" fillId="6" borderId="3" xfId="0" applyFont="1" applyFill="1" applyBorder="1" applyAlignment="1">
      <alignment vertical="center"/>
    </xf>
    <xf numFmtId="4" fontId="74" fillId="5" borderId="3" xfId="0" applyNumberFormat="1" applyFont="1" applyFill="1" applyBorder="1" applyAlignment="1">
      <alignment vertical="center"/>
    </xf>
    <xf numFmtId="4" fontId="74" fillId="2" borderId="4" xfId="0" applyNumberFormat="1" applyFont="1" applyFill="1" applyBorder="1" applyAlignment="1">
      <alignment vertical="center"/>
    </xf>
    <xf numFmtId="164" fontId="68" fillId="11" borderId="1" xfId="0" applyNumberFormat="1" applyFont="1" applyFill="1" applyBorder="1" applyAlignment="1">
      <alignment horizontal="center" vertical="center"/>
    </xf>
    <xf numFmtId="4" fontId="68" fillId="8" borderId="4" xfId="0" applyNumberFormat="1" applyFont="1" applyFill="1" applyBorder="1" applyAlignment="1">
      <alignment horizontal="right" vertical="center"/>
    </xf>
    <xf numFmtId="4" fontId="75" fillId="7" borderId="3" xfId="0" applyNumberFormat="1" applyFont="1" applyFill="1" applyBorder="1" applyAlignment="1">
      <alignment vertical="center"/>
    </xf>
    <xf numFmtId="4" fontId="67" fillId="7" borderId="3" xfId="0" applyNumberFormat="1" applyFont="1" applyFill="1" applyBorder="1" applyAlignment="1">
      <alignment vertical="center"/>
    </xf>
    <xf numFmtId="4" fontId="68" fillId="7" borderId="4" xfId="0" applyNumberFormat="1" applyFont="1" applyFill="1" applyBorder="1" applyAlignment="1">
      <alignment horizontal="right" vertical="center"/>
    </xf>
    <xf numFmtId="0" fontId="68" fillId="8" borderId="3" xfId="0" quotePrefix="1" applyFont="1" applyFill="1" applyBorder="1" applyAlignment="1">
      <alignment vertical="center"/>
    </xf>
    <xf numFmtId="4" fontId="68" fillId="8" borderId="1" xfId="0" quotePrefix="1" applyNumberFormat="1" applyFont="1" applyFill="1" applyBorder="1" applyAlignment="1">
      <alignment vertical="center"/>
    </xf>
    <xf numFmtId="0" fontId="68" fillId="5" borderId="3" xfId="0" applyFont="1" applyFill="1" applyBorder="1" applyAlignment="1">
      <alignment horizontal="center" vertical="center"/>
    </xf>
    <xf numFmtId="164" fontId="68" fillId="5" borderId="3" xfId="0" applyNumberFormat="1" applyFont="1" applyFill="1" applyBorder="1" applyAlignment="1">
      <alignment horizontal="center" vertical="center"/>
    </xf>
    <xf numFmtId="164" fontId="68" fillId="7" borderId="1" xfId="0" applyNumberFormat="1" applyFont="1" applyFill="1" applyBorder="1" applyAlignment="1">
      <alignment horizontal="center" vertical="center" wrapText="1"/>
    </xf>
    <xf numFmtId="0" fontId="68" fillId="5" borderId="3" xfId="0" applyFont="1" applyFill="1" applyBorder="1" applyAlignment="1">
      <alignment vertical="center"/>
    </xf>
    <xf numFmtId="4" fontId="74" fillId="8" borderId="3" xfId="0" applyNumberFormat="1" applyFont="1" applyFill="1" applyBorder="1" applyAlignment="1">
      <alignment vertical="center"/>
    </xf>
    <xf numFmtId="4" fontId="68" fillId="7" borderId="4" xfId="0" applyNumberFormat="1" applyFont="1" applyFill="1" applyBorder="1" applyAlignment="1">
      <alignment vertical="center"/>
    </xf>
    <xf numFmtId="4" fontId="75" fillId="8" borderId="4" xfId="0" applyNumberFormat="1" applyFont="1" applyFill="1" applyBorder="1" applyAlignment="1">
      <alignment vertical="center"/>
    </xf>
    <xf numFmtId="0" fontId="68" fillId="8" borderId="3" xfId="0" applyFont="1" applyFill="1" applyBorder="1" applyAlignment="1">
      <alignment vertical="center"/>
    </xf>
    <xf numFmtId="164" fontId="68" fillId="7" borderId="4" xfId="0" applyNumberFormat="1" applyFont="1" applyFill="1" applyBorder="1" applyAlignment="1">
      <alignment horizontal="center" vertical="center"/>
    </xf>
    <xf numFmtId="0" fontId="76" fillId="5" borderId="3" xfId="0" quotePrefix="1" applyFont="1" applyFill="1" applyBorder="1" applyAlignment="1">
      <alignment vertical="center"/>
    </xf>
    <xf numFmtId="4" fontId="80" fillId="2" borderId="1" xfId="0" applyNumberFormat="1" applyFont="1" applyFill="1" applyBorder="1" applyAlignment="1">
      <alignment vertical="center"/>
    </xf>
    <xf numFmtId="4" fontId="80" fillId="2" borderId="3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4" fontId="0" fillId="7" borderId="4" xfId="0" applyNumberFormat="1" applyFill="1" applyBorder="1" applyAlignment="1">
      <alignment vertical="center"/>
    </xf>
    <xf numFmtId="0" fontId="68" fillId="7" borderId="4" xfId="0" applyFont="1" applyFill="1" applyBorder="1" applyAlignment="1">
      <alignment horizontal="center" vertical="center"/>
    </xf>
    <xf numFmtId="4" fontId="68" fillId="6" borderId="4" xfId="0" applyNumberFormat="1" applyFont="1" applyFill="1" applyBorder="1" applyAlignment="1">
      <alignment vertical="center"/>
    </xf>
    <xf numFmtId="0" fontId="68" fillId="8" borderId="4" xfId="0" applyFont="1" applyFill="1" applyBorder="1" applyAlignment="1">
      <alignment vertical="center"/>
    </xf>
    <xf numFmtId="4" fontId="68" fillId="7" borderId="1" xfId="0" quotePrefix="1" applyNumberFormat="1" applyFont="1" applyFill="1" applyBorder="1" applyAlignment="1">
      <alignment horizontal="right" vertical="center"/>
    </xf>
    <xf numFmtId="0" fontId="68" fillId="0" borderId="0" xfId="0" applyFont="1" applyAlignment="1">
      <alignment horizontal="center" vertical="center"/>
    </xf>
    <xf numFmtId="0" fontId="68" fillId="7" borderId="4" xfId="0" applyFont="1" applyFill="1" applyBorder="1" applyAlignment="1">
      <alignment vertical="center"/>
    </xf>
    <xf numFmtId="4" fontId="75" fillId="7" borderId="4" xfId="0" applyNumberFormat="1" applyFont="1" applyFill="1" applyBorder="1" applyAlignment="1">
      <alignment vertical="center"/>
    </xf>
    <xf numFmtId="0" fontId="76" fillId="8" borderId="1" xfId="0" quotePrefix="1" applyFont="1" applyFill="1" applyBorder="1" applyAlignment="1">
      <alignment vertical="center"/>
    </xf>
    <xf numFmtId="0" fontId="76" fillId="5" borderId="4" xfId="0" quotePrefix="1" applyFont="1" applyFill="1" applyBorder="1" applyAlignment="1">
      <alignment vertical="center"/>
    </xf>
    <xf numFmtId="0" fontId="68" fillId="5" borderId="1" xfId="0" applyFont="1" applyFill="1" applyBorder="1" applyAlignment="1">
      <alignment vertical="center"/>
    </xf>
    <xf numFmtId="0" fontId="68" fillId="5" borderId="1" xfId="0" applyFont="1" applyFill="1" applyBorder="1" applyAlignment="1">
      <alignment horizontal="center" vertical="center"/>
    </xf>
    <xf numFmtId="0" fontId="76" fillId="0" borderId="0" xfId="0" applyFont="1" applyAlignment="1">
      <alignment horizontal="right" vertical="center"/>
    </xf>
    <xf numFmtId="0" fontId="76" fillId="8" borderId="1" xfId="0" quotePrefix="1" applyFont="1" applyFill="1" applyBorder="1" applyAlignment="1">
      <alignment horizontal="left" vertical="center"/>
    </xf>
    <xf numFmtId="4" fontId="76" fillId="5" borderId="4" xfId="0" applyNumberFormat="1" applyFont="1" applyFill="1" applyBorder="1" applyAlignment="1">
      <alignment horizontal="right" vertical="center"/>
    </xf>
    <xf numFmtId="4" fontId="74" fillId="8" borderId="5" xfId="0" applyNumberFormat="1" applyFont="1" applyFill="1" applyBorder="1" applyAlignment="1">
      <alignment horizontal="right" vertical="center"/>
    </xf>
    <xf numFmtId="0" fontId="76" fillId="8" borderId="5" xfId="0" quotePrefix="1" applyFont="1" applyFill="1" applyBorder="1" applyAlignment="1">
      <alignment vertical="center"/>
    </xf>
    <xf numFmtId="4" fontId="71" fillId="0" borderId="2" xfId="0" applyNumberFormat="1" applyFont="1" applyBorder="1" applyAlignment="1">
      <alignment vertical="center"/>
    </xf>
    <xf numFmtId="0" fontId="76" fillId="6" borderId="1" xfId="0" applyFont="1" applyFill="1" applyBorder="1" applyAlignment="1">
      <alignment vertical="center"/>
    </xf>
    <xf numFmtId="4" fontId="76" fillId="8" borderId="4" xfId="0" applyNumberFormat="1" applyFont="1" applyFill="1" applyBorder="1" applyAlignment="1">
      <alignment vertical="center"/>
    </xf>
    <xf numFmtId="0" fontId="76" fillId="8" borderId="4" xfId="0" quotePrefix="1" applyFont="1" applyFill="1" applyBorder="1" applyAlignment="1">
      <alignment vertical="center"/>
    </xf>
    <xf numFmtId="4" fontId="74" fillId="5" borderId="1" xfId="0" applyNumberFormat="1" applyFont="1" applyFill="1" applyBorder="1" applyAlignment="1">
      <alignment vertical="center"/>
    </xf>
    <xf numFmtId="4" fontId="83" fillId="2" borderId="1" xfId="0" applyNumberFormat="1" applyFont="1" applyFill="1" applyBorder="1" applyAlignment="1">
      <alignment vertical="center"/>
    </xf>
    <xf numFmtId="4" fontId="83" fillId="2" borderId="3" xfId="0" applyNumberFormat="1" applyFont="1" applyFill="1" applyBorder="1" applyAlignment="1">
      <alignment vertical="center"/>
    </xf>
    <xf numFmtId="4" fontId="84" fillId="2" borderId="1" xfId="0" applyNumberFormat="1" applyFont="1" applyFill="1" applyBorder="1" applyAlignment="1">
      <alignment vertical="center"/>
    </xf>
    <xf numFmtId="4" fontId="84" fillId="2" borderId="3" xfId="0" applyNumberFormat="1" applyFont="1" applyFill="1" applyBorder="1" applyAlignment="1">
      <alignment vertical="center"/>
    </xf>
    <xf numFmtId="4" fontId="80" fillId="8" borderId="1" xfId="0" applyNumberFormat="1" applyFont="1" applyFill="1" applyBorder="1" applyAlignment="1">
      <alignment vertical="center"/>
    </xf>
    <xf numFmtId="4" fontId="86" fillId="2" borderId="1" xfId="0" applyNumberFormat="1" applyFont="1" applyFill="1" applyBorder="1" applyAlignment="1">
      <alignment vertical="center"/>
    </xf>
    <xf numFmtId="4" fontId="86" fillId="2" borderId="3" xfId="0" applyNumberFormat="1" applyFont="1" applyFill="1" applyBorder="1" applyAlignment="1">
      <alignment vertical="center"/>
    </xf>
    <xf numFmtId="0" fontId="76" fillId="8" borderId="3" xfId="0" quotePrefix="1" applyFont="1" applyFill="1" applyBorder="1" applyAlignment="1">
      <alignment vertical="center"/>
    </xf>
    <xf numFmtId="4" fontId="76" fillId="0" borderId="1" xfId="0" applyNumberFormat="1" applyFont="1" applyFill="1" applyBorder="1" applyAlignment="1">
      <alignment vertical="center"/>
    </xf>
    <xf numFmtId="0" fontId="68" fillId="0" borderId="1" xfId="0" applyFont="1" applyFill="1" applyBorder="1" applyAlignment="1">
      <alignment vertical="center"/>
    </xf>
    <xf numFmtId="4" fontId="68" fillId="0" borderId="1" xfId="0" applyNumberFormat="1" applyFont="1" applyFill="1" applyBorder="1" applyAlignment="1">
      <alignment vertical="center"/>
    </xf>
    <xf numFmtId="4" fontId="76" fillId="5" borderId="1" xfId="0" applyNumberFormat="1" applyFont="1" applyFill="1" applyBorder="1" applyAlignment="1">
      <alignment horizontal="right" vertical="center"/>
    </xf>
    <xf numFmtId="4" fontId="80" fillId="6" borderId="1" xfId="0" applyNumberFormat="1" applyFont="1" applyFill="1" applyBorder="1" applyAlignment="1">
      <alignment vertical="center"/>
    </xf>
    <xf numFmtId="0" fontId="68" fillId="0" borderId="3" xfId="0" applyFont="1" applyFill="1" applyBorder="1" applyAlignment="1">
      <alignment vertical="center"/>
    </xf>
    <xf numFmtId="0" fontId="68" fillId="0" borderId="1" xfId="0" applyFont="1" applyFill="1" applyBorder="1" applyAlignment="1">
      <alignment horizontal="center" vertical="center"/>
    </xf>
    <xf numFmtId="164" fontId="68" fillId="0" borderId="1" xfId="0" applyNumberFormat="1" applyFont="1" applyFill="1" applyBorder="1" applyAlignment="1">
      <alignment horizontal="center" vertical="center"/>
    </xf>
    <xf numFmtId="164" fontId="68" fillId="0" borderId="3" xfId="0" applyNumberFormat="1" applyFont="1" applyFill="1" applyBorder="1" applyAlignment="1">
      <alignment horizontal="center" vertical="center"/>
    </xf>
    <xf numFmtId="4" fontId="68" fillId="0" borderId="3" xfId="0" applyNumberFormat="1" applyFont="1" applyFill="1" applyBorder="1" applyAlignment="1">
      <alignment vertical="center"/>
    </xf>
    <xf numFmtId="4" fontId="61" fillId="0" borderId="1" xfId="0" applyNumberFormat="1" applyFont="1" applyFill="1" applyBorder="1" applyAlignment="1">
      <alignment vertical="center"/>
    </xf>
    <xf numFmtId="4" fontId="61" fillId="8" borderId="1" xfId="0" applyNumberFormat="1" applyFont="1" applyFill="1" applyBorder="1" applyAlignment="1">
      <alignment vertical="center"/>
    </xf>
    <xf numFmtId="4" fontId="61" fillId="6" borderId="1" xfId="0" applyNumberFormat="1" applyFont="1" applyFill="1" applyBorder="1" applyAlignment="1">
      <alignment vertical="center"/>
    </xf>
    <xf numFmtId="0" fontId="61" fillId="8" borderId="1" xfId="0" applyFont="1" applyFill="1" applyBorder="1" applyAlignment="1">
      <alignment vertical="center"/>
    </xf>
    <xf numFmtId="4" fontId="71" fillId="0" borderId="0" xfId="0" applyNumberFormat="1" applyFont="1" applyAlignment="1">
      <alignment vertical="center"/>
    </xf>
    <xf numFmtId="0" fontId="71" fillId="0" borderId="0" xfId="0" applyFont="1" applyAlignment="1">
      <alignment horizontal="right" vertical="center"/>
    </xf>
    <xf numFmtId="4" fontId="60" fillId="0" borderId="1" xfId="0" applyNumberFormat="1" applyFont="1" applyFill="1" applyBorder="1" applyAlignment="1">
      <alignment vertical="center"/>
    </xf>
    <xf numFmtId="4" fontId="86" fillId="8" borderId="3" xfId="0" applyNumberFormat="1" applyFont="1" applyFill="1" applyBorder="1" applyAlignment="1">
      <alignment vertical="center"/>
    </xf>
    <xf numFmtId="4" fontId="71" fillId="0" borderId="0" xfId="0" applyNumberFormat="1" applyFont="1" applyBorder="1" applyAlignment="1">
      <alignment horizontal="center" vertical="center"/>
    </xf>
    <xf numFmtId="4" fontId="76" fillId="0" borderId="0" xfId="0" applyNumberFormat="1" applyFont="1" applyBorder="1" applyAlignment="1">
      <alignment horizontal="center" vertical="center"/>
    </xf>
    <xf numFmtId="4" fontId="74" fillId="6" borderId="3" xfId="0" applyNumberFormat="1" applyFont="1" applyFill="1" applyBorder="1" applyAlignment="1">
      <alignment vertical="center"/>
    </xf>
    <xf numFmtId="4" fontId="85" fillId="2" borderId="3" xfId="0" applyNumberFormat="1" applyFont="1" applyFill="1" applyBorder="1" applyAlignment="1">
      <alignment vertical="center"/>
    </xf>
    <xf numFmtId="4" fontId="61" fillId="0" borderId="3" xfId="0" applyNumberFormat="1" applyFont="1" applyFill="1" applyBorder="1" applyAlignment="1">
      <alignment vertical="center"/>
    </xf>
    <xf numFmtId="4" fontId="80" fillId="5" borderId="3" xfId="0" applyNumberFormat="1" applyFont="1" applyFill="1" applyBorder="1" applyAlignment="1">
      <alignment vertical="center"/>
    </xf>
    <xf numFmtId="4" fontId="76" fillId="8" borderId="3" xfId="0" applyNumberFormat="1" applyFont="1" applyFill="1" applyBorder="1" applyAlignment="1">
      <alignment horizontal="center" vertical="center"/>
    </xf>
    <xf numFmtId="4" fontId="74" fillId="5" borderId="1" xfId="0" applyNumberFormat="1" applyFont="1" applyFill="1" applyBorder="1" applyAlignment="1">
      <alignment horizontal="right" vertical="center"/>
    </xf>
    <xf numFmtId="4" fontId="74" fillId="8" borderId="1" xfId="0" applyNumberFormat="1" applyFont="1" applyFill="1" applyBorder="1" applyAlignment="1">
      <alignment horizontal="center" vertical="center"/>
    </xf>
    <xf numFmtId="4" fontId="88" fillId="5" borderId="1" xfId="0" applyNumberFormat="1" applyFont="1" applyFill="1" applyBorder="1" applyAlignment="1">
      <alignment vertical="center"/>
    </xf>
    <xf numFmtId="4" fontId="89" fillId="2" borderId="1" xfId="0" applyNumberFormat="1" applyFont="1" applyFill="1" applyBorder="1" applyAlignment="1">
      <alignment vertical="center"/>
    </xf>
    <xf numFmtId="4" fontId="89" fillId="2" borderId="3" xfId="0" applyNumberFormat="1" applyFont="1" applyFill="1" applyBorder="1" applyAlignment="1">
      <alignment vertical="center"/>
    </xf>
    <xf numFmtId="4" fontId="57" fillId="0" borderId="1" xfId="0" applyNumberFormat="1" applyFont="1" applyFill="1" applyBorder="1" applyAlignment="1">
      <alignment vertical="center"/>
    </xf>
    <xf numFmtId="4" fontId="56" fillId="0" borderId="1" xfId="0" applyNumberFormat="1" applyFont="1" applyFill="1" applyBorder="1" applyAlignment="1">
      <alignment vertical="center"/>
    </xf>
    <xf numFmtId="4" fontId="71" fillId="0" borderId="0" xfId="0" applyNumberFormat="1" applyFont="1" applyBorder="1" applyAlignment="1">
      <alignment vertical="center"/>
    </xf>
    <xf numFmtId="4" fontId="55" fillId="0" borderId="1" xfId="0" applyNumberFormat="1" applyFont="1" applyFill="1" applyBorder="1" applyAlignment="1">
      <alignment vertical="center"/>
    </xf>
    <xf numFmtId="4" fontId="90" fillId="2" borderId="1" xfId="0" applyNumberFormat="1" applyFont="1" applyFill="1" applyBorder="1" applyAlignment="1">
      <alignment vertical="center"/>
    </xf>
    <xf numFmtId="4" fontId="90" fillId="2" borderId="3" xfId="0" applyNumberFormat="1" applyFont="1" applyFill="1" applyBorder="1" applyAlignment="1">
      <alignment vertical="center"/>
    </xf>
    <xf numFmtId="0" fontId="54" fillId="7" borderId="1" xfId="0" applyFont="1" applyFill="1" applyBorder="1" applyAlignment="1">
      <alignment vertical="center"/>
    </xf>
    <xf numFmtId="4" fontId="53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" fontId="72" fillId="0" borderId="0" xfId="0" applyNumberFormat="1" applyFont="1" applyAlignment="1">
      <alignment vertical="center"/>
    </xf>
    <xf numFmtId="4" fontId="91" fillId="2" borderId="3" xfId="0" applyNumberFormat="1" applyFont="1" applyFill="1" applyBorder="1" applyAlignment="1">
      <alignment vertical="center"/>
    </xf>
    <xf numFmtId="4" fontId="92" fillId="5" borderId="3" xfId="0" applyNumberFormat="1" applyFont="1" applyFill="1" applyBorder="1" applyAlignment="1">
      <alignment vertical="center"/>
    </xf>
    <xf numFmtId="4" fontId="52" fillId="0" borderId="3" xfId="0" applyNumberFormat="1" applyFont="1" applyFill="1" applyBorder="1" applyAlignment="1">
      <alignment vertical="center"/>
    </xf>
    <xf numFmtId="4" fontId="93" fillId="2" borderId="1" xfId="0" applyNumberFormat="1" applyFont="1" applyFill="1" applyBorder="1" applyAlignment="1">
      <alignment vertical="center"/>
    </xf>
    <xf numFmtId="4" fontId="93" fillId="2" borderId="3" xfId="0" applyNumberFormat="1" applyFont="1" applyFill="1" applyBorder="1" applyAlignment="1">
      <alignment vertical="center"/>
    </xf>
    <xf numFmtId="4" fontId="51" fillId="0" borderId="1" xfId="0" applyNumberFormat="1" applyFont="1" applyFill="1" applyBorder="1" applyAlignment="1">
      <alignment vertical="center"/>
    </xf>
    <xf numFmtId="4" fontId="68" fillId="5" borderId="1" xfId="0" applyNumberFormat="1" applyFont="1" applyFill="1" applyBorder="1" applyAlignment="1">
      <alignment vertical="center"/>
    </xf>
    <xf numFmtId="4" fontId="62" fillId="7" borderId="4" xfId="0" applyNumberFormat="1" applyFont="1" applyFill="1" applyBorder="1" applyAlignment="1">
      <alignment horizontal="right" vertical="center"/>
    </xf>
    <xf numFmtId="0" fontId="68" fillId="9" borderId="0" xfId="0" applyFont="1" applyFill="1" applyAlignment="1">
      <alignment horizontal="center" vertical="center"/>
    </xf>
    <xf numFmtId="4" fontId="0" fillId="9" borderId="0" xfId="0" applyNumberFormat="1" applyFill="1" applyAlignment="1">
      <alignment vertical="center"/>
    </xf>
    <xf numFmtId="0" fontId="69" fillId="0" borderId="0" xfId="0" applyFont="1" applyAlignment="1">
      <alignment vertical="center"/>
    </xf>
    <xf numFmtId="4" fontId="61" fillId="6" borderId="3" xfId="0" applyNumberFormat="1" applyFont="1" applyFill="1" applyBorder="1" applyAlignment="1">
      <alignment vertical="center"/>
    </xf>
    <xf numFmtId="4" fontId="61" fillId="8" borderId="3" xfId="0" applyNumberFormat="1" applyFont="1" applyFill="1" applyBorder="1" applyAlignment="1">
      <alignment vertical="center"/>
    </xf>
    <xf numFmtId="4" fontId="76" fillId="4" borderId="1" xfId="0" applyNumberFormat="1" applyFont="1" applyFill="1" applyBorder="1" applyAlignment="1">
      <alignment horizontal="right" vertical="center"/>
    </xf>
    <xf numFmtId="0" fontId="76" fillId="5" borderId="1" xfId="0" applyFont="1" applyFill="1" applyBorder="1" applyAlignment="1">
      <alignment horizontal="left" vertical="center"/>
    </xf>
    <xf numFmtId="164" fontId="68" fillId="10" borderId="4" xfId="0" applyNumberFormat="1" applyFont="1" applyFill="1" applyBorder="1" applyAlignment="1">
      <alignment horizontal="center" vertical="center"/>
    </xf>
    <xf numFmtId="4" fontId="74" fillId="6" borderId="4" xfId="0" applyNumberFormat="1" applyFont="1" applyFill="1" applyBorder="1" applyAlignment="1">
      <alignment horizontal="right" vertical="center"/>
    </xf>
    <xf numFmtId="4" fontId="75" fillId="0" borderId="1" xfId="0" applyNumberFormat="1" applyFont="1" applyBorder="1" applyAlignment="1">
      <alignment vertical="center"/>
    </xf>
    <xf numFmtId="0" fontId="68" fillId="12" borderId="1" xfId="0" applyFont="1" applyFill="1" applyBorder="1" applyAlignment="1">
      <alignment vertical="center"/>
    </xf>
    <xf numFmtId="4" fontId="58" fillId="0" borderId="1" xfId="0" applyNumberFormat="1" applyFont="1" applyFill="1" applyBorder="1" applyAlignment="1">
      <alignment vertical="center"/>
    </xf>
    <xf numFmtId="4" fontId="50" fillId="7" borderId="3" xfId="0" applyNumberFormat="1" applyFont="1" applyFill="1" applyBorder="1" applyAlignment="1">
      <alignment vertical="center"/>
    </xf>
    <xf numFmtId="164" fontId="68" fillId="5" borderId="1" xfId="0" applyNumberFormat="1" applyFont="1" applyFill="1" applyBorder="1" applyAlignment="1">
      <alignment horizontal="center" vertical="center"/>
    </xf>
    <xf numFmtId="164" fontId="68" fillId="13" borderId="1" xfId="0" applyNumberFormat="1" applyFont="1" applyFill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7" fillId="0" borderId="1" xfId="0" applyFont="1" applyBorder="1" applyAlignment="1">
      <alignment horizontal="center" vertical="center" wrapText="1"/>
    </xf>
    <xf numFmtId="4" fontId="48" fillId="0" borderId="1" xfId="0" applyNumberFormat="1" applyFont="1" applyFill="1" applyBorder="1" applyAlignment="1">
      <alignment vertical="center"/>
    </xf>
    <xf numFmtId="4" fontId="47" fillId="0" borderId="1" xfId="0" applyNumberFormat="1" applyFont="1" applyFill="1" applyBorder="1" applyAlignment="1">
      <alignment vertical="center"/>
    </xf>
    <xf numFmtId="4" fontId="46" fillId="0" borderId="1" xfId="0" applyNumberFormat="1" applyFont="1" applyFill="1" applyBorder="1" applyAlignment="1">
      <alignment vertical="center"/>
    </xf>
    <xf numFmtId="4" fontId="71" fillId="0" borderId="1" xfId="0" applyNumberFormat="1" applyFont="1" applyBorder="1" applyAlignment="1">
      <alignment horizontal="center" vertical="center"/>
    </xf>
    <xf numFmtId="0" fontId="75" fillId="7" borderId="4" xfId="0" applyFont="1" applyFill="1" applyBorder="1" applyAlignment="1">
      <alignment vertical="center"/>
    </xf>
    <xf numFmtId="4" fontId="68" fillId="5" borderId="3" xfId="0" applyNumberFormat="1" applyFont="1" applyFill="1" applyBorder="1" applyAlignment="1">
      <alignment vertical="center"/>
    </xf>
    <xf numFmtId="165" fontId="68" fillId="7" borderId="1" xfId="0" applyNumberFormat="1" applyFont="1" applyFill="1" applyBorder="1" applyAlignment="1">
      <alignment horizontal="right" vertical="center"/>
    </xf>
    <xf numFmtId="4" fontId="54" fillId="8" borderId="1" xfId="0" applyNumberFormat="1" applyFont="1" applyFill="1" applyBorder="1" applyAlignment="1">
      <alignment vertical="center"/>
    </xf>
    <xf numFmtId="4" fontId="45" fillId="8" borderId="1" xfId="0" applyNumberFormat="1" applyFont="1" applyFill="1" applyBorder="1" applyAlignment="1">
      <alignment vertical="center"/>
    </xf>
    <xf numFmtId="4" fontId="71" fillId="0" borderId="1" xfId="0" applyNumberFormat="1" applyFont="1" applyBorder="1" applyAlignment="1">
      <alignment horizontal="right" vertical="center"/>
    </xf>
    <xf numFmtId="0" fontId="68" fillId="0" borderId="3" xfId="0" applyFont="1" applyFill="1" applyBorder="1" applyAlignment="1">
      <alignment horizontal="center" vertical="center"/>
    </xf>
    <xf numFmtId="4" fontId="59" fillId="7" borderId="1" xfId="0" applyNumberFormat="1" applyFont="1" applyFill="1" applyBorder="1" applyAlignment="1">
      <alignment vertical="center"/>
    </xf>
    <xf numFmtId="4" fontId="49" fillId="6" borderId="1" xfId="0" applyNumberFormat="1" applyFont="1" applyFill="1" applyBorder="1" applyAlignment="1">
      <alignment vertical="center"/>
    </xf>
    <xf numFmtId="4" fontId="43" fillId="0" borderId="1" xfId="0" applyNumberFormat="1" applyFont="1" applyFill="1" applyBorder="1" applyAlignment="1">
      <alignment vertical="center"/>
    </xf>
    <xf numFmtId="0" fontId="68" fillId="0" borderId="0" xfId="0" applyFont="1"/>
    <xf numFmtId="0" fontId="71" fillId="0" borderId="0" xfId="0" applyFont="1"/>
    <xf numFmtId="4" fontId="71" fillId="0" borderId="0" xfId="0" applyNumberFormat="1" applyFont="1"/>
    <xf numFmtId="0" fontId="0" fillId="0" borderId="0" xfId="0" quotePrefix="1"/>
    <xf numFmtId="4" fontId="80" fillId="8" borderId="3" xfId="0" applyNumberFormat="1" applyFont="1" applyFill="1" applyBorder="1" applyAlignment="1">
      <alignment vertical="center"/>
    </xf>
    <xf numFmtId="4" fontId="42" fillId="0" borderId="1" xfId="0" applyNumberFormat="1" applyFont="1" applyFill="1" applyBorder="1" applyAlignment="1">
      <alignment vertical="center"/>
    </xf>
    <xf numFmtId="4" fontId="95" fillId="2" borderId="1" xfId="0" applyNumberFormat="1" applyFont="1" applyFill="1" applyBorder="1" applyAlignment="1">
      <alignment vertical="center"/>
    </xf>
    <xf numFmtId="4" fontId="95" fillId="2" borderId="3" xfId="0" applyNumberFormat="1" applyFont="1" applyFill="1" applyBorder="1" applyAlignment="1">
      <alignment vertical="center"/>
    </xf>
    <xf numFmtId="4" fontId="68" fillId="9" borderId="0" xfId="0" applyNumberFormat="1" applyFont="1" applyFill="1" applyAlignment="1">
      <alignment vertical="center"/>
    </xf>
    <xf numFmtId="164" fontId="68" fillId="9" borderId="0" xfId="0" applyNumberFormat="1" applyFont="1" applyFill="1" applyAlignment="1">
      <alignment horizontal="center" vertical="center"/>
    </xf>
    <xf numFmtId="164" fontId="68" fillId="0" borderId="0" xfId="0" applyNumberFormat="1" applyFont="1" applyFill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4" fontId="40" fillId="0" borderId="1" xfId="0" applyNumberFormat="1" applyFont="1" applyFill="1" applyBorder="1" applyAlignment="1">
      <alignment vertical="center"/>
    </xf>
    <xf numFmtId="4" fontId="96" fillId="2" borderId="1" xfId="0" applyNumberFormat="1" applyFont="1" applyFill="1" applyBorder="1" applyAlignment="1">
      <alignment vertical="center"/>
    </xf>
    <xf numFmtId="4" fontId="96" fillId="2" borderId="3" xfId="0" applyNumberFormat="1" applyFont="1" applyFill="1" applyBorder="1" applyAlignment="1">
      <alignment vertical="center"/>
    </xf>
    <xf numFmtId="4" fontId="39" fillId="0" borderId="1" xfId="0" applyNumberFormat="1" applyFont="1" applyFill="1" applyBorder="1" applyAlignment="1">
      <alignment vertical="center"/>
    </xf>
    <xf numFmtId="4" fontId="38" fillId="0" borderId="1" xfId="0" applyNumberFormat="1" applyFont="1" applyFill="1" applyBorder="1" applyAlignment="1">
      <alignment vertical="center"/>
    </xf>
    <xf numFmtId="4" fontId="37" fillId="0" borderId="1" xfId="0" applyNumberFormat="1" applyFont="1" applyFill="1" applyBorder="1" applyAlignment="1">
      <alignment vertical="center"/>
    </xf>
    <xf numFmtId="4" fontId="80" fillId="6" borderId="3" xfId="0" applyNumberFormat="1" applyFont="1" applyFill="1" applyBorder="1" applyAlignment="1">
      <alignment vertical="center"/>
    </xf>
    <xf numFmtId="4" fontId="97" fillId="2" borderId="1" xfId="0" applyNumberFormat="1" applyFont="1" applyFill="1" applyBorder="1" applyAlignment="1">
      <alignment vertical="center"/>
    </xf>
    <xf numFmtId="4" fontId="97" fillId="2" borderId="3" xfId="0" applyNumberFormat="1" applyFont="1" applyFill="1" applyBorder="1" applyAlignment="1">
      <alignment vertical="center"/>
    </xf>
    <xf numFmtId="4" fontId="35" fillId="0" borderId="1" xfId="0" applyNumberFormat="1" applyFont="1" applyFill="1" applyBorder="1" applyAlignment="1">
      <alignment vertical="center"/>
    </xf>
    <xf numFmtId="4" fontId="68" fillId="9" borderId="0" xfId="0" applyNumberFormat="1" applyFont="1" applyFill="1" applyAlignment="1">
      <alignment horizontal="center" vertical="center"/>
    </xf>
    <xf numFmtId="4" fontId="66" fillId="8" borderId="3" xfId="0" applyNumberFormat="1" applyFont="1" applyFill="1" applyBorder="1" applyAlignment="1">
      <alignment vertical="center"/>
    </xf>
    <xf numFmtId="4" fontId="76" fillId="8" borderId="3" xfId="0" applyNumberFormat="1" applyFont="1" applyFill="1" applyBorder="1" applyAlignment="1">
      <alignment horizontal="right" vertical="center"/>
    </xf>
    <xf numFmtId="4" fontId="98" fillId="2" borderId="1" xfId="0" applyNumberFormat="1" applyFont="1" applyFill="1" applyBorder="1" applyAlignment="1">
      <alignment vertical="center"/>
    </xf>
    <xf numFmtId="4" fontId="98" fillId="2" borderId="3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" fontId="74" fillId="0" borderId="3" xfId="0" applyNumberFormat="1" applyFont="1" applyFill="1" applyBorder="1" applyAlignment="1">
      <alignment vertical="center"/>
    </xf>
    <xf numFmtId="4" fontId="74" fillId="0" borderId="1" xfId="0" applyNumberFormat="1" applyFont="1" applyFill="1" applyBorder="1" applyAlignment="1">
      <alignment vertical="center"/>
    </xf>
    <xf numFmtId="4" fontId="74" fillId="0" borderId="1" xfId="0" applyNumberFormat="1" applyFont="1" applyFill="1" applyBorder="1" applyAlignment="1">
      <alignment horizontal="right" vertical="center"/>
    </xf>
    <xf numFmtId="4" fontId="76" fillId="0" borderId="3" xfId="0" applyNumberFormat="1" applyFont="1" applyFill="1" applyBorder="1" applyAlignment="1">
      <alignment vertical="center"/>
    </xf>
    <xf numFmtId="4" fontId="80" fillId="0" borderId="3" xfId="0" applyNumberFormat="1" applyFont="1" applyFill="1" applyBorder="1" applyAlignment="1">
      <alignment vertical="center"/>
    </xf>
    <xf numFmtId="4" fontId="44" fillId="8" borderId="1" xfId="0" applyNumberFormat="1" applyFont="1" applyFill="1" applyBorder="1" applyAlignment="1">
      <alignment vertical="center"/>
    </xf>
    <xf numFmtId="4" fontId="36" fillId="8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4" fontId="32" fillId="0" borderId="1" xfId="0" applyNumberFormat="1" applyFont="1" applyFill="1" applyBorder="1" applyAlignment="1">
      <alignment vertical="center"/>
    </xf>
    <xf numFmtId="0" fontId="32" fillId="5" borderId="1" xfId="0" applyFont="1" applyFill="1" applyBorder="1" applyAlignment="1">
      <alignment vertical="center"/>
    </xf>
    <xf numFmtId="4" fontId="68" fillId="7" borderId="1" xfId="0" quotePrefix="1" applyNumberFormat="1" applyFont="1" applyFill="1" applyBorder="1" applyAlignment="1">
      <alignment vertical="center"/>
    </xf>
    <xf numFmtId="0" fontId="65" fillId="7" borderId="1" xfId="0" applyFont="1" applyFill="1" applyBorder="1" applyAlignment="1">
      <alignment vertical="center"/>
    </xf>
    <xf numFmtId="0" fontId="64" fillId="7" borderId="1" xfId="0" applyFont="1" applyFill="1" applyBorder="1" applyAlignment="1">
      <alignment vertical="center"/>
    </xf>
    <xf numFmtId="0" fontId="64" fillId="7" borderId="1" xfId="0" applyFont="1" applyFill="1" applyBorder="1" applyAlignment="1">
      <alignment horizontal="center" vertical="center"/>
    </xf>
    <xf numFmtId="4" fontId="31" fillId="0" borderId="1" xfId="0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4" fontId="30" fillId="0" borderId="1" xfId="0" applyNumberFormat="1" applyFont="1" applyFill="1" applyBorder="1" applyAlignment="1">
      <alignment vertical="center"/>
    </xf>
    <xf numFmtId="4" fontId="76" fillId="8" borderId="4" xfId="0" applyNumberFormat="1" applyFont="1" applyFill="1" applyBorder="1" applyAlignment="1">
      <alignment horizontal="right" vertical="center"/>
    </xf>
    <xf numFmtId="4" fontId="99" fillId="2" borderId="1" xfId="0" applyNumberFormat="1" applyFont="1" applyFill="1" applyBorder="1" applyAlignment="1">
      <alignment vertical="center"/>
    </xf>
    <xf numFmtId="4" fontId="99" fillId="2" borderId="3" xfId="0" applyNumberFormat="1" applyFont="1" applyFill="1" applyBorder="1" applyAlignment="1">
      <alignment vertical="center"/>
    </xf>
    <xf numFmtId="0" fontId="99" fillId="8" borderId="1" xfId="0" applyNumberFormat="1" applyFont="1" applyFill="1" applyBorder="1" applyAlignment="1">
      <alignment vertical="center"/>
    </xf>
    <xf numFmtId="4" fontId="29" fillId="8" borderId="1" xfId="0" applyNumberFormat="1" applyFont="1" applyFill="1" applyBorder="1" applyAlignment="1">
      <alignment vertical="center"/>
    </xf>
    <xf numFmtId="4" fontId="68" fillId="0" borderId="1" xfId="0" applyNumberFormat="1" applyFont="1" applyFill="1" applyBorder="1" applyAlignment="1">
      <alignment horizontal="right" vertical="center"/>
    </xf>
    <xf numFmtId="4" fontId="100" fillId="5" borderId="1" xfId="0" applyNumberFormat="1" applyFont="1" applyFill="1" applyBorder="1" applyAlignment="1">
      <alignment vertical="center"/>
    </xf>
    <xf numFmtId="4" fontId="28" fillId="0" borderId="1" xfId="0" applyNumberFormat="1" applyFont="1" applyFill="1" applyBorder="1" applyAlignment="1">
      <alignment vertical="center"/>
    </xf>
    <xf numFmtId="4" fontId="27" fillId="0" borderId="1" xfId="0" applyNumberFormat="1" applyFont="1" applyFill="1" applyBorder="1" applyAlignment="1">
      <alignment vertical="center"/>
    </xf>
    <xf numFmtId="4" fontId="26" fillId="8" borderId="1" xfId="0" applyNumberFormat="1" applyFont="1" applyFill="1" applyBorder="1" applyAlignment="1">
      <alignment vertical="center"/>
    </xf>
    <xf numFmtId="4" fontId="25" fillId="0" borderId="1" xfId="0" applyNumberFormat="1" applyFont="1" applyFill="1" applyBorder="1" applyAlignment="1">
      <alignment vertical="center"/>
    </xf>
    <xf numFmtId="4" fontId="23" fillId="8" borderId="1" xfId="0" applyNumberFormat="1" applyFont="1" applyFill="1" applyBorder="1" applyAlignment="1">
      <alignment vertical="center"/>
    </xf>
    <xf numFmtId="4" fontId="21" fillId="0" borderId="1" xfId="0" applyNumberFormat="1" applyFont="1" applyFill="1" applyBorder="1" applyAlignment="1">
      <alignment vertical="center"/>
    </xf>
    <xf numFmtId="4" fontId="20" fillId="0" borderId="1" xfId="0" applyNumberFormat="1" applyFont="1" applyFill="1" applyBorder="1" applyAlignment="1">
      <alignment vertical="center"/>
    </xf>
    <xf numFmtId="4" fontId="41" fillId="8" borderId="1" xfId="0" applyNumberFormat="1" applyFont="1" applyFill="1" applyBorder="1" applyAlignment="1">
      <alignment vertical="center"/>
    </xf>
    <xf numFmtId="4" fontId="18" fillId="8" borderId="1" xfId="0" applyNumberFormat="1" applyFont="1" applyFill="1" applyBorder="1" applyAlignment="1">
      <alignment vertical="center"/>
    </xf>
    <xf numFmtId="4" fontId="17" fillId="0" borderId="1" xfId="0" applyNumberFormat="1" applyFont="1" applyFill="1" applyBorder="1" applyAlignment="1">
      <alignment vertical="center"/>
    </xf>
    <xf numFmtId="4" fontId="15" fillId="0" borderId="1" xfId="0" applyNumberFormat="1" applyFont="1" applyFill="1" applyBorder="1" applyAlignment="1">
      <alignment vertical="center"/>
    </xf>
    <xf numFmtId="4" fontId="34" fillId="8" borderId="1" xfId="0" applyNumberFormat="1" applyFont="1" applyFill="1" applyBorder="1" applyAlignment="1">
      <alignment vertical="center"/>
    </xf>
    <xf numFmtId="4" fontId="14" fillId="0" borderId="1" xfId="0" applyNumberFormat="1" applyFont="1" applyFill="1" applyBorder="1" applyAlignment="1">
      <alignment vertical="center"/>
    </xf>
    <xf numFmtId="164" fontId="13" fillId="7" borderId="1" xfId="0" applyNumberFormat="1" applyFont="1" applyFill="1" applyBorder="1" applyAlignment="1">
      <alignment horizontal="center" vertical="center"/>
    </xf>
    <xf numFmtId="164" fontId="68" fillId="14" borderId="3" xfId="0" applyNumberFormat="1" applyFont="1" applyFill="1" applyBorder="1" applyAlignment="1">
      <alignment horizontal="center" vertical="center"/>
    </xf>
    <xf numFmtId="164" fontId="68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01" fillId="0" borderId="0" xfId="0" applyNumberFormat="1" applyFont="1" applyAlignment="1">
      <alignment vertical="center"/>
    </xf>
    <xf numFmtId="0" fontId="101" fillId="0" borderId="0" xfId="0" applyFont="1" applyAlignment="1">
      <alignment vertical="center"/>
    </xf>
    <xf numFmtId="4" fontId="68" fillId="0" borderId="0" xfId="0" applyNumberFormat="1" applyFont="1" applyAlignment="1">
      <alignment horizontal="center" vertical="center"/>
    </xf>
    <xf numFmtId="4" fontId="101" fillId="0" borderId="0" xfId="0" applyNumberFormat="1" applyFont="1" applyAlignment="1">
      <alignment horizontal="center" vertical="center"/>
    </xf>
    <xf numFmtId="4" fontId="16" fillId="8" borderId="1" xfId="0" applyNumberFormat="1" applyFont="1" applyFill="1" applyBorder="1" applyAlignment="1">
      <alignment vertical="center"/>
    </xf>
    <xf numFmtId="4" fontId="24" fillId="8" borderId="1" xfId="0" applyNumberFormat="1" applyFont="1" applyFill="1" applyBorder="1" applyAlignment="1">
      <alignment vertical="center"/>
    </xf>
    <xf numFmtId="4" fontId="22" fillId="8" borderId="1" xfId="0" applyNumberFormat="1" applyFont="1" applyFill="1" applyBorder="1" applyAlignment="1">
      <alignment vertical="center"/>
    </xf>
    <xf numFmtId="4" fontId="35" fillId="8" borderId="1" xfId="0" applyNumberFormat="1" applyFont="1" applyFill="1" applyBorder="1" applyAlignment="1">
      <alignment vertical="center"/>
    </xf>
    <xf numFmtId="4" fontId="52" fillId="8" borderId="3" xfId="0" applyNumberFormat="1" applyFont="1" applyFill="1" applyBorder="1" applyAlignment="1">
      <alignment vertical="center"/>
    </xf>
    <xf numFmtId="4" fontId="37" fillId="8" borderId="1" xfId="0" applyNumberFormat="1" applyFont="1" applyFill="1" applyBorder="1" applyAlignment="1">
      <alignment vertical="center"/>
    </xf>
    <xf numFmtId="0" fontId="68" fillId="0" borderId="0" xfId="0" applyFont="1" applyFill="1" applyAlignment="1">
      <alignment horizontal="center" vertical="center"/>
    </xf>
    <xf numFmtId="4" fontId="68" fillId="0" borderId="0" xfId="0" applyNumberFormat="1" applyFont="1" applyFill="1" applyAlignment="1">
      <alignment vertical="center"/>
    </xf>
    <xf numFmtId="4" fontId="6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NumberFormat="1" applyFill="1" applyBorder="1" applyAlignment="1">
      <alignment horizontal="center"/>
    </xf>
    <xf numFmtId="0" fontId="68" fillId="0" borderId="1" xfId="0" applyNumberFormat="1" applyFont="1" applyBorder="1" applyAlignment="1">
      <alignment horizontal="center"/>
    </xf>
    <xf numFmtId="0" fontId="68" fillId="0" borderId="0" xfId="0" applyNumberFormat="1" applyFont="1" applyAlignment="1">
      <alignment horizontal="center"/>
    </xf>
    <xf numFmtId="0" fontId="68" fillId="7" borderId="1" xfId="0" applyNumberFormat="1" applyFont="1" applyFill="1" applyBorder="1" applyAlignment="1">
      <alignment horizontal="center"/>
    </xf>
    <xf numFmtId="0" fontId="68" fillId="5" borderId="1" xfId="0" applyNumberFormat="1" applyFont="1" applyFill="1" applyBorder="1" applyAlignment="1">
      <alignment horizontal="center"/>
    </xf>
    <xf numFmtId="0" fontId="0" fillId="7" borderId="0" xfId="0" applyNumberFormat="1" applyFill="1" applyAlignment="1">
      <alignment horizontal="center"/>
    </xf>
    <xf numFmtId="4" fontId="11" fillId="0" borderId="1" xfId="0" applyNumberFormat="1" applyFont="1" applyFill="1" applyBorder="1" applyAlignment="1">
      <alignment vertical="center"/>
    </xf>
    <xf numFmtId="0" fontId="68" fillId="0" borderId="1" xfId="0" applyNumberFormat="1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vertical="center"/>
    </xf>
    <xf numFmtId="4" fontId="68" fillId="16" borderId="3" xfId="0" applyNumberFormat="1" applyFont="1" applyFill="1" applyBorder="1" applyAlignment="1">
      <alignment vertical="center"/>
    </xf>
    <xf numFmtId="0" fontId="68" fillId="0" borderId="1" xfId="1" applyNumberFormat="1" applyFont="1" applyBorder="1" applyAlignment="1">
      <alignment horizontal="center"/>
    </xf>
    <xf numFmtId="0" fontId="68" fillId="7" borderId="1" xfId="1" applyNumberFormat="1" applyFont="1" applyFill="1" applyBorder="1" applyAlignment="1">
      <alignment horizontal="center"/>
    </xf>
    <xf numFmtId="0" fontId="76" fillId="5" borderId="1" xfId="0" applyNumberFormat="1" applyFont="1" applyFill="1" applyBorder="1" applyAlignment="1">
      <alignment horizontal="center"/>
    </xf>
    <xf numFmtId="4" fontId="70" fillId="0" borderId="0" xfId="0" applyNumberFormat="1" applyFont="1" applyAlignment="1">
      <alignment vertical="center"/>
    </xf>
    <xf numFmtId="4" fontId="68" fillId="0" borderId="0" xfId="0" applyNumberFormat="1" applyFont="1" applyAlignment="1">
      <alignment vertical="center"/>
    </xf>
    <xf numFmtId="4" fontId="103" fillId="5" borderId="1" xfId="0" applyNumberFormat="1" applyFont="1" applyFill="1" applyBorder="1" applyAlignment="1">
      <alignment vertical="center"/>
    </xf>
    <xf numFmtId="0" fontId="103" fillId="5" borderId="1" xfId="0" applyFont="1" applyFill="1" applyBorder="1" applyAlignment="1">
      <alignment horizontal="center" vertical="center"/>
    </xf>
    <xf numFmtId="164" fontId="103" fillId="5" borderId="3" xfId="0" applyNumberFormat="1" applyFont="1" applyFill="1" applyBorder="1" applyAlignment="1">
      <alignment horizontal="center" vertical="center"/>
    </xf>
    <xf numFmtId="4" fontId="104" fillId="2" borderId="1" xfId="0" applyNumberFormat="1" applyFont="1" applyFill="1" applyBorder="1" applyAlignment="1">
      <alignment vertical="center"/>
    </xf>
    <xf numFmtId="4" fontId="104" fillId="2" borderId="3" xfId="0" applyNumberFormat="1" applyFont="1" applyFill="1" applyBorder="1" applyAlignment="1">
      <alignment vertical="center"/>
    </xf>
    <xf numFmtId="4" fontId="9" fillId="0" borderId="1" xfId="0" applyNumberFormat="1" applyFont="1" applyFill="1" applyBorder="1" applyAlignment="1">
      <alignment vertical="center"/>
    </xf>
    <xf numFmtId="4" fontId="105" fillId="0" borderId="0" xfId="0" applyNumberFormat="1" applyFont="1" applyAlignment="1">
      <alignment vertical="center"/>
    </xf>
    <xf numFmtId="4" fontId="7" fillId="0" borderId="1" xfId="0" applyNumberFormat="1" applyFont="1" applyFill="1" applyBorder="1" applyAlignment="1">
      <alignment vertical="center"/>
    </xf>
    <xf numFmtId="4" fontId="6" fillId="7" borderId="3" xfId="0" applyNumberFormat="1" applyFont="1" applyFill="1" applyBorder="1" applyAlignment="1">
      <alignment vertical="center"/>
    </xf>
    <xf numFmtId="4" fontId="33" fillId="8" borderId="1" xfId="0" applyNumberFormat="1" applyFont="1" applyFill="1" applyBorder="1" applyAlignment="1">
      <alignment vertical="center"/>
    </xf>
    <xf numFmtId="4" fontId="5" fillId="7" borderId="3" xfId="0" applyNumberFormat="1" applyFont="1" applyFill="1" applyBorder="1" applyAlignment="1">
      <alignment vertical="center"/>
    </xf>
    <xf numFmtId="0" fontId="63" fillId="7" borderId="3" xfId="0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vertical="center"/>
    </xf>
    <xf numFmtId="4" fontId="5" fillId="5" borderId="1" xfId="0" applyNumberFormat="1" applyFont="1" applyFill="1" applyBorder="1" applyAlignment="1">
      <alignment vertical="center"/>
    </xf>
    <xf numFmtId="1" fontId="68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4" fontId="3" fillId="0" borderId="1" xfId="0" applyNumberFormat="1" applyFont="1" applyFill="1" applyBorder="1" applyAlignment="1">
      <alignment vertical="center"/>
    </xf>
    <xf numFmtId="0" fontId="76" fillId="7" borderId="1" xfId="0" applyFont="1" applyFill="1" applyBorder="1" applyAlignment="1">
      <alignment horizontal="center" vertical="center"/>
    </xf>
    <xf numFmtId="164" fontId="76" fillId="7" borderId="3" xfId="0" applyNumberFormat="1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vertical="center"/>
    </xf>
    <xf numFmtId="4" fontId="2" fillId="8" borderId="1" xfId="0" applyNumberFormat="1" applyFont="1" applyFill="1" applyBorder="1" applyAlignment="1">
      <alignment vertical="center"/>
    </xf>
    <xf numFmtId="0" fontId="67" fillId="7" borderId="3" xfId="0" applyFont="1" applyFill="1" applyBorder="1" applyAlignment="1">
      <alignment vertical="center"/>
    </xf>
    <xf numFmtId="0" fontId="67" fillId="7" borderId="3" xfId="0" applyFont="1" applyFill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164" fontId="13" fillId="7" borderId="3" xfId="0" applyNumberFormat="1" applyFont="1" applyFill="1" applyBorder="1" applyAlignment="1">
      <alignment horizontal="center" vertical="center"/>
    </xf>
    <xf numFmtId="4" fontId="108" fillId="2" borderId="1" xfId="0" applyNumberFormat="1" applyFont="1" applyFill="1" applyBorder="1" applyAlignment="1">
      <alignment vertical="center"/>
    </xf>
    <xf numFmtId="4" fontId="108" fillId="2" borderId="3" xfId="0" applyNumberFormat="1" applyFont="1" applyFill="1" applyBorder="1" applyAlignment="1">
      <alignment vertical="center"/>
    </xf>
    <xf numFmtId="4" fontId="74" fillId="6" borderId="1" xfId="0" applyNumberFormat="1" applyFont="1" applyFill="1" applyBorder="1" applyAlignment="1">
      <alignment vertical="center"/>
    </xf>
    <xf numFmtId="4" fontId="68" fillId="11" borderId="3" xfId="0" applyNumberFormat="1" applyFont="1" applyFill="1" applyBorder="1" applyAlignment="1">
      <alignment vertical="center"/>
    </xf>
    <xf numFmtId="4" fontId="68" fillId="0" borderId="4" xfId="0" applyNumberFormat="1" applyFont="1" applyFill="1" applyBorder="1" applyAlignment="1">
      <alignment horizontal="right" vertical="center"/>
    </xf>
    <xf numFmtId="4" fontId="71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76" fillId="0" borderId="1" xfId="0" applyNumberFormat="1" applyFont="1" applyFill="1" applyBorder="1" applyAlignment="1">
      <alignment horizontal="right" vertical="center"/>
    </xf>
    <xf numFmtId="4" fontId="76" fillId="0" borderId="4" xfId="0" applyNumberFormat="1" applyFont="1" applyFill="1" applyBorder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4" fontId="101" fillId="0" borderId="0" xfId="0" applyNumberFormat="1" applyFont="1" applyAlignment="1">
      <alignment horizontal="center" vertical="center"/>
    </xf>
    <xf numFmtId="4" fontId="71" fillId="0" borderId="1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01" fillId="0" borderId="0" xfId="0" applyNumberFormat="1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4" fontId="1" fillId="8" borderId="1" xfId="0" applyNumberFormat="1" applyFont="1" applyFill="1" applyBorder="1" applyAlignment="1">
      <alignment vertical="center"/>
    </xf>
    <xf numFmtId="4" fontId="19" fillId="8" borderId="1" xfId="0" applyNumberFormat="1" applyFont="1" applyFill="1" applyBorder="1" applyAlignment="1">
      <alignment vertical="center"/>
    </xf>
    <xf numFmtId="4" fontId="12" fillId="8" borderId="1" xfId="0" applyNumberFormat="1" applyFont="1" applyFill="1" applyBorder="1" applyAlignment="1">
      <alignment vertical="center"/>
    </xf>
    <xf numFmtId="0" fontId="0" fillId="7" borderId="1" xfId="0" applyNumberFormat="1" applyFill="1" applyBorder="1" applyAlignment="1">
      <alignment horizontal="center"/>
    </xf>
    <xf numFmtId="4" fontId="68" fillId="0" borderId="0" xfId="0" applyNumberFormat="1" applyFont="1" applyAlignment="1">
      <alignment horizontal="center" vertical="center"/>
    </xf>
  </cellXfs>
  <cellStyles count="2">
    <cellStyle name="Standard" xfId="0" builtinId="0"/>
    <cellStyle name="Standard 2" xfId="1" xr:uid="{AECFB547-1B00-4ED3-96A7-7D0A05CF6442}"/>
  </cellStyles>
  <dxfs count="122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4" formatCode="#,##0.00"/>
    </dxf>
    <dxf>
      <alignment horizontal="center"/>
    </dxf>
    <dxf>
      <alignment horizontal="center"/>
    </dxf>
    <dxf>
      <alignment vertical="bottom"/>
    </dxf>
    <dxf>
      <alignment horizontal="center"/>
    </dxf>
    <dxf>
      <alignment horizontal="center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/>
    </dxf>
    <dxf>
      <alignment vertical="center"/>
    </dxf>
    <dxf>
      <alignment horizontal="center"/>
    </dxf>
    <dxf>
      <alignment vertical="bottom"/>
    </dxf>
    <dxf>
      <alignment horizontal="center"/>
    </dxf>
    <dxf>
      <alignment horizontal="center"/>
    </dxf>
    <dxf>
      <alignment vertical="center"/>
    </dxf>
    <dxf>
      <alignment horizontal="center" readingOrder="0"/>
    </dxf>
    <dxf>
      <alignment horizontal="center" readingOrder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rgb="FFC0C0C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C0C0C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family val="2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family val="2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family val="2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family val="2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family val="2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family val="2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family val="2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family val="2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family val="2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numFmt numFmtId="4" formatCode="#,##0.00"/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numFmt numFmtId="164" formatCode="0.0000"/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numFmt numFmtId="164" formatCode="0.0000"/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numFmt numFmtId="4" formatCode="#,##0.00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family val="2"/>
        <scheme val="none"/>
      </font>
      <numFmt numFmtId="4" formatCode="#,##0.00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family val="2"/>
        <scheme val="none"/>
      </font>
      <numFmt numFmtId="4" formatCode="#,##0.00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scheme val="none"/>
      </font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erdana"/>
        <family val="2"/>
        <scheme val="none"/>
      </font>
      <numFmt numFmtId="4" formatCode="#,##0.00"/>
      <fill>
        <patternFill patternType="solid">
          <fgColor indexed="64"/>
          <bgColor rgb="FFFFFF9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10"/>
        <name val="Verdana"/>
        <scheme val="none"/>
      </font>
      <fill>
        <patternFill patternType="solid">
          <fgColor indexed="64"/>
          <bgColor indexed="2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0C0C0"/>
      <color rgb="FFFFFF99"/>
      <color rgb="FFCCFFCC"/>
      <color rgb="FF00B0F0"/>
      <color rgb="FFCCFFFF"/>
      <color rgb="FFFF99FF"/>
      <color rgb="FFFF9999"/>
      <color rgb="FFE9C7C7"/>
      <color rgb="FFFF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tzler Ronnie" refreshedDate="44813.447055671299" createdVersion="5" refreshedVersion="7" minRefreshableVersion="3" recordCount="291" xr:uid="{00000000-000A-0000-FFFF-FFFF00000000}">
  <cacheSource type="worksheet">
    <worksheetSource name="Tabelle1"/>
  </cacheSource>
  <cacheFields count="32">
    <cacheField name="Vertragsnummer alt" numFmtId="4">
      <sharedItems containsBlank="1"/>
    </cacheField>
    <cacheField name="Vertragsnummer BKM" numFmtId="0">
      <sharedItems containsString="0" containsBlank="1" containsNumber="1" containsInteger="1" minValue="1355001405" maxValue="1355050630"/>
    </cacheField>
    <cacheField name="Status" numFmtId="4">
      <sharedItems/>
    </cacheField>
    <cacheField name="Name / Firma" numFmtId="0">
      <sharedItems containsBlank="1" count="137">
        <s v="Kanton Basel-Landschaft"/>
        <s v="Pöyry Infra AG"/>
        <s v="Aegerter &amp; Bosshardt AG"/>
        <s v="Jauslin + Stebler AG"/>
        <s v="Rapp Infra AG"/>
        <s v="Rapp AG"/>
        <s v="Basler Baulabor"/>
        <s v="MÖKAH AG"/>
        <s v="NSNW AG"/>
        <s v="Marquis AG"/>
        <s v="Rapp Infra AG (Ammann AG)"/>
        <s v="Ziegler AG"/>
        <s v="LBP AG"/>
        <s v="Kummler + Matter AG"/>
        <s v="Finanzverwaltung Kanton BL"/>
        <s v="Schaub Medien AG"/>
        <s v="Schneider Consulting"/>
        <s v="Amt für Geoinformation"/>
        <s v="R.Keller &amp; Partner AG"/>
        <s v="TFB AG"/>
        <s v="INGE EPSI + Geotechn. Inst."/>
        <s v="Gruner AG"/>
        <s v="Jermann AG"/>
        <s v="Drillexpert AG"/>
        <s v="Diamantbohr AG"/>
        <s v="Bachema AG"/>
        <s v="Risk &amp; Safety AG"/>
        <s v="IMP AG"/>
        <s v="Hunziker Bauprofile AG"/>
        <s v="INGE EPSI"/>
        <s v="Bachhofner &amp; Partner AG"/>
        <s v="Maltech.ch"/>
        <s v="PiU GmbH"/>
        <s v="Pfirter Nyfeler + Partner"/>
        <s v="Walo"/>
        <s v="Mageba SA"/>
        <s v="Ex Team"/>
        <s v="IUB Engineering AG"/>
        <s v="Marti AG"/>
        <s v="GEOCAD+Partner AG"/>
        <s v="Hydrojet AG"/>
        <s v="Norsonic Brechbühl AG"/>
        <s v="24 Security"/>
        <s v="Anliker AG"/>
        <s v="Ecoplan AG"/>
        <s v="Amberg Engineering AG"/>
        <s v="Yaver I&amp;S GmbH"/>
        <s v="BSL Baustofflabor AG"/>
        <s v="Trauffer AG"/>
        <s v="Einwohnergemeinde Sissach"/>
        <s v="Maurer AG"/>
        <s v="ZT Medien AG"/>
        <s v="SBB"/>
        <s v="Rigamonti SA"/>
        <s v="KELAG Künzli Elektronik AG"/>
        <s v="Metas"/>
        <s v="Quinel AG"/>
        <s v="Bechtel Ingenieure AG"/>
        <s v="Rauscher &amp; Stöcklin AG"/>
        <s v="Eidg. Starkstrominsp. ESTI"/>
        <s v="EBP Schweiz AG"/>
        <s v="LGT Geolab GmbH"/>
        <s v="Elektrizitätswerke ZH"/>
        <s v="VSH AG"/>
        <s v="BBL Basler Baulabor AG"/>
        <s v="KA-TE"/>
        <s v="TransData (Telematix AG)"/>
        <s v="Sterobit"/>
        <s v="Friedrich Schwab"/>
        <s v="lic. Jur. Roman Zeller"/>
        <s v="Sutter Ing."/>
        <s v="OLMeRO AG =&gt; Loy Digital AG"/>
        <s v="Socomec AG"/>
        <s v="Ruepp AG"/>
        <s v="John Haustechnik AG"/>
        <s v="Gisicom Leitungsbau GmbH"/>
        <s v="Emch+Berger AG"/>
        <s v="SBD-Schluep"/>
        <s v="ARGE ABA N2"/>
        <s v="Stromundbit GmbH"/>
        <s v="Signal AG"/>
        <s v="xxx"/>
        <s v="Kanton Basel-Landschaft / AUE"/>
        <s v="Siemens Schweiz AG"/>
        <s v="IDZ AG"/>
        <s v="Lombardi AG"/>
        <s v="Sopra Steria AG"/>
        <s v="Geobrugg AG"/>
        <s v="IG WUEF Tenniken"/>
        <s v="Thomas Mumenthaler"/>
        <s v="Werner+Dora Schneider-Imhof"/>
        <s v="Kaufmann AG"/>
        <s v="Gysin Asiko AG"/>
        <s v="IMP Bautest AG"/>
        <s v="Geoteschnisches Institut AG"/>
        <s v="Kiefer+Studer AG"/>
        <s v="Gasser Felstechnik AG"/>
        <s v="EBL"/>
        <s v="SKK Landschaftsarchitekten"/>
        <s v="frontwork communications AG"/>
        <s v="John AG Zaunbau"/>
        <s v="Adsoft AG"/>
        <s v="Zweckverband Forstrevier"/>
        <s v="Walter AG"/>
        <s v="Lüthy Zäune AG"/>
        <s v="KFB Pfister AG"/>
        <s v="E. Kalt AG"/>
        <s v="Meier Jäggi"/>
        <s v="Remtec"/>
        <s v="Holinger AG"/>
        <s v="Ziegler Consultants"/>
        <s v="LMF Ingenieurbüro GmbH"/>
        <s v="UN Metallbau"/>
        <s v="Parcom"/>
        <s v="Boschung"/>
        <s v="Argonet"/>
        <s v="TDM"/>
        <s v="Elkuch Eisenring"/>
        <s v="Elektrosuisse"/>
        <m/>
        <s v="Rigamonti" u="1"/>
        <s v="OLMeRO AG" u="1"/>
        <s v="Adsoft" u="1"/>
        <s v="IMP" u="1"/>
        <s v="Unternehmen" u="1"/>
        <s v="Umweltingenieur" u="1"/>
        <s v="TransDataManagement AG" u="1"/>
        <s v="Labor" u="1"/>
        <s v="Vermessungsbüro" u="1"/>
        <s v="BBL" u="1"/>
        <s v="Geoteschnisches Institut" u="1"/>
        <s v="Walther AG" u="1"/>
        <s v="Kiefer+Studer" u="1"/>
        <s v="UN SSSB" u="1"/>
        <s v="UN Stahlbau" u="1"/>
        <s v="Mauderli" u="1"/>
        <s v="Förster/NSNW" u="1"/>
      </sharedItems>
    </cacheField>
    <cacheField name="Auftrag" numFmtId="0">
      <sharedItems containsBlank="1"/>
    </cacheField>
    <cacheField name="Summe Vertrag_x000a_CHF inkl. MWST" numFmtId="4">
      <sharedItems containsBlank="1" containsMixedTypes="1" containsNumber="1" minValue="-92311.285499999998" maxValue="38216304.348749995"/>
    </cacheField>
    <cacheField name="Finanzier-_x000a_ungskonto" numFmtId="0">
      <sharedItems containsBlank="1" count="4">
        <s v="Unterhalt"/>
        <s v="Ausbau"/>
        <s v="A+U"/>
        <m u="1"/>
      </sharedItems>
    </cacheField>
    <cacheField name="Teilprojekt" numFmtId="0">
      <sharedItems containsBlank="1" count="10">
        <s v="TP1"/>
        <s v="TP2"/>
        <s v="TP0"/>
        <s v="TP4"/>
        <s v="TP3"/>
        <s v="TP1-3"/>
        <m u="1"/>
        <s v="TP2-3" u="1"/>
        <s v="TP1+3" u="1"/>
        <s v="TP2+3" u="1"/>
      </sharedItems>
    </cacheField>
    <cacheField name="Kostenart" numFmtId="164">
      <sharedItems containsBlank="1" containsMixedTypes="1" containsNumber="1" minValue="1.21" maxValue="3.5910000000000002" count="31">
        <n v="1.73"/>
        <n v="1.31"/>
        <n v="1.21"/>
        <n v="1.395"/>
        <n v="1.2949999999999999"/>
        <n v="1.23"/>
        <n v="1.24"/>
        <n v="1.22"/>
        <n v="3.581"/>
        <n v="3.573"/>
        <n v="3.5710000000000002"/>
        <n v="3.5009999999999999"/>
        <n v="3.56"/>
        <n v="1.33"/>
        <n v="3.5705"/>
        <n v="3.53"/>
        <n v="3.5754000000000001"/>
        <n v="2.4300000000000002"/>
        <n v="2.44"/>
        <n v="3.5910000000000002"/>
        <s v="3.xxxx"/>
        <n v="3.5745"/>
        <n v="3.5019999999999998"/>
        <n v="3.55"/>
        <m/>
        <n v="1.27"/>
        <n v="3.52"/>
        <n v="3.5720000000000001"/>
        <s v="1.xxxx"/>
        <s v="2.xxxx"/>
        <n v="3.58" u="1"/>
      </sharedItems>
    </cacheField>
    <cacheField name="IO" numFmtId="164">
      <sharedItems containsBlank="1"/>
    </cacheField>
    <cacheField name="bis Ende 2010_x000a_CHF inkl. MWST" numFmtId="4">
      <sharedItems containsString="0" containsBlank="1" containsNumber="1" minValue="1520.4" maxValue="225409.65000000002"/>
    </cacheField>
    <cacheField name="2011_x000a_CHF inkl. MWST" numFmtId="4">
      <sharedItems containsString="0" containsBlank="1" containsNumber="1" minValue="3128.05" maxValue="792935.55"/>
    </cacheField>
    <cacheField name="2012_x000a_CHF inkl. MWST" numFmtId="4">
      <sharedItems containsString="0" containsBlank="1" containsNumber="1" minValue="1403.8" maxValue="158991.09999999998"/>
    </cacheField>
    <cacheField name="2013_x000a_CHF inkl. MWST" numFmtId="4">
      <sharedItems containsString="0" containsBlank="1" containsNumber="1" minValue="308.55" maxValue="441055"/>
    </cacheField>
    <cacheField name="2014_x000a_CHF inkl. MWST" numFmtId="4">
      <sharedItems containsString="0" containsBlank="1" containsNumber="1" minValue="150" maxValue="1228667.1000000001"/>
    </cacheField>
    <cacheField name="2015_x000a_CHF inkl. MWST" numFmtId="4">
      <sharedItems containsString="0" containsBlank="1" containsNumber="1" minValue="150" maxValue="318072.15000000002"/>
    </cacheField>
    <cacheField name="2016_x000a_CHF inkl. MWST" numFmtId="4">
      <sharedItems containsString="0" containsBlank="1" containsNumber="1" minValue="42" maxValue="674458.4"/>
    </cacheField>
    <cacheField name="2017_x000a_CHF inkl. MWST" numFmtId="4">
      <sharedItems containsString="0" containsBlank="1" containsNumber="1" minValue="243.98" maxValue="583464.6100000001"/>
    </cacheField>
    <cacheField name="2018_x000a_CHF inkl. MWST" numFmtId="4">
      <sharedItems containsString="0" containsBlank="1" containsNumber="1" minValue="534.1" maxValue="97958.849999999991"/>
    </cacheField>
    <cacheField name="2019_x000a_CHF inkl. MWST" numFmtId="0">
      <sharedItems containsString="0" containsBlank="1" containsNumber="1" minValue="715.06999999999994" maxValue="86898.830000000016"/>
    </cacheField>
    <cacheField name="2020_x000a_CHF inkl. MWST" numFmtId="4">
      <sharedItems containsString="0" containsBlank="1" containsNumber="1" minValue="1017.5" maxValue="178611.6"/>
    </cacheField>
    <cacheField name="2021_x000a_CHF inkl. MWST" numFmtId="4">
      <sharedItems containsString="0" containsBlank="1" containsNumber="1" minValue="1927.35" maxValue="965730.75"/>
    </cacheField>
    <cacheField name="Aufgelaufene Kosten 2022_x000a_CHF inkl. MWST" numFmtId="4">
      <sharedItems containsString="0" containsBlank="1" containsNumber="1" minValue="150" maxValue="2310680.8000000003"/>
    </cacheField>
    <cacheField name="Geplant 2022_x000a_CHF inkl. MWST" numFmtId="4">
      <sharedItems containsString="0" containsBlank="1" containsNumber="1" minValue="0" maxValue="3189319.1999999997"/>
    </cacheField>
    <cacheField name="Geplant 2023_x000a_CHF inkl. MWST" numFmtId="4">
      <sharedItems containsString="0" containsBlank="1" containsNumber="1" minValue="3000" maxValue="16000000"/>
    </cacheField>
    <cacheField name="Geplant 2024_x000a_CHF inkl. MWST" numFmtId="4">
      <sharedItems containsString="0" containsBlank="1" containsNumber="1" containsInteger="1" minValue="2500" maxValue="9000000"/>
    </cacheField>
    <cacheField name="Geplant 2025_x000a_CHF inkl. MWST" numFmtId="4">
      <sharedItems containsString="0" containsBlank="1" containsNumber="1" containsInteger="1" minValue="2500" maxValue="6000000"/>
    </cacheField>
    <cacheField name="Geplant 2026_x000a_CHF inkl. MWST" numFmtId="4">
      <sharedItems containsString="0" containsBlank="1" containsNumber="1" containsInteger="1" minValue="0" maxValue="10000000"/>
    </cacheField>
    <cacheField name="Bemerkungen BHU" numFmtId="0">
      <sharedItems containsBlank="1"/>
    </cacheField>
    <cacheField name="Total Rechnungen" numFmtId="0">
      <sharedItems containsString="0" containsBlank="1" containsNumber="1" minValue="0" maxValue="3276411.5500000003"/>
    </cacheField>
    <cacheField name="Restbudget Vertrag" numFmtId="4">
      <sharedItems containsString="0" containsBlank="1" containsNumber="1" minValue="-92375.959999999963" maxValue="35893813.992650002"/>
    </cacheField>
    <cacheField name="EKP" numFmtId="4">
      <sharedItems containsString="0" containsBlank="1" containsNumber="1" minValue="0" maxValue="39170225.54264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s v="Vertrag 000001 (2009)"/>
    <m/>
    <s v="Abg."/>
    <x v="0"/>
    <s v="Frühere Kosten Kantone"/>
    <n v="60242.18"/>
    <x v="0"/>
    <x v="0"/>
    <x v="0"/>
    <s v="13.02.16.510.02"/>
    <n v="60243.18"/>
    <m/>
    <m/>
    <m/>
    <m/>
    <m/>
    <m/>
    <m/>
    <m/>
    <m/>
    <m/>
    <m/>
    <m/>
    <m/>
    <m/>
    <m/>
    <m/>
    <m/>
    <m/>
    <n v="60243.18"/>
    <m/>
    <n v="60243.18"/>
  </r>
  <r>
    <s v="Vertrag 000002 (2009)"/>
    <m/>
    <s v="Abg."/>
    <x v="1"/>
    <s v="Projektierungsauftrag"/>
    <n v="22120.2"/>
    <x v="0"/>
    <x v="0"/>
    <x v="1"/>
    <s v="13.02.16.510.02"/>
    <n v="1520.4"/>
    <m/>
    <m/>
    <m/>
    <m/>
    <m/>
    <m/>
    <m/>
    <m/>
    <m/>
    <m/>
    <m/>
    <m/>
    <m/>
    <m/>
    <m/>
    <m/>
    <m/>
    <m/>
    <n v="1520.4"/>
    <m/>
    <n v="1520.4"/>
  </r>
  <r>
    <s v="Vertrag 000002 (2009)"/>
    <m/>
    <s v="Abg."/>
    <x v="1"/>
    <s v="Projektierungsauftrag"/>
    <n v="51879.8"/>
    <x v="0"/>
    <x v="0"/>
    <x v="0"/>
    <s v="13.02.16.510.02"/>
    <n v="51879.8"/>
    <m/>
    <m/>
    <m/>
    <m/>
    <m/>
    <m/>
    <m/>
    <m/>
    <m/>
    <m/>
    <m/>
    <m/>
    <m/>
    <m/>
    <m/>
    <m/>
    <m/>
    <m/>
    <n v="51879.8"/>
    <m/>
    <n v="51879.8"/>
  </r>
  <r>
    <s v="Vertrag 000003 (2010)"/>
    <m/>
    <s v="Abg."/>
    <x v="2"/>
    <s v="Akustische überprüfung Lärmschutz"/>
    <n v="49484.7"/>
    <x v="1"/>
    <x v="1"/>
    <x v="1"/>
    <s v="13.02.16.311.02"/>
    <n v="47091.5"/>
    <n v="7341.65"/>
    <m/>
    <m/>
    <m/>
    <m/>
    <m/>
    <m/>
    <m/>
    <m/>
    <m/>
    <m/>
    <m/>
    <m/>
    <m/>
    <m/>
    <m/>
    <m/>
    <m/>
    <n v="54433.15"/>
    <m/>
    <n v="54433.15"/>
  </r>
  <r>
    <s v="Vertrag 000004 (2009)"/>
    <m/>
    <s v="Abg."/>
    <x v="3"/>
    <s v="Ingenieursubmission EK"/>
    <n v="39557"/>
    <x v="0"/>
    <x v="2"/>
    <x v="2"/>
    <s v="13.02.16.311.02"/>
    <n v="27628.35"/>
    <m/>
    <m/>
    <m/>
    <m/>
    <m/>
    <m/>
    <m/>
    <m/>
    <m/>
    <m/>
    <m/>
    <m/>
    <m/>
    <m/>
    <m/>
    <m/>
    <m/>
    <m/>
    <n v="27628.35"/>
    <m/>
    <n v="27628.35"/>
  </r>
  <r>
    <s v="Vertrag 000005 (2010)"/>
    <m/>
    <s v="Abg."/>
    <x v="2"/>
    <s v="Immissionsmessungen"/>
    <n v="29257.05"/>
    <x v="1"/>
    <x v="1"/>
    <x v="1"/>
    <s v="13.02.16.311.02"/>
    <n v="29257.049999999996"/>
    <m/>
    <m/>
    <m/>
    <m/>
    <m/>
    <m/>
    <m/>
    <m/>
    <m/>
    <m/>
    <m/>
    <m/>
    <m/>
    <m/>
    <m/>
    <m/>
    <m/>
    <m/>
    <n v="29257.049999999996"/>
    <m/>
    <n v="29257.049999999996"/>
  </r>
  <r>
    <s v="Vertrag 000006 (2010)"/>
    <m/>
    <s v="Abg."/>
    <x v="4"/>
    <s v="EK + Zusatzleistungen"/>
    <n v="1150203.6000000001"/>
    <x v="0"/>
    <x v="2"/>
    <x v="1"/>
    <s v="13.02.16.311.02"/>
    <n v="225409.65000000002"/>
    <n v="792935.55"/>
    <n v="107943.05"/>
    <n v="9287.4499999999989"/>
    <n v="315.89999999999998"/>
    <m/>
    <m/>
    <m/>
    <m/>
    <m/>
    <m/>
    <m/>
    <m/>
    <m/>
    <m/>
    <m/>
    <m/>
    <m/>
    <m/>
    <n v="1135891.5999999999"/>
    <m/>
    <n v="1135891.5999999999"/>
  </r>
  <r>
    <s v="Vertrag 000006 (2010)"/>
    <m/>
    <s v="Abg."/>
    <x v="4"/>
    <s v="EK + Zusatzleistungen"/>
    <s v="Teuerung"/>
    <x v="0"/>
    <x v="2"/>
    <x v="3"/>
    <s v="13.02.16.311.02"/>
    <m/>
    <m/>
    <m/>
    <m/>
    <n v="16681.75"/>
    <m/>
    <m/>
    <m/>
    <m/>
    <m/>
    <m/>
    <m/>
    <m/>
    <m/>
    <m/>
    <m/>
    <m/>
    <m/>
    <m/>
    <n v="16681.75"/>
    <m/>
    <n v="16681.75"/>
  </r>
  <r>
    <s v="Vertrag 000006 (2011)"/>
    <n v="1355013702"/>
    <s v="Aktiv"/>
    <x v="5"/>
    <s v="BHU"/>
    <n v="1133028"/>
    <x v="0"/>
    <x v="2"/>
    <x v="2"/>
    <s v="13.02.16.311.02"/>
    <m/>
    <n v="111070.39999999999"/>
    <n v="92084.85"/>
    <n v="97834.2"/>
    <n v="75500.100000000006"/>
    <n v="58244.2"/>
    <n v="78442.100000000006"/>
    <n v="68964.7"/>
    <n v="37749.15"/>
    <n v="35542.600000000006"/>
    <n v="37002.050000000003"/>
    <n v="54444.150000000009"/>
    <n v="39566.800000000003"/>
    <n v="40433.199999999997"/>
    <n v="90000"/>
    <n v="90000"/>
    <n v="90000"/>
    <n v="90000"/>
    <s v="Annahme BHU"/>
    <n v="786445.30000000016"/>
    <n v="346582.69999999984"/>
    <n v="1133028"/>
  </r>
  <r>
    <s v="Vertrag 000006 (2010)"/>
    <m/>
    <s v="Abg."/>
    <x v="4"/>
    <s v="NK"/>
    <n v="215200"/>
    <x v="0"/>
    <x v="2"/>
    <x v="2"/>
    <s v="13.02.16.311.02"/>
    <n v="28810.35"/>
    <n v="36487"/>
    <n v="24251.100000000002"/>
    <n v="8025.1"/>
    <n v="7613.1"/>
    <m/>
    <m/>
    <m/>
    <m/>
    <m/>
    <m/>
    <m/>
    <m/>
    <m/>
    <m/>
    <m/>
    <m/>
    <m/>
    <m/>
    <n v="105186.65000000001"/>
    <m/>
    <n v="105186.65000000001"/>
  </r>
  <r>
    <s v="Vertrag 000006 (2010)"/>
    <m/>
    <s v="Aktiv"/>
    <x v="5"/>
    <s v="BHU+NK"/>
    <s v="Teuerung"/>
    <x v="0"/>
    <x v="2"/>
    <x v="4"/>
    <s v="13.02.16.311.02"/>
    <m/>
    <m/>
    <m/>
    <m/>
    <n v="2119.0500000000002"/>
    <n v="9936.2000000000007"/>
    <n v="10082.950000000001"/>
    <n v="6397.55"/>
    <n v="4790.95"/>
    <n v="2884.65"/>
    <n v="3701.55"/>
    <n v="3372.1"/>
    <n v="5804.2"/>
    <m/>
    <m/>
    <m/>
    <m/>
    <m/>
    <s v="Teuerung"/>
    <n v="49089.2"/>
    <m/>
    <n v="49089.2"/>
  </r>
  <r>
    <s v="Vertrag 000006 (2018)"/>
    <m/>
    <s v="Aktiv"/>
    <x v="5"/>
    <s v="OBL"/>
    <n v="415443.6"/>
    <x v="0"/>
    <x v="2"/>
    <x v="1"/>
    <s v="13.02.16.311.02"/>
    <m/>
    <m/>
    <m/>
    <m/>
    <m/>
    <m/>
    <m/>
    <m/>
    <m/>
    <m/>
    <m/>
    <m/>
    <m/>
    <m/>
    <n v="10000"/>
    <n v="10000"/>
    <n v="10000"/>
    <n v="10000"/>
    <s v="Annahme BHU"/>
    <n v="0"/>
    <n v="415443.6"/>
    <n v="60000"/>
  </r>
  <r>
    <s v="Vertrag 000007 (2010)"/>
    <m/>
    <s v="Abg."/>
    <x v="6"/>
    <s v="Belagsaufnahmen"/>
    <n v="127135.85"/>
    <x v="0"/>
    <x v="1"/>
    <x v="5"/>
    <s v="13.02.16.311.02"/>
    <n v="112652.9"/>
    <m/>
    <m/>
    <m/>
    <m/>
    <m/>
    <m/>
    <m/>
    <m/>
    <m/>
    <m/>
    <m/>
    <m/>
    <m/>
    <m/>
    <m/>
    <m/>
    <m/>
    <m/>
    <n v="112652.9"/>
    <m/>
    <n v="112652.9"/>
  </r>
  <r>
    <s v="Vertrag 000009 (2010)"/>
    <m/>
    <s v="Abg."/>
    <x v="7"/>
    <s v="Kanalaufnahmen"/>
    <n v="176155.44999999998"/>
    <x v="0"/>
    <x v="1"/>
    <x v="5"/>
    <s v="13.02.16.311.02"/>
    <n v="152794.44999999998"/>
    <m/>
    <m/>
    <m/>
    <m/>
    <m/>
    <m/>
    <m/>
    <m/>
    <m/>
    <m/>
    <m/>
    <m/>
    <m/>
    <m/>
    <m/>
    <m/>
    <m/>
    <m/>
    <n v="152794.44999999998"/>
    <m/>
    <n v="152794.44999999998"/>
  </r>
  <r>
    <s v="Vertrag 000010 (2010)"/>
    <m/>
    <s v="Abg."/>
    <x v="8"/>
    <s v="Zustandsaufnahmen"/>
    <n v="29645.95"/>
    <x v="0"/>
    <x v="1"/>
    <x v="2"/>
    <s v="13.02.16.311.02"/>
    <n v="2117.5500000000002"/>
    <n v="4671.45"/>
    <m/>
    <m/>
    <m/>
    <m/>
    <m/>
    <m/>
    <m/>
    <m/>
    <m/>
    <m/>
    <m/>
    <m/>
    <m/>
    <m/>
    <m/>
    <m/>
    <m/>
    <n v="6789"/>
    <m/>
    <n v="6789"/>
  </r>
  <r>
    <s v="Vertrag 000010 (2010)"/>
    <m/>
    <s v="Abg."/>
    <x v="8"/>
    <s v="Zustandsaufnahmen"/>
    <n v="11362.55"/>
    <x v="0"/>
    <x v="1"/>
    <x v="6"/>
    <s v="13.02.16.311.02"/>
    <m/>
    <n v="4835.1000000000004"/>
    <m/>
    <m/>
    <m/>
    <m/>
    <m/>
    <m/>
    <m/>
    <m/>
    <m/>
    <m/>
    <m/>
    <m/>
    <m/>
    <m/>
    <m/>
    <m/>
    <m/>
    <n v="4835.1000000000004"/>
    <m/>
    <n v="4835.1000000000004"/>
  </r>
  <r>
    <s v="Vertrag 000011 (2010)"/>
    <m/>
    <s v="Abg."/>
    <x v="9"/>
    <s v="Kanalreinigung"/>
    <n v="111894.1"/>
    <x v="0"/>
    <x v="1"/>
    <x v="5"/>
    <s v="13.02.16.311.02"/>
    <n v="101523.6"/>
    <m/>
    <m/>
    <m/>
    <m/>
    <m/>
    <m/>
    <m/>
    <m/>
    <m/>
    <m/>
    <m/>
    <m/>
    <m/>
    <m/>
    <m/>
    <m/>
    <m/>
    <m/>
    <n v="101523.6"/>
    <m/>
    <n v="101523.6"/>
  </r>
  <r>
    <s v="Vertrag 000012 (2010)"/>
    <m/>
    <s v="Abg."/>
    <x v="10"/>
    <s v="Vermessungsaufnahmen"/>
    <n v="138115.35"/>
    <x v="0"/>
    <x v="1"/>
    <x v="6"/>
    <s v="13.02.16.311.02"/>
    <m/>
    <n v="126438.6"/>
    <m/>
    <m/>
    <m/>
    <m/>
    <m/>
    <m/>
    <m/>
    <m/>
    <m/>
    <m/>
    <m/>
    <m/>
    <m/>
    <m/>
    <m/>
    <m/>
    <m/>
    <n v="126438.6"/>
    <m/>
    <n v="126438.6"/>
  </r>
  <r>
    <s v="Vertrag 000013 (2010)"/>
    <m/>
    <s v="Abg."/>
    <x v="11"/>
    <s v="Tauchbögen"/>
    <n v="92858.8"/>
    <x v="0"/>
    <x v="1"/>
    <x v="5"/>
    <s v="13.02.16.311.02"/>
    <n v="75331.149999999994"/>
    <m/>
    <m/>
    <m/>
    <m/>
    <m/>
    <m/>
    <m/>
    <m/>
    <m/>
    <m/>
    <m/>
    <m/>
    <m/>
    <m/>
    <m/>
    <m/>
    <m/>
    <m/>
    <n v="75331.149999999994"/>
    <m/>
    <n v="75331.149999999994"/>
  </r>
  <r>
    <s v="Vertrag 000014 (2010)"/>
    <m/>
    <s v="Abg."/>
    <x v="2"/>
    <s v="Zustandserfassung Lärm Eptingen"/>
    <n v="30844.2"/>
    <x v="1"/>
    <x v="1"/>
    <x v="1"/>
    <s v="13.02.16.311.02"/>
    <n v="28285.25"/>
    <n v="5595.25"/>
    <m/>
    <m/>
    <m/>
    <m/>
    <m/>
    <m/>
    <m/>
    <m/>
    <m/>
    <m/>
    <m/>
    <m/>
    <m/>
    <m/>
    <m/>
    <m/>
    <m/>
    <n v="33880.5"/>
    <m/>
    <n v="33880.5"/>
  </r>
  <r>
    <s v="Vertrag 000015 (2010)"/>
    <m/>
    <s v="Abg."/>
    <x v="12"/>
    <s v="EK BSA"/>
    <n v="114961.65"/>
    <x v="0"/>
    <x v="3"/>
    <x v="1"/>
    <s v="13.02.16.890.02"/>
    <n v="51269.15"/>
    <n v="30485.420000000002"/>
    <n v="43468.270000000004"/>
    <m/>
    <m/>
    <m/>
    <m/>
    <m/>
    <m/>
    <m/>
    <m/>
    <m/>
    <m/>
    <m/>
    <m/>
    <m/>
    <m/>
    <m/>
    <m/>
    <n v="125222.84000000001"/>
    <m/>
    <n v="125222.84000000001"/>
  </r>
  <r>
    <s v="Vertrag 000016 (2010)"/>
    <m/>
    <s v="Abg."/>
    <x v="13"/>
    <s v="Aufn. + Doku. Kabelschächte"/>
    <n v="46533.05"/>
    <x v="0"/>
    <x v="1"/>
    <x v="5"/>
    <s v="13.02.16.311.02"/>
    <n v="44753.15"/>
    <m/>
    <m/>
    <m/>
    <m/>
    <m/>
    <m/>
    <m/>
    <m/>
    <m/>
    <m/>
    <m/>
    <m/>
    <m/>
    <m/>
    <m/>
    <m/>
    <m/>
    <m/>
    <n v="44753.15"/>
    <m/>
    <n v="44753.15"/>
  </r>
  <r>
    <s v="Vertrag 000017 (2010)"/>
    <m/>
    <s v="Abg."/>
    <x v="8"/>
    <s v="Verkehrsführungen, Sperrungen"/>
    <n v="77118.7"/>
    <x v="0"/>
    <x v="1"/>
    <x v="5"/>
    <s v="13.02.16.311.02"/>
    <m/>
    <n v="76697.649999999994"/>
    <m/>
    <m/>
    <m/>
    <m/>
    <m/>
    <m/>
    <m/>
    <m/>
    <m/>
    <m/>
    <m/>
    <m/>
    <m/>
    <m/>
    <m/>
    <m/>
    <m/>
    <n v="76697.649999999994"/>
    <m/>
    <n v="76697.649999999994"/>
  </r>
  <r>
    <s v="Vertrag 000018 (2016)"/>
    <m/>
    <s v="Abg."/>
    <x v="14"/>
    <s v="Publikation Amtsblatt"/>
    <n v="42"/>
    <x v="1"/>
    <x v="1"/>
    <x v="1"/>
    <s v="13.02.16.311.02"/>
    <m/>
    <m/>
    <m/>
    <m/>
    <m/>
    <m/>
    <n v="42"/>
    <m/>
    <m/>
    <m/>
    <m/>
    <m/>
    <m/>
    <m/>
    <m/>
    <m/>
    <m/>
    <m/>
    <m/>
    <n v="42"/>
    <m/>
    <n v="42"/>
  </r>
  <r>
    <s v="Vertrag 000018 (2016)"/>
    <m/>
    <s v="Abg."/>
    <x v="15"/>
    <s v="Publikation Volksstimme"/>
    <n v="1030.75"/>
    <x v="1"/>
    <x v="1"/>
    <x v="1"/>
    <s v="13.02.16.311.02"/>
    <m/>
    <m/>
    <m/>
    <m/>
    <m/>
    <m/>
    <n v="1030.75"/>
    <m/>
    <m/>
    <m/>
    <m/>
    <m/>
    <m/>
    <m/>
    <m/>
    <m/>
    <m/>
    <m/>
    <m/>
    <n v="1030.75"/>
    <m/>
    <n v="1030.75"/>
  </r>
  <r>
    <s v="Vertrag 000018 (2010)"/>
    <m/>
    <s v="Abg."/>
    <x v="8"/>
    <s v="Projektbegleitung BSA"/>
    <n v="5646.85"/>
    <x v="0"/>
    <x v="3"/>
    <x v="1"/>
    <s v="13.02.16.890.02"/>
    <m/>
    <n v="5310.8"/>
    <m/>
    <m/>
    <m/>
    <m/>
    <m/>
    <m/>
    <m/>
    <m/>
    <m/>
    <m/>
    <m/>
    <m/>
    <m/>
    <m/>
    <m/>
    <m/>
    <m/>
    <n v="5310.8"/>
    <m/>
    <n v="5310.8"/>
  </r>
  <r>
    <s v="Vertrag 000018 (2010)"/>
    <m/>
    <s v="Abg."/>
    <x v="16"/>
    <s v="CNI-Fassaden Rastplätze"/>
    <n v="3694.2"/>
    <x v="0"/>
    <x v="1"/>
    <x v="7"/>
    <s v="13.02.16.311.02"/>
    <m/>
    <n v="4376.7999999999993"/>
    <n v="1403.8"/>
    <n v="2733.7"/>
    <m/>
    <m/>
    <m/>
    <m/>
    <m/>
    <m/>
    <m/>
    <m/>
    <m/>
    <m/>
    <m/>
    <m/>
    <m/>
    <m/>
    <m/>
    <n v="8514.2999999999993"/>
    <m/>
    <n v="8514.2999999999993"/>
  </r>
  <r>
    <s v="Vertrag 000018 (2010)"/>
    <m/>
    <s v="Abg."/>
    <x v="17"/>
    <s v="Geoinformationen"/>
    <n v="3334.35"/>
    <x v="0"/>
    <x v="1"/>
    <x v="1"/>
    <s v="13.02.16.311.02"/>
    <m/>
    <n v="3334.35"/>
    <m/>
    <m/>
    <m/>
    <m/>
    <m/>
    <m/>
    <m/>
    <m/>
    <m/>
    <m/>
    <m/>
    <m/>
    <m/>
    <m/>
    <m/>
    <m/>
    <m/>
    <n v="3334.35"/>
    <m/>
    <n v="3334.35"/>
  </r>
  <r>
    <s v="Vertrag 000018 (2010)"/>
    <m/>
    <s v="Abg."/>
    <x v="18"/>
    <s v="Abklärung LKW-Überholverbot"/>
    <n v="4223.05"/>
    <x v="0"/>
    <x v="3"/>
    <x v="1"/>
    <s v="13.02.16.890.02"/>
    <m/>
    <n v="3128.05"/>
    <m/>
    <m/>
    <m/>
    <m/>
    <m/>
    <m/>
    <m/>
    <m/>
    <m/>
    <m/>
    <m/>
    <m/>
    <m/>
    <m/>
    <m/>
    <m/>
    <m/>
    <n v="3128.05"/>
    <m/>
    <n v="3128.05"/>
  </r>
  <r>
    <s v="Vertrag 000018 (2011)"/>
    <m/>
    <s v="Abg."/>
    <x v="2"/>
    <s v="Bereinigung Erfassung ENIS"/>
    <n v="10750"/>
    <x v="0"/>
    <x v="3"/>
    <x v="1"/>
    <s v="13.02.16.890.02"/>
    <m/>
    <n v="5925.6"/>
    <n v="5349.75"/>
    <m/>
    <m/>
    <m/>
    <m/>
    <m/>
    <m/>
    <m/>
    <m/>
    <m/>
    <m/>
    <m/>
    <m/>
    <m/>
    <m/>
    <m/>
    <m/>
    <n v="11275.35"/>
    <m/>
    <n v="11275.35"/>
  </r>
  <r>
    <s v="Vertrag 000018 (2010)"/>
    <m/>
    <s v="Abg."/>
    <x v="8"/>
    <s v="Verkehrsführungen, Sperrungen BSA"/>
    <n v="4800"/>
    <x v="0"/>
    <x v="1"/>
    <x v="5"/>
    <s v="13.02.16.311.02"/>
    <n v="4800"/>
    <m/>
    <m/>
    <m/>
    <m/>
    <m/>
    <m/>
    <m/>
    <m/>
    <m/>
    <m/>
    <m/>
    <m/>
    <m/>
    <m/>
    <m/>
    <m/>
    <m/>
    <m/>
    <n v="4800"/>
    <m/>
    <n v="4800"/>
  </r>
  <r>
    <s v="Vertrag 000018 (2013)"/>
    <m/>
    <s v="Abg."/>
    <x v="19"/>
    <s v="Wasseranalyse"/>
    <n v="920"/>
    <x v="0"/>
    <x v="0"/>
    <x v="5"/>
    <s v="13.02.16.510.02"/>
    <m/>
    <m/>
    <m/>
    <m/>
    <n v="894.25"/>
    <m/>
    <m/>
    <m/>
    <m/>
    <m/>
    <m/>
    <m/>
    <m/>
    <m/>
    <m/>
    <m/>
    <m/>
    <m/>
    <m/>
    <n v="894.25"/>
    <m/>
    <n v="894.25"/>
  </r>
  <r>
    <s v="Vertrag 000018 (2013)"/>
    <m/>
    <s v="Abg."/>
    <x v="20"/>
    <s v="Aufnahmen LSW"/>
    <n v="6584.85"/>
    <x v="0"/>
    <x v="1"/>
    <x v="5"/>
    <s v="13.02.16.311.02"/>
    <m/>
    <m/>
    <m/>
    <n v="6286.25"/>
    <m/>
    <m/>
    <m/>
    <m/>
    <m/>
    <m/>
    <m/>
    <m/>
    <m/>
    <m/>
    <m/>
    <m/>
    <m/>
    <m/>
    <m/>
    <n v="6286.25"/>
    <m/>
    <n v="6286.25"/>
  </r>
  <r>
    <s v="Vertrag 000018 (2013)"/>
    <m/>
    <s v="Abg."/>
    <x v="4"/>
    <s v="Vermessungsaufnahmen &quot;Loch&quot;"/>
    <n v="5177.25"/>
    <x v="0"/>
    <x v="1"/>
    <x v="5"/>
    <s v="13.02.16.311.02"/>
    <m/>
    <m/>
    <m/>
    <n v="5591.45"/>
    <m/>
    <m/>
    <m/>
    <m/>
    <m/>
    <m/>
    <m/>
    <m/>
    <m/>
    <m/>
    <m/>
    <m/>
    <m/>
    <m/>
    <m/>
    <n v="5591.45"/>
    <m/>
    <n v="5591.45"/>
  </r>
  <r>
    <s v="Vertrag 000018 (2013)"/>
    <m/>
    <s v="Abg."/>
    <x v="21"/>
    <s v="Statik-Grundlagen"/>
    <n v="308.55"/>
    <x v="0"/>
    <x v="4"/>
    <x v="1"/>
    <s v="13.02.16.430.18"/>
    <m/>
    <m/>
    <m/>
    <n v="308.55"/>
    <m/>
    <m/>
    <m/>
    <m/>
    <m/>
    <m/>
    <m/>
    <m/>
    <m/>
    <m/>
    <m/>
    <m/>
    <m/>
    <m/>
    <m/>
    <n v="308.55"/>
    <m/>
    <n v="308.55"/>
  </r>
  <r>
    <s v="Vertrag 000018 (2014)"/>
    <m/>
    <s v="Abg."/>
    <x v="22"/>
    <s v="Leitungskataster"/>
    <n v="237.6"/>
    <x v="0"/>
    <x v="0"/>
    <x v="1"/>
    <s v="13.02.16.510.02"/>
    <m/>
    <m/>
    <m/>
    <m/>
    <n v="237.6"/>
    <m/>
    <m/>
    <m/>
    <m/>
    <m/>
    <m/>
    <m/>
    <m/>
    <m/>
    <m/>
    <m/>
    <m/>
    <m/>
    <m/>
    <n v="237.6"/>
    <m/>
    <n v="237.6"/>
  </r>
  <r>
    <s v="Vertrag 000018 (2014)"/>
    <m/>
    <s v="Abg."/>
    <x v="23"/>
    <s v="Rammsondierung AS Diegten"/>
    <n v="10000"/>
    <x v="0"/>
    <x v="4"/>
    <x v="5"/>
    <s v="13.02.16.410.08"/>
    <m/>
    <m/>
    <m/>
    <m/>
    <n v="6539.83"/>
    <m/>
    <m/>
    <m/>
    <m/>
    <m/>
    <m/>
    <m/>
    <m/>
    <m/>
    <m/>
    <m/>
    <m/>
    <m/>
    <m/>
    <n v="6539.83"/>
    <m/>
    <n v="6539.83"/>
  </r>
  <r>
    <s v="Vertrag 000018 (2014)"/>
    <m/>
    <s v="Abg."/>
    <x v="0"/>
    <s v="Bewilligung Sondierbohrung AS Diegten"/>
    <n v="150"/>
    <x v="0"/>
    <x v="4"/>
    <x v="5"/>
    <s v="13.02.16.410.08"/>
    <m/>
    <m/>
    <m/>
    <m/>
    <n v="150"/>
    <m/>
    <m/>
    <m/>
    <m/>
    <m/>
    <m/>
    <m/>
    <m/>
    <m/>
    <m/>
    <m/>
    <m/>
    <m/>
    <m/>
    <n v="150"/>
    <m/>
    <n v="150"/>
  </r>
  <r>
    <s v="Vertrag 000018 (2014)"/>
    <m/>
    <s v="Abg."/>
    <x v="6"/>
    <s v="Rammsondierung AS Diegten"/>
    <n v="3000"/>
    <x v="0"/>
    <x v="4"/>
    <x v="5"/>
    <s v="13.02.16.410.08"/>
    <m/>
    <m/>
    <m/>
    <m/>
    <n v="915.2"/>
    <m/>
    <m/>
    <m/>
    <m/>
    <m/>
    <m/>
    <m/>
    <m/>
    <m/>
    <m/>
    <m/>
    <m/>
    <m/>
    <m/>
    <n v="915.2"/>
    <m/>
    <n v="915.2"/>
  </r>
  <r>
    <s v="Vertrag 000018 (2015)"/>
    <m/>
    <s v="Abg."/>
    <x v="24"/>
    <s v="Sondierbohrung Tu Ebenrain"/>
    <n v="3034.25"/>
    <x v="0"/>
    <x v="0"/>
    <x v="5"/>
    <s v="13.02.16.510.02"/>
    <m/>
    <m/>
    <m/>
    <m/>
    <m/>
    <n v="3034.25"/>
    <m/>
    <m/>
    <m/>
    <m/>
    <m/>
    <m/>
    <m/>
    <m/>
    <m/>
    <m/>
    <m/>
    <m/>
    <m/>
    <n v="3034.25"/>
    <m/>
    <n v="3034.25"/>
  </r>
  <r>
    <s v="Vertrag 000018 (2014)"/>
    <m/>
    <s v="Abg."/>
    <x v="2"/>
    <s v="Vermessung Holzbretterwand"/>
    <n v="4671.1499999999996"/>
    <x v="0"/>
    <x v="4"/>
    <x v="5"/>
    <s v="13.02.16.711.20"/>
    <m/>
    <m/>
    <m/>
    <m/>
    <m/>
    <n v="2986.8"/>
    <m/>
    <m/>
    <m/>
    <m/>
    <m/>
    <m/>
    <m/>
    <m/>
    <m/>
    <m/>
    <m/>
    <m/>
    <m/>
    <n v="2986.8"/>
    <m/>
    <n v="2986.8"/>
  </r>
  <r>
    <s v="Vertrag 000018 (2015)"/>
    <m/>
    <s v="Abg."/>
    <x v="8"/>
    <s v="Sperrungen Sondierbohrungen"/>
    <n v="5605.2"/>
    <x v="1"/>
    <x v="4"/>
    <x v="5"/>
    <s v="13.02.16.420.91"/>
    <m/>
    <m/>
    <m/>
    <m/>
    <m/>
    <n v="2948.4"/>
    <m/>
    <m/>
    <m/>
    <m/>
    <m/>
    <m/>
    <m/>
    <m/>
    <m/>
    <m/>
    <m/>
    <m/>
    <m/>
    <n v="2948.4"/>
    <m/>
    <n v="2948.4"/>
  </r>
  <r>
    <s v="Vertrag 000018 (2015)"/>
    <m/>
    <s v="Abg."/>
    <x v="8"/>
    <s v="Sperrungen Tunnel Ebenrain"/>
    <n v="4341.6000000000004"/>
    <x v="0"/>
    <x v="0"/>
    <x v="5"/>
    <s v="13.02.16.510.02"/>
    <m/>
    <m/>
    <m/>
    <m/>
    <m/>
    <n v="4341.6000000000004"/>
    <m/>
    <m/>
    <m/>
    <m/>
    <m/>
    <m/>
    <m/>
    <m/>
    <m/>
    <m/>
    <m/>
    <m/>
    <m/>
    <n v="4341.6000000000004"/>
    <m/>
    <n v="4341.6000000000004"/>
  </r>
  <r>
    <s v="Vertrag 000018 (2015)"/>
    <m/>
    <s v="Abg."/>
    <x v="25"/>
    <s v="Bodenuntersuchung Analyse"/>
    <n v="1200"/>
    <x v="1"/>
    <x v="4"/>
    <x v="5"/>
    <s v="13.02.16.420.91"/>
    <m/>
    <m/>
    <m/>
    <m/>
    <m/>
    <n v="1130.75"/>
    <m/>
    <m/>
    <m/>
    <m/>
    <m/>
    <m/>
    <m/>
    <m/>
    <m/>
    <m/>
    <m/>
    <m/>
    <m/>
    <n v="1130.75"/>
    <m/>
    <n v="1130.75"/>
  </r>
  <r>
    <s v="Vertrag 000018 (2015)"/>
    <m/>
    <s v="Abg."/>
    <x v="26"/>
    <s v="Projektierung Störfall (MK/AP)"/>
    <n v="1306.7"/>
    <x v="0"/>
    <x v="1"/>
    <x v="1"/>
    <s v="13.02.16.311.02"/>
    <m/>
    <m/>
    <m/>
    <m/>
    <m/>
    <n v="1158"/>
    <m/>
    <m/>
    <m/>
    <m/>
    <m/>
    <m/>
    <m/>
    <m/>
    <m/>
    <m/>
    <m/>
    <m/>
    <m/>
    <n v="1158"/>
    <m/>
    <n v="1158"/>
  </r>
  <r>
    <s v="Vertrag 000018 (2016)"/>
    <m/>
    <s v="Abg."/>
    <x v="6"/>
    <s v="Rammsondierungen Holzbretterwand (MP/DP)"/>
    <n v="1374.85"/>
    <x v="0"/>
    <x v="4"/>
    <x v="5"/>
    <s v="13.02.16.711.02"/>
    <m/>
    <m/>
    <m/>
    <m/>
    <m/>
    <m/>
    <n v="1374.85"/>
    <m/>
    <m/>
    <m/>
    <m/>
    <m/>
    <m/>
    <m/>
    <m/>
    <m/>
    <m/>
    <m/>
    <m/>
    <n v="1374.85"/>
    <m/>
    <n v="1374.85"/>
  </r>
  <r>
    <s v="Vertrag 000018 (2016)"/>
    <m/>
    <s v="Abg."/>
    <x v="27"/>
    <s v="Prüfungen Musterflächen"/>
    <n v="9122.15"/>
    <x v="0"/>
    <x v="0"/>
    <x v="5"/>
    <s v="13.02.16.510.02"/>
    <m/>
    <m/>
    <m/>
    <m/>
    <m/>
    <m/>
    <n v="6449.45"/>
    <m/>
    <m/>
    <m/>
    <m/>
    <m/>
    <m/>
    <m/>
    <m/>
    <m/>
    <m/>
    <m/>
    <m/>
    <n v="6449.45"/>
    <m/>
    <n v="6449.45"/>
  </r>
  <r>
    <s v="Vertrag 000018 (2016)"/>
    <m/>
    <s v="Abg."/>
    <x v="28"/>
    <s v="Profile ARZW"/>
    <n v="697.45"/>
    <x v="1"/>
    <x v="1"/>
    <x v="1"/>
    <s v="13.02.16.311.02"/>
    <m/>
    <m/>
    <m/>
    <m/>
    <m/>
    <m/>
    <n v="318.60000000000002"/>
    <m/>
    <m/>
    <m/>
    <m/>
    <m/>
    <m/>
    <m/>
    <m/>
    <m/>
    <m/>
    <m/>
    <m/>
    <n v="318.60000000000002"/>
    <m/>
    <n v="318.60000000000002"/>
  </r>
  <r>
    <s v="Vertrag 000019 (2010)"/>
    <m/>
    <s v="Abg."/>
    <x v="18"/>
    <s v="EK Signalisationskonzept"/>
    <n v="35888.75"/>
    <x v="0"/>
    <x v="3"/>
    <x v="1"/>
    <s v="13.02.16.890.02"/>
    <m/>
    <n v="29503.05"/>
    <n v="6502.4000000000005"/>
    <m/>
    <m/>
    <m/>
    <m/>
    <m/>
    <m/>
    <m/>
    <m/>
    <m/>
    <m/>
    <m/>
    <m/>
    <m/>
    <m/>
    <m/>
    <m/>
    <n v="36005.449999999997"/>
    <m/>
    <n v="36005.449999999997"/>
  </r>
  <r>
    <s v="Vertrag 000020 (2010)"/>
    <m/>
    <s v="Abg."/>
    <x v="26"/>
    <s v="EK Störfallbericht"/>
    <n v="23408.55"/>
    <x v="0"/>
    <x v="1"/>
    <x v="1"/>
    <s v="13.02.16.311.02"/>
    <m/>
    <m/>
    <n v="21552.05"/>
    <m/>
    <m/>
    <m/>
    <m/>
    <m/>
    <m/>
    <m/>
    <m/>
    <m/>
    <m/>
    <m/>
    <m/>
    <m/>
    <m/>
    <m/>
    <m/>
    <n v="21552.05"/>
    <m/>
    <n v="21552.05"/>
  </r>
  <r>
    <s v="Vertrag 000021 (2012)"/>
    <m/>
    <s v="Abg."/>
    <x v="19"/>
    <s v="Mat.techn. U. UEF, UNF, BDL"/>
    <n v="151293.95000000001"/>
    <x v="0"/>
    <x v="4"/>
    <x v="5"/>
    <s v="13.02.16.420.04"/>
    <m/>
    <m/>
    <m/>
    <n v="145158.94"/>
    <m/>
    <m/>
    <m/>
    <m/>
    <m/>
    <m/>
    <m/>
    <m/>
    <m/>
    <m/>
    <m/>
    <m/>
    <m/>
    <m/>
    <m/>
    <n v="145158.94"/>
    <m/>
    <n v="145158.94"/>
  </r>
  <r>
    <s v="Vertrag 000021 (2012)"/>
    <m/>
    <s v="Abg."/>
    <x v="19"/>
    <s v="Mat.techn. U. UEF, UNF, BDL"/>
    <n v="129085.91"/>
    <x v="0"/>
    <x v="4"/>
    <x v="5"/>
    <s v="13.02.16.430.18"/>
    <m/>
    <m/>
    <n v="112736.18"/>
    <m/>
    <m/>
    <m/>
    <m/>
    <m/>
    <m/>
    <m/>
    <m/>
    <m/>
    <m/>
    <m/>
    <m/>
    <m/>
    <m/>
    <m/>
    <m/>
    <n v="112736.18"/>
    <m/>
    <n v="112736.18"/>
  </r>
  <r>
    <s v="Vertrag 000021 (2012)"/>
    <m/>
    <s v="Abg."/>
    <x v="19"/>
    <s v="Mat.techn. U. UEF, UNF, BDL"/>
    <n v="74863.44"/>
    <x v="0"/>
    <x v="4"/>
    <x v="5"/>
    <s v="13.02.16.440.10"/>
    <m/>
    <m/>
    <n v="64516.18"/>
    <m/>
    <m/>
    <m/>
    <m/>
    <m/>
    <m/>
    <m/>
    <m/>
    <m/>
    <m/>
    <m/>
    <m/>
    <m/>
    <m/>
    <m/>
    <m/>
    <n v="64516.18"/>
    <m/>
    <n v="64516.18"/>
  </r>
  <r>
    <s v="Vertrag 000022 (2012)"/>
    <m/>
    <s v="Abg."/>
    <x v="19"/>
    <s v="Mat.techn. U. Brücken"/>
    <n v="258114.6"/>
    <x v="0"/>
    <x v="4"/>
    <x v="5"/>
    <s v="13.02.16.410.08"/>
    <m/>
    <m/>
    <n v="158991.09999999998"/>
    <n v="86132.800000000003"/>
    <m/>
    <m/>
    <m/>
    <m/>
    <m/>
    <m/>
    <m/>
    <m/>
    <m/>
    <m/>
    <m/>
    <m/>
    <m/>
    <m/>
    <m/>
    <n v="245123.89999999997"/>
    <m/>
    <n v="245123.89999999997"/>
  </r>
  <r>
    <s v="Vertrag 000023 (2012)"/>
    <m/>
    <s v="Abg."/>
    <x v="19"/>
    <s v="Mat.techn. U. Tunnel/Geotechnik"/>
    <n v="36926.29"/>
    <x v="0"/>
    <x v="0"/>
    <x v="5"/>
    <s v="13.02.16.510.02"/>
    <m/>
    <m/>
    <m/>
    <n v="41495.589999999997"/>
    <m/>
    <m/>
    <m/>
    <m/>
    <m/>
    <m/>
    <m/>
    <m/>
    <m/>
    <m/>
    <m/>
    <m/>
    <m/>
    <m/>
    <m/>
    <n v="41495.589999999997"/>
    <m/>
    <n v="41495.589999999997"/>
  </r>
  <r>
    <s v="Vertrag 000023 (2012)"/>
    <m/>
    <s v="Abg."/>
    <x v="19"/>
    <s v="Mat.techn. U. Tunnel/Geotechnik"/>
    <n v="42244.21"/>
    <x v="0"/>
    <x v="0"/>
    <x v="5"/>
    <s v="13.02.16.510.03"/>
    <m/>
    <m/>
    <m/>
    <n v="47710.82"/>
    <m/>
    <m/>
    <m/>
    <m/>
    <m/>
    <m/>
    <m/>
    <m/>
    <m/>
    <m/>
    <m/>
    <m/>
    <m/>
    <m/>
    <m/>
    <n v="47710.82"/>
    <m/>
    <n v="47710.82"/>
  </r>
  <r>
    <s v="Vertrag 000023 (2012)"/>
    <m/>
    <s v="Abg."/>
    <x v="19"/>
    <s v="Mat.techn. U. Tunnel/Geotechnik"/>
    <n v="26287.200000000001"/>
    <x v="0"/>
    <x v="0"/>
    <x v="5"/>
    <s v="13.02.16.720.21"/>
    <m/>
    <m/>
    <n v="19057.800000000003"/>
    <n v="6782.94"/>
    <m/>
    <m/>
    <m/>
    <m/>
    <m/>
    <m/>
    <m/>
    <m/>
    <m/>
    <m/>
    <m/>
    <m/>
    <m/>
    <m/>
    <m/>
    <n v="25840.74"/>
    <m/>
    <n v="25840.74"/>
  </r>
  <r>
    <s v="Vertrag 000024 (2012)"/>
    <m/>
    <s v="Abg."/>
    <x v="8"/>
    <s v="Sperrungen Mat.techn.U. 2012"/>
    <n v="21097.3"/>
    <x v="0"/>
    <x v="4"/>
    <x v="5"/>
    <s v="13.02.16.410.08"/>
    <m/>
    <m/>
    <n v="14022.95"/>
    <m/>
    <m/>
    <m/>
    <m/>
    <m/>
    <m/>
    <m/>
    <m/>
    <m/>
    <m/>
    <m/>
    <m/>
    <m/>
    <m/>
    <m/>
    <m/>
    <n v="14022.95"/>
    <m/>
    <n v="14022.95"/>
  </r>
  <r>
    <s v="Vertrag 000025 (2013)"/>
    <m/>
    <s v="Abg."/>
    <x v="29"/>
    <s v="Projektierung T/G+T&amp;U+K (MK/AP) "/>
    <n v="921207.60000000009"/>
    <x v="2"/>
    <x v="5"/>
    <x v="1"/>
    <s v="INGE"/>
    <m/>
    <m/>
    <m/>
    <n v="441055"/>
    <n v="1228667.1000000001"/>
    <n v="318072.15000000002"/>
    <n v="194307.05999999997"/>
    <n v="1674"/>
    <m/>
    <m/>
    <m/>
    <m/>
    <m/>
    <m/>
    <m/>
    <m/>
    <m/>
    <m/>
    <m/>
    <n v="2183775.31"/>
    <m/>
    <n v="2183775.31"/>
  </r>
  <r>
    <s v="Vertrag 000025 (2013)"/>
    <m/>
    <s v="Abg."/>
    <x v="29"/>
    <s v="Projektierung T/G+T&amp;U+K (MK/AP) "/>
    <s v="Teuerung"/>
    <x v="2"/>
    <x v="5"/>
    <x v="3"/>
    <s v="INGE"/>
    <m/>
    <m/>
    <m/>
    <m/>
    <m/>
    <m/>
    <n v="7445"/>
    <n v="2295.2399999999998"/>
    <m/>
    <m/>
    <m/>
    <m/>
    <m/>
    <m/>
    <m/>
    <m/>
    <m/>
    <m/>
    <m/>
    <n v="9740.24"/>
    <m/>
    <n v="9740.24"/>
  </r>
  <r>
    <s v="Vertrag 000025 (2016)"/>
    <m/>
    <s v="Abg."/>
    <x v="29"/>
    <s v="Projektierung T/G+T&amp;U+K (MP/DP) "/>
    <n v="1043269.2000000001"/>
    <x v="2"/>
    <x v="5"/>
    <x v="1"/>
    <s v="INGE"/>
    <m/>
    <m/>
    <m/>
    <m/>
    <m/>
    <m/>
    <n v="674458.4"/>
    <n v="438908.16000000009"/>
    <n v="97958.849999999991"/>
    <n v="30227.919999999998"/>
    <n v="2584.8000000000002"/>
    <m/>
    <m/>
    <m/>
    <m/>
    <m/>
    <m/>
    <m/>
    <m/>
    <n v="1244138.1300000001"/>
    <m/>
    <n v="1244138.1300000001"/>
  </r>
  <r>
    <s v="Vertrag 000025 (2016)"/>
    <n v="1355043804"/>
    <s v="Aktiv"/>
    <x v="29"/>
    <s v="Projektierung T/G+T&amp;U+K (MP/DP) "/>
    <s v="Teuerung"/>
    <x v="0"/>
    <x v="5"/>
    <x v="3"/>
    <s v="INGE"/>
    <m/>
    <m/>
    <m/>
    <m/>
    <m/>
    <m/>
    <m/>
    <n v="31020.560000000001"/>
    <n v="34329.449999999997"/>
    <n v="6760.26"/>
    <n v="3626.05"/>
    <n v="8771.7199999999993"/>
    <n v="38277.46"/>
    <m/>
    <m/>
    <m/>
    <m/>
    <m/>
    <s v="Teuerung"/>
    <n v="122785.5"/>
    <m/>
    <n v="122785.5"/>
  </r>
  <r>
    <s v="Vertrag 000025 (2016)"/>
    <m/>
    <s v="Abg."/>
    <x v="29"/>
    <s v="Projektierung (PGV)"/>
    <n v="27945.000000000004"/>
    <x v="1"/>
    <x v="1"/>
    <x v="1"/>
    <s v="13.02.16.311.02"/>
    <m/>
    <m/>
    <m/>
    <m/>
    <m/>
    <m/>
    <n v="2845.8"/>
    <n v="15834.15"/>
    <m/>
    <m/>
    <m/>
    <m/>
    <m/>
    <m/>
    <m/>
    <m/>
    <m/>
    <m/>
    <m/>
    <n v="18679.95"/>
    <m/>
    <n v="18679.95"/>
  </r>
  <r>
    <s v="Vertrag 000025 (2016)"/>
    <m/>
    <s v="Abg."/>
    <x v="29"/>
    <s v="Projektierung (PGV)"/>
    <s v="Teuerung"/>
    <x v="1"/>
    <x v="1"/>
    <x v="3"/>
    <s v="13.02.16.311.02"/>
    <m/>
    <m/>
    <m/>
    <m/>
    <m/>
    <m/>
    <m/>
    <n v="312.39999999999998"/>
    <m/>
    <m/>
    <m/>
    <m/>
    <m/>
    <m/>
    <m/>
    <m/>
    <m/>
    <m/>
    <m/>
    <n v="312.39999999999998"/>
    <m/>
    <n v="312.39999999999998"/>
  </r>
  <r>
    <s v="Vertrag 000025 (2016)"/>
    <m/>
    <s v="Abg."/>
    <x v="29"/>
    <s v="Projektierung (PGV)"/>
    <n v="32940"/>
    <x v="1"/>
    <x v="4"/>
    <x v="1"/>
    <s v="13.02.16.420.91"/>
    <m/>
    <m/>
    <m/>
    <m/>
    <m/>
    <m/>
    <m/>
    <m/>
    <m/>
    <m/>
    <m/>
    <m/>
    <m/>
    <m/>
    <m/>
    <m/>
    <m/>
    <m/>
    <m/>
    <n v="0"/>
    <m/>
    <n v="0"/>
  </r>
  <r>
    <s v="Vertrag 000025 (2017)"/>
    <m/>
    <s v="Abg."/>
    <x v="29"/>
    <s v="Ausschreibung T&amp;U+K + T/G"/>
    <n v="553176"/>
    <x v="2"/>
    <x v="5"/>
    <x v="1"/>
    <s v="INGE"/>
    <m/>
    <m/>
    <m/>
    <m/>
    <m/>
    <m/>
    <m/>
    <n v="583464.6100000001"/>
    <n v="82097.8"/>
    <n v="86898.830000000016"/>
    <n v="178611.6"/>
    <m/>
    <m/>
    <m/>
    <m/>
    <m/>
    <m/>
    <m/>
    <m/>
    <n v="931072.8400000002"/>
    <m/>
    <n v="931072.8400000002"/>
  </r>
  <r>
    <s v="Vertrag 000025 (2017)"/>
    <m/>
    <s v="Aktiv"/>
    <x v="29"/>
    <s v="Unterlagen für Ausführung T&amp;U+K+T/G"/>
    <n v="1464987.6"/>
    <x v="0"/>
    <x v="5"/>
    <x v="1"/>
    <s v="INGE"/>
    <m/>
    <m/>
    <m/>
    <m/>
    <m/>
    <m/>
    <m/>
    <n v="52615.15"/>
    <n v="4106.8999999999996"/>
    <n v="9411.9499999999989"/>
    <n v="1884.75"/>
    <n v="397846.74999999994"/>
    <n v="187082.17999999996"/>
    <n v="162917.82000000004"/>
    <n v="200000"/>
    <n v="200000"/>
    <n v="150000"/>
    <m/>
    <s v="Annahme BHU"/>
    <n v="652947.67999999993"/>
    <n v="812039.92000000016"/>
    <n v="1464987.6"/>
  </r>
  <r>
    <s v="Vertrag 000025 (2017)"/>
    <m/>
    <s v="Aktiv"/>
    <x v="29"/>
    <s v="Bauleitung, ZL, I&amp;A T&amp;U+K+T/G"/>
    <n v="2290393.8000000003"/>
    <x v="0"/>
    <x v="5"/>
    <x v="1"/>
    <s v="INGE"/>
    <m/>
    <m/>
    <m/>
    <m/>
    <m/>
    <m/>
    <m/>
    <m/>
    <m/>
    <m/>
    <m/>
    <n v="74708.800000000003"/>
    <n v="318365.24"/>
    <n v="181634.76"/>
    <n v="500000"/>
    <n v="400000"/>
    <n v="400000"/>
    <n v="350000"/>
    <s v="Annahme BHU"/>
    <n v="393074.04"/>
    <n v="1897319.7600000002"/>
    <n v="1897319.7600000002"/>
  </r>
  <r>
    <s v="Vertrag 000025 NO1 (2013)"/>
    <m/>
    <s v="Abg."/>
    <x v="29"/>
    <s v="Hauptinspektionen 2013"/>
    <n v="106828.45"/>
    <x v="0"/>
    <x v="0"/>
    <x v="5"/>
    <s v="INGE"/>
    <m/>
    <m/>
    <m/>
    <n v="86998.25"/>
    <m/>
    <m/>
    <m/>
    <m/>
    <m/>
    <m/>
    <m/>
    <m/>
    <m/>
    <m/>
    <m/>
    <m/>
    <m/>
    <m/>
    <m/>
    <n v="86998.25"/>
    <m/>
    <n v="86998.25"/>
  </r>
  <r>
    <s v="Vertrag 000025 NO2a (2013)"/>
    <m/>
    <s v="Abg."/>
    <x v="29"/>
    <s v="Projektierung Akustik (MK/AP)"/>
    <n v="103384.75"/>
    <x v="0"/>
    <x v="1"/>
    <x v="1"/>
    <s v="13.02.16.311.02"/>
    <m/>
    <m/>
    <m/>
    <n v="5256.05"/>
    <n v="102451.95"/>
    <n v="39117.249999999993"/>
    <n v="12359.54"/>
    <m/>
    <m/>
    <m/>
    <m/>
    <m/>
    <m/>
    <m/>
    <m/>
    <m/>
    <m/>
    <m/>
    <m/>
    <n v="159184.79"/>
    <m/>
    <n v="159184.79"/>
  </r>
  <r>
    <s v="Vertrag 000025 NO2a (2013)"/>
    <m/>
    <s v="Abg."/>
    <x v="29"/>
    <s v="Projektierung Akustik (MK/AP)"/>
    <s v="Teuerung"/>
    <x v="0"/>
    <x v="1"/>
    <x v="3"/>
    <s v="13.02.16.311.02"/>
    <m/>
    <m/>
    <m/>
    <m/>
    <m/>
    <m/>
    <n v="528.54999999999995"/>
    <n v="243.98"/>
    <m/>
    <m/>
    <m/>
    <m/>
    <m/>
    <m/>
    <m/>
    <m/>
    <m/>
    <m/>
    <m/>
    <n v="772.53"/>
    <m/>
    <n v="772.53"/>
  </r>
  <r>
    <s v="Vertrag 000025 NO2b (2013)"/>
    <m/>
    <s v="Abg."/>
    <x v="29"/>
    <s v="Projektierung Archivaufbereitung"/>
    <n v="50666"/>
    <x v="0"/>
    <x v="5"/>
    <x v="1"/>
    <s v="INGE"/>
    <m/>
    <m/>
    <m/>
    <n v="46210.15"/>
    <n v="1233.25"/>
    <m/>
    <m/>
    <m/>
    <m/>
    <m/>
    <m/>
    <m/>
    <m/>
    <m/>
    <m/>
    <m/>
    <m/>
    <m/>
    <m/>
    <n v="47443.4"/>
    <m/>
    <n v="47443.4"/>
  </r>
  <r>
    <s v="Vertrag 000025 NO3 (2013)"/>
    <m/>
    <s v="Abg."/>
    <x v="29"/>
    <s v="HI Ebmatt + Wasseranalyse"/>
    <n v="13755.42"/>
    <x v="0"/>
    <x v="0"/>
    <x v="5"/>
    <s v="INGE"/>
    <m/>
    <m/>
    <m/>
    <n v="1710.05"/>
    <n v="10555.8"/>
    <m/>
    <m/>
    <m/>
    <m/>
    <m/>
    <m/>
    <m/>
    <m/>
    <m/>
    <m/>
    <m/>
    <m/>
    <m/>
    <m/>
    <n v="12265.849999999999"/>
    <m/>
    <n v="12265.849999999999"/>
  </r>
  <r>
    <s v="Vertrag 000025 NO4 (2014)"/>
    <m/>
    <s v="Abg."/>
    <x v="29"/>
    <s v="Nachtrag T/G+T&amp;U+K (MK/AP) "/>
    <n v="493839.7"/>
    <x v="2"/>
    <x v="5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4 (2014)"/>
    <m/>
    <s v="Abg."/>
    <x v="29"/>
    <s v="Vorleistungen aus Folgephasen"/>
    <n v="41196"/>
    <x v="2"/>
    <x v="5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4 (2014)"/>
    <m/>
    <s v="Abg."/>
    <x v="29"/>
    <s v="Vorleistungen zu Phase MK/AP"/>
    <n v="-44491.68"/>
    <x v="2"/>
    <x v="5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5 (2014)"/>
    <m/>
    <s v="Abg."/>
    <x v="29"/>
    <s v="Brücke Lindenacker (MK) "/>
    <n v="26615"/>
    <x v="0"/>
    <x v="4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6 (2014)"/>
    <m/>
    <s v="Abg."/>
    <x v="29"/>
    <s v="Mehrleistungen (MK/AP) "/>
    <n v="462462.5"/>
    <x v="2"/>
    <x v="5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7 (2014)"/>
    <m/>
    <s v="Abg."/>
    <x v="29"/>
    <s v="Wildtierunterführung (AP)"/>
    <n v="58546.8"/>
    <x v="1"/>
    <x v="4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8 (2016)"/>
    <m/>
    <s v="Abg."/>
    <x v="29"/>
    <s v="ARZW, Ecoplan, ZU, WTQ, ZL"/>
    <n v="202683.6"/>
    <x v="2"/>
    <x v="5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8 (2016)"/>
    <m/>
    <s v="Abg."/>
    <x v="29"/>
    <s v="ARZW, Ecoplan, ZU, WTQ, ZL"/>
    <n v="40345.560000000005"/>
    <x v="2"/>
    <x v="5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9 (2017)"/>
    <m/>
    <s v="Abg."/>
    <x v="29"/>
    <s v="Kalkulierter Mehraufwand  MP/DP"/>
    <n v="196028.00099999999"/>
    <x v="2"/>
    <x v="5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10 (2018)"/>
    <m/>
    <s v="Abg."/>
    <x v="29"/>
    <s v="Kalkulierter Mehraufwand Subm."/>
    <n v="161001.79699999999"/>
    <x v="2"/>
    <x v="5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11 (2019)"/>
    <m/>
    <s v="Abg."/>
    <x v="29"/>
    <s v="Kalkulierter Mehraufwand Subm."/>
    <n v="219614.30099999998"/>
    <x v="2"/>
    <x v="5"/>
    <x v="1"/>
    <s v="INGE"/>
    <m/>
    <m/>
    <m/>
    <m/>
    <m/>
    <m/>
    <m/>
    <m/>
    <m/>
    <m/>
    <m/>
    <m/>
    <m/>
    <m/>
    <m/>
    <m/>
    <m/>
    <m/>
    <m/>
    <n v="0"/>
    <m/>
    <n v="0"/>
  </r>
  <r>
    <s v="Vertrag 000025 NO12 (2020)"/>
    <m/>
    <s v="Aktiv"/>
    <x v="29"/>
    <s v="Kalkulierter Mehraufwand Bauleitung"/>
    <n v="364838.05799999996"/>
    <x v="0"/>
    <x v="5"/>
    <x v="1"/>
    <s v="INGE"/>
    <m/>
    <m/>
    <m/>
    <m/>
    <m/>
    <m/>
    <m/>
    <m/>
    <m/>
    <m/>
    <m/>
    <m/>
    <m/>
    <m/>
    <m/>
    <m/>
    <m/>
    <m/>
    <m/>
    <n v="0"/>
    <n v="364838.05799999996"/>
    <n v="364838.05799999996"/>
  </r>
  <r>
    <s v="Vertrag 000026 (2013)"/>
    <m/>
    <s v="Abg."/>
    <x v="26"/>
    <s v="Projektierung Störfall (MK/AP)"/>
    <n v="12194.7"/>
    <x v="0"/>
    <x v="1"/>
    <x v="1"/>
    <s v="13.02.16.311.02"/>
    <m/>
    <m/>
    <m/>
    <m/>
    <n v="12343.4"/>
    <m/>
    <m/>
    <m/>
    <m/>
    <m/>
    <m/>
    <m/>
    <m/>
    <m/>
    <m/>
    <m/>
    <m/>
    <m/>
    <m/>
    <n v="12343.4"/>
    <m/>
    <n v="12343.4"/>
  </r>
  <r>
    <s v="Vertrag 000027 (2013)"/>
    <m/>
    <s v="Abg."/>
    <x v="30"/>
    <s v="BHU BSA (bis MK/AP)"/>
    <n v="30118.25"/>
    <x v="0"/>
    <x v="3"/>
    <x v="2"/>
    <s v="13.02.16.890.02"/>
    <m/>
    <m/>
    <m/>
    <n v="2018.45"/>
    <n v="4332.8"/>
    <n v="570.65"/>
    <n v="24348.15"/>
    <m/>
    <m/>
    <m/>
    <m/>
    <m/>
    <m/>
    <m/>
    <m/>
    <m/>
    <m/>
    <m/>
    <m/>
    <n v="31270.050000000003"/>
    <m/>
    <n v="31270.050000000003"/>
  </r>
  <r>
    <s v="Vertrag 000028 (2013)"/>
    <m/>
    <s v="Abg."/>
    <x v="31"/>
    <s v="Hebebühnen für HI 2013"/>
    <n v="3053.16"/>
    <x v="0"/>
    <x v="0"/>
    <x v="5"/>
    <s v="13.02.16.510.02"/>
    <m/>
    <m/>
    <m/>
    <n v="2190.25"/>
    <m/>
    <m/>
    <m/>
    <m/>
    <m/>
    <m/>
    <m/>
    <m/>
    <m/>
    <m/>
    <m/>
    <m/>
    <m/>
    <m/>
    <m/>
    <n v="2190.25"/>
    <m/>
    <n v="2190.25"/>
  </r>
  <r>
    <s v="Vertrag 000028 (2013)"/>
    <m/>
    <s v="Abg."/>
    <x v="31"/>
    <s v="Hebebühnen für HI 2013"/>
    <n v="3053.16"/>
    <x v="0"/>
    <x v="0"/>
    <x v="5"/>
    <s v="13.02.16.510.03"/>
    <m/>
    <m/>
    <m/>
    <n v="2673"/>
    <m/>
    <m/>
    <m/>
    <m/>
    <m/>
    <m/>
    <m/>
    <m/>
    <m/>
    <m/>
    <m/>
    <m/>
    <m/>
    <m/>
    <m/>
    <n v="2673"/>
    <m/>
    <n v="2673"/>
  </r>
  <r>
    <s v="Vertrag 000028 (2013)"/>
    <m/>
    <s v="Abg."/>
    <x v="31"/>
    <s v="Hebebühnen für HI 2013"/>
    <n v="11883.23"/>
    <x v="0"/>
    <x v="0"/>
    <x v="5"/>
    <s v="13.02.16.720.21"/>
    <m/>
    <m/>
    <m/>
    <n v="10352.9"/>
    <m/>
    <m/>
    <m/>
    <m/>
    <m/>
    <m/>
    <m/>
    <m/>
    <m/>
    <m/>
    <m/>
    <m/>
    <m/>
    <m/>
    <m/>
    <n v="10352.9"/>
    <m/>
    <n v="10352.9"/>
  </r>
  <r>
    <s v="Vertrag 000029 (2013)"/>
    <m/>
    <s v="Abg."/>
    <x v="16"/>
    <s v="Instandsetzung Fassaden Rastplätze"/>
    <n v="15258.65"/>
    <x v="0"/>
    <x v="1"/>
    <x v="1"/>
    <s v="13.02.16.311.02"/>
    <m/>
    <m/>
    <m/>
    <n v="3061.45"/>
    <n v="3313.55"/>
    <m/>
    <m/>
    <m/>
    <m/>
    <m/>
    <m/>
    <m/>
    <m/>
    <m/>
    <m/>
    <m/>
    <m/>
    <m/>
    <m/>
    <n v="6375"/>
    <m/>
    <n v="6375"/>
  </r>
  <r>
    <s v="Vertrag 000030 (2013)"/>
    <m/>
    <s v="Abg."/>
    <x v="32"/>
    <s v="Projektierung Wildtierökologie (AP)"/>
    <n v="30212.35"/>
    <x v="1"/>
    <x v="4"/>
    <x v="1"/>
    <s v="13.02.16.420.91"/>
    <m/>
    <m/>
    <m/>
    <m/>
    <n v="9502.25"/>
    <n v="7309.4500000000007"/>
    <n v="7897.52"/>
    <n v="564"/>
    <m/>
    <m/>
    <m/>
    <m/>
    <m/>
    <m/>
    <m/>
    <m/>
    <m/>
    <m/>
    <m/>
    <n v="25273.22"/>
    <m/>
    <n v="25273.22"/>
  </r>
  <r>
    <s v="Vertrag 000031 (2013)"/>
    <m/>
    <s v="Abg."/>
    <x v="18"/>
    <s v="Projektierung Verkehr (MK/AP)"/>
    <n v="138761.54999999999"/>
    <x v="0"/>
    <x v="1"/>
    <x v="1"/>
    <s v="13.02.16.311.02"/>
    <m/>
    <m/>
    <m/>
    <n v="47412.899999999994"/>
    <n v="76859.150000000009"/>
    <n v="1037.75"/>
    <m/>
    <m/>
    <m/>
    <m/>
    <m/>
    <m/>
    <m/>
    <m/>
    <m/>
    <m/>
    <m/>
    <m/>
    <m/>
    <n v="125309.8"/>
    <m/>
    <n v="125309.8"/>
  </r>
  <r>
    <s v="Vertrag 000032 (2013)"/>
    <m/>
    <s v="Abg."/>
    <x v="33"/>
    <s v="Projektierung Geologie (MK/AP)"/>
    <n v="56337.25"/>
    <x v="2"/>
    <x v="5"/>
    <x v="1"/>
    <s v="PNP"/>
    <m/>
    <m/>
    <m/>
    <m/>
    <n v="40645.349999999991"/>
    <n v="14536.85"/>
    <n v="12942.9"/>
    <n v="1930.27"/>
    <n v="3943.33"/>
    <m/>
    <m/>
    <m/>
    <m/>
    <m/>
    <m/>
    <m/>
    <m/>
    <m/>
    <m/>
    <n v="73998.7"/>
    <m/>
    <n v="73998.7"/>
  </r>
  <r>
    <s v="Vertrag 000032 NO1 (2015)"/>
    <m/>
    <s v="Abg."/>
    <x v="33"/>
    <s v="Zusatzleistungen Geologie (MK/AP)"/>
    <n v="14365.65"/>
    <x v="2"/>
    <x v="5"/>
    <x v="1"/>
    <s v="PNP"/>
    <m/>
    <m/>
    <m/>
    <m/>
    <m/>
    <m/>
    <m/>
    <m/>
    <m/>
    <m/>
    <m/>
    <m/>
    <m/>
    <m/>
    <m/>
    <m/>
    <m/>
    <m/>
    <m/>
    <n v="0"/>
    <m/>
    <n v="0"/>
  </r>
  <r>
    <s v="Vertrag 000032 NO2 (2017)"/>
    <n v="1355022968"/>
    <s v="Aktiv"/>
    <x v="33"/>
    <s v="PV Geologie"/>
    <n v="46479.635999999999"/>
    <x v="2"/>
    <x v="5"/>
    <x v="1"/>
    <s v="PNP"/>
    <m/>
    <m/>
    <m/>
    <m/>
    <m/>
    <m/>
    <m/>
    <m/>
    <m/>
    <n v="715.06999999999994"/>
    <m/>
    <n v="2522.5500000000002"/>
    <n v="4521.5600000000004"/>
    <n v="7478.44"/>
    <n v="10000"/>
    <n v="10000"/>
    <n v="10000"/>
    <m/>
    <s v="Annahme BHU"/>
    <n v="7759.18"/>
    <n v="38720.455999999998"/>
    <n v="46479.635999999999"/>
  </r>
  <r>
    <s v="Vertrag 000033 (2013)"/>
    <m/>
    <s v="Abg."/>
    <x v="8"/>
    <s v="Sperrungen Mat.techn.U. 2013"/>
    <n v="104637.95"/>
    <x v="0"/>
    <x v="1"/>
    <x v="5"/>
    <s v="13.02.16.311.02"/>
    <m/>
    <m/>
    <m/>
    <n v="58825.35"/>
    <m/>
    <m/>
    <m/>
    <m/>
    <m/>
    <m/>
    <m/>
    <m/>
    <m/>
    <m/>
    <m/>
    <m/>
    <m/>
    <m/>
    <m/>
    <n v="58825.35"/>
    <m/>
    <n v="58825.35"/>
  </r>
  <r>
    <s v="Vertrag 000034 (2014)"/>
    <m/>
    <s v="Abg."/>
    <x v="34"/>
    <s v="Untersuchungen Hüllrohre (Bau)"/>
    <n v="17340.2"/>
    <x v="0"/>
    <x v="4"/>
    <x v="5"/>
    <s v="13.02.16.410.08"/>
    <m/>
    <m/>
    <m/>
    <m/>
    <m/>
    <n v="14217.85"/>
    <m/>
    <m/>
    <m/>
    <m/>
    <m/>
    <m/>
    <m/>
    <m/>
    <m/>
    <m/>
    <m/>
    <m/>
    <m/>
    <n v="14217.85"/>
    <m/>
    <n v="14217.85"/>
  </r>
  <r>
    <s v="Vertrag 000035 (2014)"/>
    <m/>
    <s v="Abg."/>
    <x v="35"/>
    <s v="Untersuchungen Bückenlager"/>
    <n v="21654"/>
    <x v="0"/>
    <x v="4"/>
    <x v="5"/>
    <s v="13.02.16.410.08"/>
    <m/>
    <m/>
    <m/>
    <m/>
    <n v="21654"/>
    <m/>
    <m/>
    <m/>
    <m/>
    <m/>
    <m/>
    <m/>
    <m/>
    <m/>
    <m/>
    <m/>
    <m/>
    <m/>
    <m/>
    <n v="21654"/>
    <m/>
    <n v="21654"/>
  </r>
  <r>
    <s v="Vertrag 000036 (2014)"/>
    <m/>
    <s v="Abg."/>
    <x v="36"/>
    <s v="Untersuchungen Sickerleitungen"/>
    <n v="46397.2"/>
    <x v="0"/>
    <x v="1"/>
    <x v="5"/>
    <s v="13.02.16.311.02"/>
    <m/>
    <m/>
    <m/>
    <m/>
    <n v="42866.95"/>
    <m/>
    <m/>
    <m/>
    <m/>
    <m/>
    <m/>
    <m/>
    <m/>
    <m/>
    <m/>
    <m/>
    <m/>
    <m/>
    <m/>
    <n v="42866.95"/>
    <m/>
    <n v="42866.95"/>
  </r>
  <r>
    <s v="Vertrag 000037 (2014)"/>
    <m/>
    <s v="Abg."/>
    <x v="37"/>
    <s v="Projektierung BSA (MK/AP)"/>
    <n v="80483.25"/>
    <x v="0"/>
    <x v="3"/>
    <x v="1"/>
    <s v="13.02.16.890.02"/>
    <m/>
    <m/>
    <m/>
    <m/>
    <n v="81483.3"/>
    <n v="23798.35"/>
    <m/>
    <m/>
    <m/>
    <m/>
    <m/>
    <m/>
    <m/>
    <m/>
    <m/>
    <m/>
    <m/>
    <m/>
    <m/>
    <n v="105281.65"/>
    <m/>
    <n v="105281.65"/>
  </r>
  <r>
    <s v="Vertrag 000037 NO1 (2015)"/>
    <m/>
    <s v="Abg."/>
    <x v="37"/>
    <s v="Zusatzleistungen BSA (MK/AP)"/>
    <n v="24798.400000000001"/>
    <x v="0"/>
    <x v="3"/>
    <x v="1"/>
    <s v="13.02.16.890.02"/>
    <m/>
    <m/>
    <m/>
    <m/>
    <m/>
    <m/>
    <m/>
    <m/>
    <m/>
    <m/>
    <m/>
    <m/>
    <m/>
    <m/>
    <m/>
    <m/>
    <m/>
    <m/>
    <m/>
    <n v="0"/>
    <m/>
    <n v="0"/>
  </r>
  <r>
    <s v="Vertrag 000038 (2014)"/>
    <m/>
    <s v="Abg."/>
    <x v="19"/>
    <s v="Untersuchungen Hüllrohre (Labor)"/>
    <n v="14320.8"/>
    <x v="0"/>
    <x v="4"/>
    <x v="5"/>
    <s v="13.02.16.410.08"/>
    <m/>
    <m/>
    <m/>
    <m/>
    <n v="12031.2"/>
    <m/>
    <m/>
    <m/>
    <m/>
    <m/>
    <m/>
    <m/>
    <m/>
    <m/>
    <m/>
    <m/>
    <m/>
    <m/>
    <m/>
    <n v="12031.2"/>
    <m/>
    <n v="12031.2"/>
  </r>
  <r>
    <s v="Vertrag 000039 (2014)"/>
    <m/>
    <s v="Abg."/>
    <x v="8"/>
    <s v="Sperrungen für Untersuchungen"/>
    <n v="44679.6"/>
    <x v="0"/>
    <x v="4"/>
    <x v="5"/>
    <s v="13.02.16.410.08"/>
    <m/>
    <m/>
    <m/>
    <m/>
    <n v="43732.5"/>
    <m/>
    <m/>
    <m/>
    <m/>
    <m/>
    <m/>
    <m/>
    <m/>
    <m/>
    <m/>
    <m/>
    <m/>
    <m/>
    <m/>
    <n v="43732.5"/>
    <m/>
    <n v="43732.5"/>
  </r>
  <r>
    <s v="Vertrag 000040 (2014)"/>
    <m/>
    <s v="Abg."/>
    <x v="8"/>
    <s v="Projektunterstützung MK/AP"/>
    <n v="22929.5"/>
    <x v="0"/>
    <x v="1"/>
    <x v="1"/>
    <s v="13.02.16.311.02"/>
    <m/>
    <m/>
    <m/>
    <m/>
    <m/>
    <n v="28108.9"/>
    <m/>
    <m/>
    <m/>
    <m/>
    <m/>
    <m/>
    <m/>
    <m/>
    <m/>
    <m/>
    <m/>
    <m/>
    <m/>
    <n v="28108.9"/>
    <m/>
    <n v="28108.9"/>
  </r>
  <r>
    <s v="Vertrag 000040 NO1 (2015)"/>
    <m/>
    <s v="Abg."/>
    <x v="8"/>
    <s v="Projektunterstützung ZL MK/AP"/>
    <n v="7325.95"/>
    <x v="0"/>
    <x v="1"/>
    <x v="1"/>
    <s v="13.02.16.311.02"/>
    <m/>
    <m/>
    <m/>
    <m/>
    <m/>
    <m/>
    <m/>
    <m/>
    <m/>
    <m/>
    <m/>
    <m/>
    <m/>
    <m/>
    <m/>
    <m/>
    <m/>
    <m/>
    <m/>
    <n v="0"/>
    <m/>
    <n v="0"/>
  </r>
  <r>
    <s v="Vertrag 000041 (2014)"/>
    <m/>
    <s v="Abg."/>
    <x v="38"/>
    <s v="Instandsetzung Fassaden Rastplätze"/>
    <n v="25542"/>
    <x v="0"/>
    <x v="1"/>
    <x v="8"/>
    <s v="13.02.16.311.02"/>
    <m/>
    <m/>
    <m/>
    <m/>
    <m/>
    <n v="25543.75"/>
    <m/>
    <m/>
    <m/>
    <m/>
    <m/>
    <m/>
    <m/>
    <m/>
    <m/>
    <m/>
    <m/>
    <m/>
    <m/>
    <n v="25543.75"/>
    <m/>
    <n v="25543.75"/>
  </r>
  <r>
    <s v="Vertrag 000042 (2014)"/>
    <m/>
    <s v="Abg."/>
    <x v="39"/>
    <s v="Bauteilvermessung Br Lindenacker"/>
    <n v="25937.55"/>
    <x v="0"/>
    <x v="4"/>
    <x v="5"/>
    <s v="13.02.16.410.08"/>
    <m/>
    <m/>
    <m/>
    <m/>
    <n v="25914.05"/>
    <m/>
    <m/>
    <m/>
    <m/>
    <m/>
    <m/>
    <m/>
    <m/>
    <m/>
    <m/>
    <m/>
    <m/>
    <m/>
    <m/>
    <n v="25914.05"/>
    <m/>
    <n v="25914.05"/>
  </r>
  <r>
    <s v="Vertrag 000043 (2015)"/>
    <m/>
    <s v="Abg."/>
    <x v="0"/>
    <s v="Bewilligung Sondierbohrung WTQ"/>
    <n v="150"/>
    <x v="1"/>
    <x v="4"/>
    <x v="5"/>
    <s v="13.02.16.420.91"/>
    <m/>
    <m/>
    <m/>
    <m/>
    <m/>
    <n v="150"/>
    <m/>
    <m/>
    <m/>
    <m/>
    <m/>
    <m/>
    <m/>
    <m/>
    <m/>
    <m/>
    <m/>
    <m/>
    <m/>
    <n v="150"/>
    <m/>
    <n v="150"/>
  </r>
  <r>
    <s v="Vertrag 000043 (2016)"/>
    <m/>
    <s v="Abg."/>
    <x v="40"/>
    <s v="Kernbohrungen SM (MP/DP)"/>
    <n v="7496.65"/>
    <x v="0"/>
    <x v="0"/>
    <x v="5"/>
    <s v="13.02.16.720.21"/>
    <m/>
    <m/>
    <m/>
    <m/>
    <m/>
    <m/>
    <n v="7649.64"/>
    <m/>
    <m/>
    <m/>
    <m/>
    <m/>
    <m/>
    <m/>
    <m/>
    <m/>
    <m/>
    <m/>
    <m/>
    <n v="7649.64"/>
    <m/>
    <n v="7649.64"/>
  </r>
  <r>
    <s v="Vertrag 000043 (2016)"/>
    <m/>
    <s v="Abg."/>
    <x v="27"/>
    <s v="Gitterschnittprüfung"/>
    <n v="1813.45"/>
    <x v="0"/>
    <x v="0"/>
    <x v="5"/>
    <s v="13.02.16.510.02"/>
    <m/>
    <m/>
    <m/>
    <m/>
    <m/>
    <m/>
    <n v="2992.1000000000004"/>
    <m/>
    <m/>
    <m/>
    <m/>
    <m/>
    <m/>
    <m/>
    <m/>
    <m/>
    <m/>
    <m/>
    <m/>
    <n v="2992.1000000000004"/>
    <m/>
    <n v="2992.1000000000004"/>
  </r>
  <r>
    <s v="Vertrag 000043 (2017)"/>
    <m/>
    <s v="Abg."/>
    <x v="36"/>
    <s v="Sickerleitungen reinigen Tu Ebenrain"/>
    <n v="7837.55"/>
    <x v="0"/>
    <x v="0"/>
    <x v="5"/>
    <s v="13.02.16.510.02"/>
    <m/>
    <m/>
    <m/>
    <m/>
    <m/>
    <m/>
    <m/>
    <n v="5466.7"/>
    <m/>
    <m/>
    <m/>
    <m/>
    <m/>
    <m/>
    <m/>
    <m/>
    <m/>
    <m/>
    <m/>
    <n v="5466.7"/>
    <m/>
    <n v="5466.7"/>
  </r>
  <r>
    <s v="Vertrag 000043 (2017)"/>
    <m/>
    <s v="Abg."/>
    <x v="24"/>
    <s v="Kontrollbohrungen Tu Ebenrain"/>
    <n v="2138.4"/>
    <x v="0"/>
    <x v="0"/>
    <x v="5"/>
    <s v="13.02.16.510.02"/>
    <m/>
    <m/>
    <m/>
    <m/>
    <m/>
    <m/>
    <m/>
    <n v="2138.4"/>
    <m/>
    <m/>
    <m/>
    <m/>
    <m/>
    <m/>
    <m/>
    <m/>
    <m/>
    <m/>
    <m/>
    <n v="2138.4"/>
    <m/>
    <n v="2138.4"/>
  </r>
  <r>
    <s v="Vertrag 000043 (2017)"/>
    <m/>
    <s v="Abg."/>
    <x v="8"/>
    <s v="Arbeiten Radar Tenniken"/>
    <n v="2245.75"/>
    <x v="0"/>
    <x v="3"/>
    <x v="9"/>
    <s v="13.02.16.890.02"/>
    <m/>
    <m/>
    <m/>
    <m/>
    <m/>
    <m/>
    <m/>
    <m/>
    <n v="2926.9"/>
    <m/>
    <m/>
    <m/>
    <m/>
    <m/>
    <m/>
    <m/>
    <m/>
    <m/>
    <m/>
    <n v="2926.9"/>
    <m/>
    <n v="2926.9"/>
  </r>
  <r>
    <s v="Vertrag 000043 (2017)"/>
    <m/>
    <s v="Abg."/>
    <x v="8"/>
    <s v="Montage Retrofit Tu Oberburg"/>
    <n v="7085.55"/>
    <x v="0"/>
    <x v="3"/>
    <x v="10"/>
    <s v="13.02.16.890.02"/>
    <m/>
    <m/>
    <m/>
    <m/>
    <m/>
    <m/>
    <m/>
    <n v="7169.2"/>
    <m/>
    <m/>
    <m/>
    <m/>
    <m/>
    <m/>
    <m/>
    <m/>
    <m/>
    <m/>
    <m/>
    <n v="7169.2"/>
    <m/>
    <n v="7169.2"/>
  </r>
  <r>
    <s v="Vertrag 000043 (2020)"/>
    <m/>
    <s v="Abg."/>
    <x v="8"/>
    <s v="Signal Sissach"/>
    <n v="8955.35"/>
    <x v="0"/>
    <x v="3"/>
    <x v="9"/>
    <s v="13.02.16.890.02"/>
    <m/>
    <m/>
    <m/>
    <m/>
    <m/>
    <m/>
    <m/>
    <m/>
    <m/>
    <m/>
    <n v="8955.35"/>
    <m/>
    <m/>
    <m/>
    <m/>
    <m/>
    <m/>
    <m/>
    <m/>
    <n v="8955.35"/>
    <m/>
    <n v="8955.35"/>
  </r>
  <r>
    <s v="Vertrag 000043 (2022)"/>
    <m/>
    <s v="Aktiv"/>
    <x v="0"/>
    <s v="Bohrbewilligung"/>
    <n v="150"/>
    <x v="1"/>
    <x v="4"/>
    <x v="5"/>
    <s v="13.02.16.420.91"/>
    <m/>
    <m/>
    <m/>
    <m/>
    <m/>
    <m/>
    <m/>
    <m/>
    <m/>
    <m/>
    <m/>
    <m/>
    <n v="150"/>
    <m/>
    <m/>
    <m/>
    <m/>
    <m/>
    <m/>
    <n v="150"/>
    <m/>
    <n v="150"/>
  </r>
  <r>
    <s v="Vertrag 000043 (2022)"/>
    <m/>
    <s v="Aktiv"/>
    <x v="41"/>
    <s v="Mikrofon RP Mühlematt"/>
    <n v="4846.5"/>
    <x v="0"/>
    <x v="1"/>
    <x v="11"/>
    <s v="13.02.16.311.02"/>
    <m/>
    <m/>
    <m/>
    <m/>
    <m/>
    <m/>
    <m/>
    <m/>
    <m/>
    <m/>
    <m/>
    <m/>
    <n v="4846.5"/>
    <m/>
    <m/>
    <m/>
    <m/>
    <m/>
    <m/>
    <n v="4846.5"/>
    <m/>
    <n v="4846.5"/>
  </r>
  <r>
    <s v="Vertrag 000043 (2022)"/>
    <m/>
    <s v="Aktiv"/>
    <x v="42"/>
    <s v="Verkehrsdienst"/>
    <n v="9693"/>
    <x v="0"/>
    <x v="0"/>
    <x v="12"/>
    <s v="13.02.16.720.21"/>
    <m/>
    <m/>
    <m/>
    <m/>
    <m/>
    <m/>
    <m/>
    <m/>
    <m/>
    <m/>
    <m/>
    <m/>
    <n v="2336.0499999999997"/>
    <n v="4663.9500000000007"/>
    <m/>
    <m/>
    <m/>
    <m/>
    <s v="Annahme BHU"/>
    <n v="2336.0499999999997"/>
    <n v="7356.9500000000007"/>
    <n v="9693"/>
  </r>
  <r>
    <s v="Vertrag 000044 (2015)"/>
    <m/>
    <s v="Abg."/>
    <x v="2"/>
    <s v="Vermessung LSW Z, WTQ, Tu Ebenrain"/>
    <n v="24631.4"/>
    <x v="0"/>
    <x v="0"/>
    <x v="5"/>
    <s v="13.02.16.510.02"/>
    <m/>
    <m/>
    <m/>
    <m/>
    <m/>
    <n v="20235.54"/>
    <n v="2057.65"/>
    <m/>
    <m/>
    <m/>
    <m/>
    <m/>
    <m/>
    <m/>
    <m/>
    <m/>
    <m/>
    <m/>
    <m/>
    <n v="22293.190000000002"/>
    <m/>
    <n v="22293.190000000002"/>
  </r>
  <r>
    <s v="Vertrag 000044 (2015)"/>
    <m/>
    <s v="Abg."/>
    <x v="2"/>
    <s v="Vermessung LSW Z, WTQ, Tu Ebenrain"/>
    <n v="9711.85"/>
    <x v="1"/>
    <x v="4"/>
    <x v="5"/>
    <s v="13.02.16.420.91"/>
    <m/>
    <m/>
    <m/>
    <m/>
    <m/>
    <n v="9709.7099999999991"/>
    <m/>
    <m/>
    <m/>
    <m/>
    <m/>
    <m/>
    <m/>
    <m/>
    <m/>
    <m/>
    <m/>
    <m/>
    <m/>
    <n v="9709.7099999999991"/>
    <m/>
    <n v="9709.7099999999991"/>
  </r>
  <r>
    <s v="Vertrag 000045 (2015)"/>
    <m/>
    <s v="Abg."/>
    <x v="43"/>
    <s v="Sondierbohrungen Wildtierquerung"/>
    <n v="29994.85"/>
    <x v="1"/>
    <x v="4"/>
    <x v="5"/>
    <s v="13.02.16.420.91"/>
    <m/>
    <m/>
    <m/>
    <m/>
    <m/>
    <n v="30013.5"/>
    <m/>
    <m/>
    <m/>
    <m/>
    <m/>
    <m/>
    <m/>
    <m/>
    <m/>
    <m/>
    <m/>
    <m/>
    <m/>
    <n v="30013.5"/>
    <m/>
    <n v="30013.5"/>
  </r>
  <r>
    <s v="Vertrag 000046 (2015)"/>
    <m/>
    <s v="Abg."/>
    <x v="44"/>
    <s v="Untersuchung Geschwindigkeitsred."/>
    <n v="18000"/>
    <x v="0"/>
    <x v="1"/>
    <x v="1"/>
    <s v="13.02.16.311.02"/>
    <m/>
    <m/>
    <m/>
    <m/>
    <m/>
    <n v="18000"/>
    <m/>
    <m/>
    <m/>
    <m/>
    <m/>
    <m/>
    <m/>
    <m/>
    <m/>
    <m/>
    <m/>
    <m/>
    <m/>
    <n v="18000"/>
    <m/>
    <n v="18000"/>
  </r>
  <r>
    <s v="Vertrag 000047 (2015)"/>
    <m/>
    <s v="Abg."/>
    <x v="45"/>
    <s v="Risikoanalyse Tunnel Ebenrain"/>
    <n v="26892"/>
    <x v="0"/>
    <x v="0"/>
    <x v="1"/>
    <s v="13.02.16.510.02"/>
    <m/>
    <m/>
    <m/>
    <m/>
    <m/>
    <n v="26892"/>
    <m/>
    <m/>
    <m/>
    <m/>
    <m/>
    <m/>
    <m/>
    <m/>
    <m/>
    <m/>
    <m/>
    <m/>
    <m/>
    <n v="26892"/>
    <m/>
    <n v="26892"/>
  </r>
  <r>
    <s v="Vertrag 000048 (2016)"/>
    <m/>
    <s v="Abg."/>
    <x v="46"/>
    <s v="Phase 32 BSA (MP/DP)"/>
    <n v="157896"/>
    <x v="0"/>
    <x v="3"/>
    <x v="1"/>
    <s v="13.02.16.890.02"/>
    <m/>
    <m/>
    <m/>
    <m/>
    <m/>
    <m/>
    <n v="102632.40000000001"/>
    <n v="68711.430000000008"/>
    <m/>
    <m/>
    <m/>
    <m/>
    <m/>
    <m/>
    <m/>
    <m/>
    <m/>
    <m/>
    <m/>
    <n v="171343.83000000002"/>
    <m/>
    <n v="171343.83000000002"/>
  </r>
  <r>
    <s v="Vertrag 000048 (2017)"/>
    <n v="1355012172"/>
    <s v="Aktiv"/>
    <x v="46"/>
    <s v="Phase 41+51 BSA"/>
    <n v="254340.00000000003"/>
    <x v="0"/>
    <x v="3"/>
    <x v="1"/>
    <s v="13.02.16.890.02"/>
    <m/>
    <m/>
    <m/>
    <m/>
    <m/>
    <m/>
    <m/>
    <n v="133132"/>
    <n v="9196.2400000000016"/>
    <n v="43906.61"/>
    <n v="45662.119999999995"/>
    <n v="159746.04"/>
    <n v="38088.11"/>
    <n v="1911.8899999999994"/>
    <m/>
    <m/>
    <m/>
    <m/>
    <s v="Annahme BHU BSA"/>
    <n v="429731.12"/>
    <n v="-92375.959999999963"/>
    <n v="337355.16000000003"/>
  </r>
  <r>
    <s v="Vertrag 000048 (2017)"/>
    <n v="1355012172"/>
    <s v="Aktiv"/>
    <x v="46"/>
    <s v="Phase 52-53 BSA"/>
    <n v="380970"/>
    <x v="0"/>
    <x v="3"/>
    <x v="1"/>
    <s v="13.02.16.890.02"/>
    <m/>
    <m/>
    <m/>
    <m/>
    <m/>
    <m/>
    <m/>
    <m/>
    <m/>
    <m/>
    <m/>
    <m/>
    <n v="82973.429999999993"/>
    <n v="57026.570000000007"/>
    <n v="200000"/>
    <n v="200000"/>
    <n v="100000"/>
    <n v="60000"/>
    <s v="Annahme BHU BSA"/>
    <n v="82973.429999999993"/>
    <n v="297996.57"/>
    <n v="297996.57"/>
  </r>
  <r>
    <s v="Vertrag 000048 NO1 (2021)"/>
    <m/>
    <s v="Abg."/>
    <x v="46"/>
    <s v="Nachtrag Phase 41+51 BSA"/>
    <n v="83015.16"/>
    <x v="0"/>
    <x v="3"/>
    <x v="1"/>
    <s v="13.02.16.890.02"/>
    <m/>
    <m/>
    <m/>
    <m/>
    <m/>
    <m/>
    <m/>
    <m/>
    <m/>
    <m/>
    <m/>
    <m/>
    <m/>
    <m/>
    <m/>
    <m/>
    <m/>
    <m/>
    <m/>
    <n v="0"/>
    <m/>
    <n v="0"/>
  </r>
  <r>
    <s v="Vertrag 000049 (2016)"/>
    <m/>
    <s v="Abg."/>
    <x v="8"/>
    <s v="Sperrungen ZU 2016"/>
    <n v="26719.200000000001"/>
    <x v="0"/>
    <x v="1"/>
    <x v="5"/>
    <s v="13.02.16.311.02"/>
    <m/>
    <m/>
    <m/>
    <m/>
    <m/>
    <m/>
    <n v="25157.217600000004"/>
    <m/>
    <m/>
    <m/>
    <m/>
    <m/>
    <m/>
    <m/>
    <m/>
    <m/>
    <m/>
    <m/>
    <m/>
    <n v="25157.217600000004"/>
    <m/>
    <n v="25157.217600000004"/>
  </r>
  <r>
    <s v="Vertrag 000049 (2016)"/>
    <m/>
    <s v="Abg."/>
    <x v="8"/>
    <s v="Projektunterstützung MP/DP"/>
    <n v="22704.84"/>
    <x v="0"/>
    <x v="1"/>
    <x v="1"/>
    <s v="13.02.16.311.02"/>
    <m/>
    <m/>
    <m/>
    <m/>
    <m/>
    <m/>
    <n v="26430.418800000003"/>
    <m/>
    <m/>
    <m/>
    <m/>
    <m/>
    <m/>
    <m/>
    <m/>
    <m/>
    <m/>
    <m/>
    <m/>
    <n v="26430.418800000003"/>
    <m/>
    <n v="26430.418800000003"/>
  </r>
  <r>
    <s v="Vertrag 000049 NO1 (2016)"/>
    <m/>
    <s v="Abg."/>
    <x v="8"/>
    <s v="Sperrungen Musterflächen"/>
    <n v="15006.6"/>
    <x v="0"/>
    <x v="0"/>
    <x v="5"/>
    <s v="13.02.16.510.02"/>
    <m/>
    <m/>
    <m/>
    <m/>
    <m/>
    <m/>
    <n v="12349.800000000001"/>
    <m/>
    <m/>
    <m/>
    <m/>
    <m/>
    <m/>
    <m/>
    <m/>
    <m/>
    <m/>
    <m/>
    <m/>
    <n v="12349.800000000001"/>
    <m/>
    <n v="12349.800000000001"/>
  </r>
  <r>
    <s v="Vertrag 000049 NO2 (2016)"/>
    <m/>
    <s v="Abg."/>
    <x v="8"/>
    <s v="Sperrungen Tu"/>
    <n v="3720.6000000000004"/>
    <x v="0"/>
    <x v="1"/>
    <x v="5"/>
    <s v="13.02.16.311.02"/>
    <m/>
    <m/>
    <m/>
    <m/>
    <m/>
    <m/>
    <m/>
    <n v="4715.8500000000004"/>
    <m/>
    <m/>
    <m/>
    <m/>
    <m/>
    <m/>
    <m/>
    <m/>
    <m/>
    <m/>
    <m/>
    <n v="4715.8500000000004"/>
    <m/>
    <n v="4715.8500000000004"/>
  </r>
  <r>
    <s v="Vertrag 000049 NO2 (2016)"/>
    <m/>
    <s v="Abg."/>
    <x v="8"/>
    <s v="Projektunterstützung ZL MP/DP"/>
    <n v="31795.200000000001"/>
    <x v="0"/>
    <x v="1"/>
    <x v="1"/>
    <s v="13.02.16.311.02"/>
    <m/>
    <m/>
    <m/>
    <m/>
    <m/>
    <m/>
    <m/>
    <n v="26778.45"/>
    <m/>
    <m/>
    <m/>
    <m/>
    <m/>
    <m/>
    <m/>
    <m/>
    <m/>
    <m/>
    <m/>
    <n v="26778.45"/>
    <m/>
    <n v="26778.45"/>
  </r>
  <r>
    <s v="Vertrag 000050 (2016)"/>
    <m/>
    <s v="Abg."/>
    <x v="47"/>
    <s v="Schichtprüfung Brücken (MP/DP)"/>
    <n v="14107.500000000002"/>
    <x v="0"/>
    <x v="4"/>
    <x v="5"/>
    <s v="13.02.16.410.08"/>
    <m/>
    <m/>
    <m/>
    <m/>
    <m/>
    <m/>
    <n v="14107.5"/>
    <m/>
    <m/>
    <m/>
    <m/>
    <m/>
    <m/>
    <m/>
    <m/>
    <m/>
    <m/>
    <m/>
    <m/>
    <n v="14107.5"/>
    <m/>
    <n v="14107.5"/>
  </r>
  <r>
    <s v="Vertrag 000051 (2016)"/>
    <m/>
    <s v="Abg."/>
    <x v="19"/>
    <s v="m.t.U. Ramsenhübel (MP/DP)"/>
    <n v="11150.25"/>
    <x v="0"/>
    <x v="0"/>
    <x v="5"/>
    <s v="13.02.16.720.21"/>
    <m/>
    <m/>
    <m/>
    <m/>
    <m/>
    <m/>
    <n v="11831.85"/>
    <m/>
    <m/>
    <m/>
    <m/>
    <m/>
    <m/>
    <m/>
    <m/>
    <m/>
    <m/>
    <m/>
    <m/>
    <n v="11831.85"/>
    <m/>
    <n v="11831.85"/>
  </r>
  <r>
    <s v="Vertrag 000052 (2016)"/>
    <n v="1355023636"/>
    <s v="Aktiv"/>
    <x v="33"/>
    <s v="Spezialist Naturgefahren (MP/DP)"/>
    <n v="87521.05"/>
    <x v="0"/>
    <x v="0"/>
    <x v="1"/>
    <s v="13.02.16.763.09"/>
    <m/>
    <m/>
    <m/>
    <m/>
    <m/>
    <m/>
    <m/>
    <n v="91877.49"/>
    <m/>
    <m/>
    <n v="1310.97"/>
    <n v="14427.48"/>
    <n v="156.69999999999999"/>
    <n v="1843.3"/>
    <m/>
    <m/>
    <m/>
    <m/>
    <s v="Annahme BHU"/>
    <n v="107772.64"/>
    <n v="3679.3500000000058"/>
    <n v="107772.64"/>
  </r>
  <r>
    <s v="Vertrag 000052 NO1 (2018)"/>
    <m/>
    <s v="Aktiv"/>
    <x v="33"/>
    <s v="Spezialist Naturgefahren (Bewilligung)"/>
    <n v="13624.05"/>
    <x v="0"/>
    <x v="0"/>
    <x v="1"/>
    <s v="13.02.16.763.09"/>
    <m/>
    <m/>
    <m/>
    <m/>
    <m/>
    <m/>
    <m/>
    <m/>
    <m/>
    <m/>
    <m/>
    <m/>
    <m/>
    <m/>
    <m/>
    <m/>
    <m/>
    <m/>
    <m/>
    <m/>
    <m/>
    <m/>
  </r>
  <r>
    <s v="Vertrag 000052 NO2 (2020)"/>
    <m/>
    <s v="Abg."/>
    <x v="33"/>
    <s v="Vorsubmission Netze"/>
    <n v="10306.89"/>
    <x v="0"/>
    <x v="0"/>
    <x v="1"/>
    <s v="13.02.16.763.09"/>
    <m/>
    <m/>
    <m/>
    <m/>
    <m/>
    <m/>
    <m/>
    <m/>
    <m/>
    <m/>
    <m/>
    <m/>
    <m/>
    <m/>
    <m/>
    <m/>
    <m/>
    <m/>
    <m/>
    <n v="0"/>
    <m/>
    <n v="0"/>
  </r>
  <r>
    <s v="Vertrag 000053 (2016)"/>
    <m/>
    <s v="Abg."/>
    <x v="48"/>
    <s v="Beschichtung Musterflächen"/>
    <n v="17680.55"/>
    <x v="0"/>
    <x v="0"/>
    <x v="5"/>
    <s v="13.02.16.510.02"/>
    <m/>
    <m/>
    <m/>
    <m/>
    <m/>
    <m/>
    <n v="17680.55"/>
    <m/>
    <m/>
    <m/>
    <m/>
    <m/>
    <m/>
    <m/>
    <m/>
    <m/>
    <m/>
    <m/>
    <m/>
    <n v="17680.55"/>
    <m/>
    <n v="17680.55"/>
  </r>
  <r>
    <s v="Vertrag 000054 (2016)"/>
    <m/>
    <s v="Abg."/>
    <x v="18"/>
    <s v="Projektierung Verkehr (MP/DP)"/>
    <n v="53420.623200000002"/>
    <x v="0"/>
    <x v="3"/>
    <x v="1"/>
    <s v="13.02.16.890.02"/>
    <m/>
    <m/>
    <m/>
    <m/>
    <m/>
    <m/>
    <n v="23058.65"/>
    <n v="8105.6"/>
    <m/>
    <m/>
    <m/>
    <m/>
    <m/>
    <m/>
    <m/>
    <m/>
    <m/>
    <m/>
    <m/>
    <n v="31164.25"/>
    <m/>
    <n v="31164.25"/>
  </r>
  <r>
    <s v="Vertrag 000054 (2017)"/>
    <m/>
    <s v="Abg."/>
    <x v="18"/>
    <s v="Projektierung Verkehr (Phase 41)"/>
    <n v="15486.5088"/>
    <x v="0"/>
    <x v="3"/>
    <x v="1"/>
    <s v="13.02.16.890.02"/>
    <m/>
    <m/>
    <m/>
    <m/>
    <m/>
    <m/>
    <m/>
    <m/>
    <m/>
    <m/>
    <n v="1017.5"/>
    <n v="10506.199999999999"/>
    <m/>
    <m/>
    <m/>
    <m/>
    <m/>
    <m/>
    <s v="Annahme BHU BSA"/>
    <n v="11523.699999999999"/>
    <n v="3962.8088000000007"/>
    <n v="15486.5088"/>
  </r>
  <r>
    <s v="Vertrag 000054 (2017)"/>
    <n v="1355024041"/>
    <s v="Aktiv"/>
    <x v="18"/>
    <s v="Projektierung Verkehr (Phase 52+53)"/>
    <n v="36643.924800000001"/>
    <x v="0"/>
    <x v="3"/>
    <x v="1"/>
    <s v="13.02.16.890.02"/>
    <m/>
    <m/>
    <m/>
    <m/>
    <m/>
    <m/>
    <m/>
    <m/>
    <m/>
    <m/>
    <m/>
    <m/>
    <n v="6386.05"/>
    <n v="3613.95"/>
    <n v="15000"/>
    <n v="15000"/>
    <n v="10000"/>
    <n v="2000"/>
    <s v="Annahme BHU BSA"/>
    <n v="6386.05"/>
    <n v="30257.874800000001"/>
    <n v="36643.924800000001"/>
  </r>
  <r>
    <s v="Vertrag 000055 (2016)"/>
    <n v="1355024401"/>
    <s v="Aktiv"/>
    <x v="30"/>
    <s v="BHU BSA (bis Inbetriebnahme)"/>
    <n v="92415.438000000009"/>
    <x v="0"/>
    <x v="3"/>
    <x v="2"/>
    <s v="13.02.16.890.02"/>
    <m/>
    <m/>
    <m/>
    <m/>
    <m/>
    <m/>
    <n v="16275.699999999999"/>
    <n v="25691.4"/>
    <n v="6557.5500000000011"/>
    <n v="6711.15"/>
    <n v="14757.249999999998"/>
    <n v="18839.099999999999"/>
    <n v="12361.150000000001"/>
    <n v="17638.849999999999"/>
    <n v="35000"/>
    <n v="30000"/>
    <n v="30000"/>
    <n v="20000"/>
    <s v="Annahme BHU BSA"/>
    <n v="101193.29999999999"/>
    <n v="-8777.8619999999792"/>
    <n v="92415.438000000009"/>
  </r>
  <r>
    <s v="Vertrag 000056 (2016)"/>
    <m/>
    <s v="Abg."/>
    <x v="8"/>
    <s v="ENIS-Daten"/>
    <n v="18041.2"/>
    <x v="0"/>
    <x v="3"/>
    <x v="1"/>
    <s v="13.02.16.890.02"/>
    <m/>
    <m/>
    <m/>
    <m/>
    <m/>
    <m/>
    <n v="14747.5"/>
    <n v="8011.7"/>
    <m/>
    <m/>
    <m/>
    <m/>
    <m/>
    <m/>
    <m/>
    <m/>
    <m/>
    <m/>
    <m/>
    <n v="22759.200000000001"/>
    <m/>
    <n v="22759.200000000001"/>
  </r>
  <r>
    <s v="Vertrag 000056 NO1 (2017)"/>
    <m/>
    <s v="Abg."/>
    <x v="8"/>
    <s v="ENIS-Daten"/>
    <n v="4747.7"/>
    <x v="0"/>
    <x v="3"/>
    <x v="1"/>
    <s v="13.02.16.890.02"/>
    <m/>
    <m/>
    <m/>
    <m/>
    <m/>
    <m/>
    <m/>
    <m/>
    <m/>
    <m/>
    <m/>
    <m/>
    <m/>
    <m/>
    <m/>
    <m/>
    <m/>
    <m/>
    <m/>
    <n v="0"/>
    <m/>
    <n v="0"/>
  </r>
  <r>
    <s v="Vertrag 000057 (2016)"/>
    <m/>
    <s v="Abg."/>
    <x v="2"/>
    <s v="Aussteckung"/>
    <n v="12158.4"/>
    <x v="1"/>
    <x v="1"/>
    <x v="1"/>
    <s v="13.02.16.311.02"/>
    <m/>
    <m/>
    <m/>
    <m/>
    <m/>
    <m/>
    <m/>
    <n v="11768.25"/>
    <m/>
    <m/>
    <m/>
    <m/>
    <m/>
    <m/>
    <m/>
    <m/>
    <m/>
    <m/>
    <m/>
    <n v="11768.25"/>
    <m/>
    <n v="11768.25"/>
  </r>
  <r>
    <s v="Vertrag 000058 (2016)"/>
    <m/>
    <s v="Abg."/>
    <x v="49"/>
    <s v="Turnhalle Öffentlichkeitsinfo"/>
    <n v="120"/>
    <x v="0"/>
    <x v="2"/>
    <x v="13"/>
    <s v="13.02.16.311.02"/>
    <m/>
    <m/>
    <m/>
    <m/>
    <m/>
    <m/>
    <n v="120"/>
    <m/>
    <m/>
    <m/>
    <m/>
    <m/>
    <m/>
    <m/>
    <m/>
    <m/>
    <m/>
    <m/>
    <m/>
    <n v="120"/>
    <m/>
    <n v="120"/>
  </r>
  <r>
    <s v="Vertrag 000058 (2016)"/>
    <m/>
    <s v="Abg."/>
    <x v="50"/>
    <s v="Tonanlage Öffentlichkeitsinfo"/>
    <n v="1033"/>
    <x v="0"/>
    <x v="2"/>
    <x v="13"/>
    <s v="13.02.16.311.02"/>
    <m/>
    <m/>
    <m/>
    <m/>
    <m/>
    <m/>
    <n v="1033"/>
    <m/>
    <m/>
    <m/>
    <m/>
    <m/>
    <m/>
    <m/>
    <m/>
    <m/>
    <m/>
    <m/>
    <m/>
    <n v="1033"/>
    <m/>
    <n v="1033"/>
  </r>
  <r>
    <s v="Vertrag 000058 (2022)"/>
    <m/>
    <s v="Aktiv"/>
    <x v="51"/>
    <s v="Falzprospekt info 1"/>
    <n v="1592.9"/>
    <x v="0"/>
    <x v="2"/>
    <x v="13"/>
    <s v="13.02.16.311.02"/>
    <m/>
    <m/>
    <m/>
    <m/>
    <m/>
    <m/>
    <m/>
    <m/>
    <m/>
    <m/>
    <m/>
    <m/>
    <n v="1592.9"/>
    <m/>
    <m/>
    <m/>
    <m/>
    <m/>
    <m/>
    <n v="1592.9"/>
    <m/>
    <n v="1592.9"/>
  </r>
  <r>
    <s v="Vertrag 000059 (2016)"/>
    <m/>
    <s v="Abg."/>
    <x v="52"/>
    <s v="Projektunterstützung SBB (MP)"/>
    <n v="21600"/>
    <x v="0"/>
    <x v="4"/>
    <x v="1"/>
    <s v="13.02.16.410.08"/>
    <m/>
    <m/>
    <m/>
    <m/>
    <m/>
    <m/>
    <m/>
    <n v="11196.9"/>
    <m/>
    <m/>
    <m/>
    <m/>
    <m/>
    <m/>
    <m/>
    <m/>
    <m/>
    <m/>
    <m/>
    <n v="11196.9"/>
    <m/>
    <n v="11196.9"/>
  </r>
  <r>
    <s v="Vertrag 000060 (2017)"/>
    <m/>
    <s v="Abg."/>
    <x v="53"/>
    <s v="Liefern LED-Beleuchtung Tu Oberburg"/>
    <n v="12555"/>
    <x v="0"/>
    <x v="3"/>
    <x v="10"/>
    <s v="13.02.16.890.02"/>
    <m/>
    <m/>
    <m/>
    <m/>
    <m/>
    <m/>
    <m/>
    <n v="12555"/>
    <m/>
    <m/>
    <m/>
    <m/>
    <m/>
    <m/>
    <m/>
    <m/>
    <m/>
    <m/>
    <m/>
    <n v="12555"/>
    <m/>
    <n v="12555"/>
  </r>
  <r>
    <s v="Vertrag 000061 (2016)"/>
    <m/>
    <s v="Aktiv"/>
    <x v="2"/>
    <s v="Notfallmanagement Bau"/>
    <n v="41531.949999999997"/>
    <x v="0"/>
    <x v="1"/>
    <x v="1"/>
    <s v="13.02.16.311.02"/>
    <m/>
    <m/>
    <m/>
    <m/>
    <m/>
    <m/>
    <m/>
    <n v="18569.05"/>
    <n v="883.45"/>
    <n v="5931"/>
    <m/>
    <m/>
    <m/>
    <n v="0"/>
    <m/>
    <m/>
    <m/>
    <m/>
    <s v="Annahme BHU"/>
    <n v="25383.5"/>
    <n v="16148.449999999997"/>
    <n v="41531.949999999997"/>
  </r>
  <r>
    <s v="Vertrag 000062 (2016)"/>
    <m/>
    <s v="Abg."/>
    <x v="8"/>
    <s v="Mobile Sperrung Tu Oberburg"/>
    <n v="0"/>
    <x v="0"/>
    <x v="3"/>
    <x v="5"/>
    <s v="13.02.16.890.02"/>
    <m/>
    <m/>
    <m/>
    <m/>
    <m/>
    <m/>
    <m/>
    <n v="764.25"/>
    <m/>
    <m/>
    <m/>
    <m/>
    <m/>
    <m/>
    <m/>
    <m/>
    <m/>
    <m/>
    <m/>
    <n v="764.25"/>
    <m/>
    <n v="764.25"/>
  </r>
  <r>
    <s v="Vertrag 000062 (2016)"/>
    <m/>
    <s v="Abg."/>
    <x v="54"/>
    <s v="Analyse GFS"/>
    <n v="1712.9"/>
    <x v="0"/>
    <x v="3"/>
    <x v="5"/>
    <s v="13.02.16.890.02"/>
    <m/>
    <m/>
    <m/>
    <m/>
    <m/>
    <m/>
    <m/>
    <n v="1712.9"/>
    <m/>
    <m/>
    <m/>
    <m/>
    <m/>
    <m/>
    <m/>
    <m/>
    <m/>
    <m/>
    <m/>
    <n v="1712.9"/>
    <m/>
    <n v="1712.9"/>
  </r>
  <r>
    <s v="Vertrag 000062 (2016)"/>
    <m/>
    <s v="Abg."/>
    <x v="55"/>
    <s v="Beleuchtungsmessungen 2016"/>
    <n v="6128"/>
    <x v="0"/>
    <x v="3"/>
    <x v="1"/>
    <s v="13.02.16.890.02"/>
    <m/>
    <m/>
    <m/>
    <m/>
    <m/>
    <m/>
    <m/>
    <n v="6128"/>
    <m/>
    <m/>
    <m/>
    <m/>
    <m/>
    <m/>
    <m/>
    <m/>
    <m/>
    <m/>
    <m/>
    <n v="6128"/>
    <m/>
    <n v="6128"/>
  </r>
  <r>
    <s v="Vertrag 000062 (2017)"/>
    <m/>
    <s v="Abg."/>
    <x v="55"/>
    <s v="Beleuchtungsmessungen 2017"/>
    <n v="4730"/>
    <x v="0"/>
    <x v="3"/>
    <x v="1"/>
    <s v="13.02.16.890.02"/>
    <m/>
    <m/>
    <m/>
    <m/>
    <m/>
    <m/>
    <m/>
    <n v="4730"/>
    <m/>
    <m/>
    <m/>
    <m/>
    <m/>
    <m/>
    <m/>
    <m/>
    <m/>
    <m/>
    <m/>
    <n v="4730"/>
    <m/>
    <n v="4730"/>
  </r>
  <r>
    <s v="Vertrag 000062 (2017)"/>
    <m/>
    <s v="Abg."/>
    <x v="56"/>
    <s v="Prüfung LED Tu Oberburg"/>
    <n v="5265"/>
    <x v="0"/>
    <x v="3"/>
    <x v="5"/>
    <s v="13.02.16.890.02"/>
    <m/>
    <m/>
    <m/>
    <m/>
    <m/>
    <m/>
    <m/>
    <n v="5265"/>
    <m/>
    <m/>
    <m/>
    <m/>
    <m/>
    <m/>
    <m/>
    <m/>
    <m/>
    <m/>
    <m/>
    <n v="5265"/>
    <m/>
    <n v="5265"/>
  </r>
  <r>
    <s v="Vertrag 000062 (2017)"/>
    <m/>
    <s v="Abg."/>
    <x v="31"/>
    <s v="Hebebühnen für 2017"/>
    <n v="582.12"/>
    <x v="0"/>
    <x v="0"/>
    <x v="5"/>
    <s v="13.02.16.510.02"/>
    <m/>
    <m/>
    <m/>
    <m/>
    <m/>
    <m/>
    <m/>
    <n v="582.12"/>
    <m/>
    <m/>
    <m/>
    <m/>
    <m/>
    <m/>
    <m/>
    <m/>
    <m/>
    <m/>
    <m/>
    <n v="582.12"/>
    <m/>
    <n v="582.12"/>
  </r>
  <r>
    <s v="Vertrag 000062 (2017)"/>
    <m/>
    <s v="Abg."/>
    <x v="57"/>
    <s v="Raumlüftungen Betriebszentralen"/>
    <n v="4800"/>
    <x v="0"/>
    <x v="3"/>
    <x v="1"/>
    <s v="13.02.16.890.02"/>
    <m/>
    <m/>
    <m/>
    <m/>
    <m/>
    <m/>
    <m/>
    <n v="3092.15"/>
    <m/>
    <m/>
    <m/>
    <m/>
    <m/>
    <m/>
    <m/>
    <m/>
    <m/>
    <m/>
    <m/>
    <n v="3092.15"/>
    <m/>
    <n v="3092.15"/>
  </r>
  <r>
    <s v="Vertrag 000062 (2018)"/>
    <m/>
    <s v="Abg."/>
    <x v="13"/>
    <s v="Abhängen / Anschliessen USV-Anlagen"/>
    <n v="4498.03665"/>
    <x v="0"/>
    <x v="3"/>
    <x v="14"/>
    <s v="13.02.16.890.02"/>
    <m/>
    <m/>
    <m/>
    <m/>
    <m/>
    <m/>
    <m/>
    <m/>
    <m/>
    <n v="4037.6"/>
    <m/>
    <m/>
    <m/>
    <m/>
    <m/>
    <m/>
    <m/>
    <m/>
    <m/>
    <n v="4037.6"/>
    <m/>
    <n v="4037.6"/>
  </r>
  <r>
    <s v="Vertrag 000062 (2018)"/>
    <m/>
    <s v="Abg."/>
    <x v="58"/>
    <s v="Bodensockel USV-Analgen"/>
    <n v="1895.5"/>
    <x v="0"/>
    <x v="3"/>
    <x v="14"/>
    <s v="13.02.16.890.02"/>
    <m/>
    <m/>
    <m/>
    <m/>
    <m/>
    <m/>
    <m/>
    <m/>
    <n v="1895.5"/>
    <m/>
    <m/>
    <m/>
    <m/>
    <m/>
    <m/>
    <m/>
    <m/>
    <m/>
    <m/>
    <n v="1895.5"/>
    <m/>
    <n v="1895.5"/>
  </r>
  <r>
    <s v="Vertrag 000062 (2021)"/>
    <m/>
    <s v="Abg."/>
    <x v="59"/>
    <s v="Genehmigung Transformatoren"/>
    <n v="2008"/>
    <x v="0"/>
    <x v="3"/>
    <x v="14"/>
    <s v="13.02.16.890.02"/>
    <m/>
    <m/>
    <m/>
    <m/>
    <m/>
    <m/>
    <m/>
    <m/>
    <m/>
    <m/>
    <m/>
    <n v="2008"/>
    <m/>
    <m/>
    <m/>
    <m/>
    <m/>
    <m/>
    <m/>
    <n v="2008"/>
    <m/>
    <n v="2008"/>
  </r>
  <r>
    <s v="Vertrag 000062 (2022)"/>
    <m/>
    <s v="Aktiv"/>
    <x v="60"/>
    <s v="Objektvereinbarung Quellwasser"/>
    <n v="3326.6"/>
    <x v="0"/>
    <x v="1"/>
    <x v="1"/>
    <s v="13.02.16.311.02"/>
    <m/>
    <m/>
    <m/>
    <m/>
    <m/>
    <m/>
    <m/>
    <m/>
    <m/>
    <m/>
    <m/>
    <m/>
    <n v="3727.95"/>
    <n v="0"/>
    <m/>
    <m/>
    <m/>
    <m/>
    <s v="Annahme BHU"/>
    <n v="3727.95"/>
    <n v="-401.34999999999991"/>
    <n v="3326.6"/>
  </r>
  <r>
    <s v="Vertrag 000062 (2022)"/>
    <m/>
    <s v="Aktiv"/>
    <x v="61"/>
    <s v="UN Rammsondierung WTÜ"/>
    <n v="4982.2020000000002"/>
    <x v="1"/>
    <x v="4"/>
    <x v="5"/>
    <s v="13.02.16.420.91"/>
    <m/>
    <m/>
    <m/>
    <m/>
    <m/>
    <m/>
    <m/>
    <m/>
    <m/>
    <m/>
    <m/>
    <m/>
    <n v="3315.65"/>
    <m/>
    <m/>
    <m/>
    <m/>
    <m/>
    <m/>
    <n v="3315.65"/>
    <m/>
    <n v="3315.65"/>
  </r>
  <r>
    <s v="Vertrag 000062 (2022)"/>
    <m/>
    <s v="Aktiv"/>
    <x v="62"/>
    <s v="Beurteilen NISV Ebenrain"/>
    <n v="546.04999999999995"/>
    <x v="0"/>
    <x v="3"/>
    <x v="14"/>
    <s v="13.02.16.890.02"/>
    <m/>
    <m/>
    <m/>
    <m/>
    <m/>
    <m/>
    <m/>
    <m/>
    <m/>
    <m/>
    <m/>
    <m/>
    <n v="546.04999999999995"/>
    <m/>
    <m/>
    <m/>
    <m/>
    <m/>
    <m/>
    <n v="546.04999999999995"/>
    <m/>
    <n v="546.04999999999995"/>
  </r>
  <r>
    <s v="Vertrag 000062 (2022)"/>
    <m/>
    <s v="Aktiv"/>
    <x v="25"/>
    <s v="Oberboden+Schadstoffe WTÜ"/>
    <n v="2530.9499999999998"/>
    <x v="1"/>
    <x v="4"/>
    <x v="5"/>
    <s v="13.02.16.420.91"/>
    <m/>
    <m/>
    <m/>
    <m/>
    <m/>
    <m/>
    <m/>
    <m/>
    <m/>
    <m/>
    <m/>
    <m/>
    <n v="2315.5500000000002"/>
    <m/>
    <m/>
    <m/>
    <m/>
    <m/>
    <m/>
    <n v="2315.5500000000002"/>
    <m/>
    <n v="2315.5500000000002"/>
  </r>
  <r>
    <s v="Vertrag 000062 (2022)"/>
    <m/>
    <s v="Aktiv"/>
    <x v="63"/>
    <s v="Druckversuche WTÜ"/>
    <n v="1583.1899999999998"/>
    <x v="1"/>
    <x v="4"/>
    <x v="5"/>
    <s v="13.02.16.420.91"/>
    <m/>
    <m/>
    <m/>
    <m/>
    <m/>
    <m/>
    <m/>
    <m/>
    <m/>
    <m/>
    <m/>
    <m/>
    <n v="1292.4000000000001"/>
    <m/>
    <m/>
    <m/>
    <m/>
    <m/>
    <m/>
    <n v="1292.4000000000001"/>
    <m/>
    <n v="1292.4000000000001"/>
  </r>
  <r>
    <s v="Vertrag 000062 (2022)"/>
    <m/>
    <s v="Aktiv"/>
    <x v="64"/>
    <s v="Kornverteilung WTÜ"/>
    <n v="3054.10275"/>
    <x v="1"/>
    <x v="4"/>
    <x v="5"/>
    <s v="13.02.16.420.91"/>
    <m/>
    <m/>
    <m/>
    <m/>
    <m/>
    <m/>
    <m/>
    <m/>
    <m/>
    <m/>
    <m/>
    <m/>
    <n v="3054.1"/>
    <m/>
    <m/>
    <m/>
    <m/>
    <m/>
    <m/>
    <n v="3054.1"/>
    <m/>
    <n v="3054.1"/>
  </r>
  <r>
    <s v="Vertrag 000063 (2017)"/>
    <m/>
    <s v="Abg."/>
    <x v="65"/>
    <s v="Sickerleitungen fräsen Tu Ebenrain"/>
    <n v="33097.300000000003"/>
    <x v="0"/>
    <x v="0"/>
    <x v="15"/>
    <s v="13.02.16.510.02"/>
    <m/>
    <m/>
    <m/>
    <m/>
    <m/>
    <m/>
    <m/>
    <n v="23133.599999999999"/>
    <m/>
    <m/>
    <m/>
    <m/>
    <m/>
    <m/>
    <m/>
    <m/>
    <m/>
    <m/>
    <m/>
    <n v="23133.599999999999"/>
    <m/>
    <n v="23133.599999999999"/>
  </r>
  <r>
    <s v="Vertrag 000064 (2017)"/>
    <m/>
    <s v="Abg."/>
    <x v="8"/>
    <s v="Projektbegleitung BSA (2017-2018)"/>
    <n v="54184.05"/>
    <x v="0"/>
    <x v="3"/>
    <x v="1"/>
    <s v="13.02.16.890.02"/>
    <m/>
    <m/>
    <m/>
    <m/>
    <m/>
    <m/>
    <m/>
    <n v="20610.5"/>
    <n v="13690.85"/>
    <n v="7809.75"/>
    <n v="13975.900000000001"/>
    <m/>
    <m/>
    <m/>
    <m/>
    <m/>
    <m/>
    <m/>
    <m/>
    <n v="56087"/>
    <m/>
    <n v="56087"/>
  </r>
  <r>
    <s v="Vertrag 000065 (2017)"/>
    <m/>
    <s v="Abg."/>
    <x v="8"/>
    <s v="Projektbegleitung Bau (2017)"/>
    <n v="23798.9"/>
    <x v="0"/>
    <x v="1"/>
    <x v="1"/>
    <s v="13.02.16.311.02"/>
    <m/>
    <m/>
    <m/>
    <m/>
    <m/>
    <m/>
    <m/>
    <n v="4352.8500000000004"/>
    <n v="3431.95"/>
    <n v="5039.4500000000007"/>
    <n v="2574.3500000000004"/>
    <m/>
    <m/>
    <m/>
    <m/>
    <m/>
    <m/>
    <m/>
    <m/>
    <n v="15398.6"/>
    <m/>
    <n v="15398.6"/>
  </r>
  <r>
    <s v="Vertrag 000066 (2017)"/>
    <m/>
    <s v="Abg."/>
    <x v="8"/>
    <s v="Schliesskonzept"/>
    <n v="53901.18"/>
    <x v="0"/>
    <x v="3"/>
    <x v="1"/>
    <s v="13.02.16.890.02"/>
    <m/>
    <m/>
    <m/>
    <m/>
    <m/>
    <m/>
    <m/>
    <n v="3769.15"/>
    <n v="35063.550000000003"/>
    <n v="6466.2"/>
    <m/>
    <m/>
    <m/>
    <m/>
    <m/>
    <m/>
    <m/>
    <m/>
    <m/>
    <n v="45298.9"/>
    <m/>
    <n v="45298.9"/>
  </r>
  <r>
    <s v="Vertrag 000067 (2017)"/>
    <m/>
    <s v="Abg."/>
    <x v="66"/>
    <s v="Umbau Notrufsäulen"/>
    <n v="37276.199999999997"/>
    <x v="0"/>
    <x v="0"/>
    <x v="16"/>
    <s v="13.02.16.890.02"/>
    <m/>
    <m/>
    <m/>
    <m/>
    <m/>
    <m/>
    <m/>
    <n v="36498.6"/>
    <m/>
    <m/>
    <m/>
    <m/>
    <m/>
    <m/>
    <m/>
    <m/>
    <m/>
    <m/>
    <m/>
    <n v="36498.6"/>
    <m/>
    <n v="36498.6"/>
  </r>
  <r>
    <s v="Vertrag 000068 (2017)"/>
    <m/>
    <s v="Abg."/>
    <x v="67"/>
    <s v="Rissinjektionen Tu Ebenrain"/>
    <n v="43554.95"/>
    <x v="0"/>
    <x v="0"/>
    <x v="15"/>
    <s v="13.02.16.510.02"/>
    <m/>
    <m/>
    <m/>
    <m/>
    <m/>
    <m/>
    <m/>
    <n v="40990.75"/>
    <m/>
    <m/>
    <m/>
    <m/>
    <m/>
    <m/>
    <m/>
    <m/>
    <m/>
    <m/>
    <m/>
    <n v="40990.75"/>
    <m/>
    <n v="40990.75"/>
  </r>
  <r>
    <s v="Vertrag 000069 (2017)"/>
    <m/>
    <s v="Abg."/>
    <x v="8"/>
    <s v="Sperrungen Tu Ebenrain"/>
    <n v="38858.400000000001"/>
    <x v="0"/>
    <x v="0"/>
    <x v="12"/>
    <s v="13.02.16.510.02"/>
    <m/>
    <m/>
    <m/>
    <m/>
    <m/>
    <m/>
    <m/>
    <n v="31308.15"/>
    <m/>
    <m/>
    <m/>
    <m/>
    <m/>
    <m/>
    <m/>
    <m/>
    <m/>
    <m/>
    <m/>
    <n v="31308.15"/>
    <m/>
    <n v="31308.15"/>
  </r>
  <r>
    <s v="Vertrag 000070 (2017)"/>
    <m/>
    <s v="Abg."/>
    <x v="68"/>
    <s v="Entschädigungen"/>
    <n v="0"/>
    <x v="1"/>
    <x v="1"/>
    <x v="17"/>
    <s v="13.02.16.311.02"/>
    <m/>
    <m/>
    <m/>
    <m/>
    <m/>
    <m/>
    <n v="2224.8000000000002"/>
    <m/>
    <m/>
    <m/>
    <m/>
    <m/>
    <m/>
    <m/>
    <m/>
    <m/>
    <m/>
    <m/>
    <m/>
    <n v="2224.8000000000002"/>
    <m/>
    <n v="2224.8000000000002"/>
  </r>
  <r>
    <s v="Vertrag 000070 (2017)"/>
    <m/>
    <s v="Abg."/>
    <x v="69"/>
    <s v="Entschädigungen"/>
    <n v="0"/>
    <x v="1"/>
    <x v="1"/>
    <x v="17"/>
    <s v="13.02.16.311.02"/>
    <m/>
    <m/>
    <m/>
    <m/>
    <m/>
    <m/>
    <n v="1000"/>
    <m/>
    <m/>
    <m/>
    <m/>
    <m/>
    <m/>
    <m/>
    <m/>
    <m/>
    <m/>
    <m/>
    <m/>
    <n v="1000"/>
    <m/>
    <n v="1000"/>
  </r>
  <r>
    <s v="Vertrag 000070 (2022)"/>
    <m/>
    <s v="Aktiv"/>
    <x v="70"/>
    <s v="Grenzmutation Kleintierkorridor"/>
    <n v="1986.95"/>
    <x v="1"/>
    <x v="4"/>
    <x v="18"/>
    <s v="13.02.16.420.91"/>
    <m/>
    <m/>
    <m/>
    <m/>
    <m/>
    <m/>
    <m/>
    <m/>
    <m/>
    <m/>
    <m/>
    <m/>
    <n v="1986.95"/>
    <m/>
    <m/>
    <m/>
    <m/>
    <m/>
    <m/>
    <n v="1986.95"/>
    <m/>
    <n v="1986.95"/>
  </r>
  <r>
    <s v="Vertrag 000071 (2018)"/>
    <n v="1355041014"/>
    <s v="Aktiv"/>
    <x v="71"/>
    <s v="Plattform ReproService"/>
    <n v="152869.38"/>
    <x v="0"/>
    <x v="2"/>
    <x v="1"/>
    <s v="13.02.16.311.02"/>
    <m/>
    <m/>
    <m/>
    <m/>
    <m/>
    <m/>
    <m/>
    <m/>
    <m/>
    <m/>
    <m/>
    <n v="1927.35"/>
    <n v="6371.05"/>
    <n v="23628.95"/>
    <n v="35000"/>
    <n v="30000"/>
    <n v="20000"/>
    <n v="10000"/>
    <s v="Annahme BHU"/>
    <n v="8298.4"/>
    <n v="144570.98000000001"/>
    <n v="144570.98000000001"/>
  </r>
  <r>
    <s v="Vertrag 000072 (2018)"/>
    <n v="1355046659"/>
    <s v="Aktiv"/>
    <x v="8"/>
    <s v="Kabelnetz, GIS+Daten"/>
    <n v="73359.850000000006"/>
    <x v="0"/>
    <x v="3"/>
    <x v="1"/>
    <s v="13.02.16.890.02"/>
    <m/>
    <m/>
    <m/>
    <m/>
    <m/>
    <m/>
    <m/>
    <m/>
    <n v="534.1"/>
    <m/>
    <n v="1125.2"/>
    <n v="5237.55"/>
    <n v="8127.8"/>
    <n v="6872.2"/>
    <n v="10000"/>
    <n v="10000"/>
    <n v="10000"/>
    <m/>
    <s v="Annahme BHU BSA"/>
    <n v="15024.650000000001"/>
    <n v="58335.200000000004"/>
    <n v="73359.850000000006"/>
  </r>
  <r>
    <s v="Vertrag 000073 (2018)"/>
    <m/>
    <s v="Abg."/>
    <x v="4"/>
    <s v="Erstellen Fixpunktenetz"/>
    <n v="58055.8"/>
    <x v="0"/>
    <x v="1"/>
    <x v="5"/>
    <s v="13.02.16.311.02"/>
    <m/>
    <m/>
    <m/>
    <m/>
    <m/>
    <m/>
    <m/>
    <m/>
    <m/>
    <m/>
    <n v="58055.8"/>
    <m/>
    <m/>
    <m/>
    <m/>
    <m/>
    <m/>
    <m/>
    <m/>
    <n v="58055.8"/>
    <m/>
    <n v="58055.8"/>
  </r>
  <r>
    <s v="Vertrag 000074 (2018)"/>
    <m/>
    <s v="Abg."/>
    <x v="72"/>
    <s v="Ersatz der USV-Anlagen"/>
    <n v="74114.850000000006"/>
    <x v="0"/>
    <x v="3"/>
    <x v="14"/>
    <s v="13.02.16.890.02"/>
    <m/>
    <m/>
    <m/>
    <m/>
    <m/>
    <m/>
    <m/>
    <m/>
    <m/>
    <n v="74114.850000000006"/>
    <m/>
    <m/>
    <m/>
    <m/>
    <m/>
    <m/>
    <m/>
    <m/>
    <m/>
    <n v="74114.850000000006"/>
    <m/>
    <n v="74114.850000000006"/>
  </r>
  <r>
    <s v="Vertrag 000075 (2018)"/>
    <m/>
    <s v="Abg."/>
    <x v="73"/>
    <s v="Baumeister Hydrant Schloss Ebenrain"/>
    <n v="19774.95"/>
    <x v="0"/>
    <x v="0"/>
    <x v="19"/>
    <s v="13.02.16.510.02"/>
    <m/>
    <m/>
    <m/>
    <m/>
    <m/>
    <m/>
    <m/>
    <m/>
    <n v="13819.95"/>
    <m/>
    <m/>
    <m/>
    <m/>
    <m/>
    <m/>
    <m/>
    <m/>
    <m/>
    <m/>
    <n v="13819.95"/>
    <m/>
    <n v="13819.95"/>
  </r>
  <r>
    <s v="Vertrag 000076 (2018)"/>
    <m/>
    <s v="Abg."/>
    <x v="74"/>
    <s v="Sanitär Hydrant Schloss Ebenrain"/>
    <n v="12267.85"/>
    <x v="0"/>
    <x v="0"/>
    <x v="19"/>
    <s v="13.02.16.510.02"/>
    <m/>
    <m/>
    <m/>
    <m/>
    <m/>
    <m/>
    <m/>
    <m/>
    <m/>
    <n v="10930.45"/>
    <m/>
    <m/>
    <m/>
    <m/>
    <m/>
    <m/>
    <m/>
    <m/>
    <m/>
    <n v="10930.45"/>
    <m/>
    <n v="10930.45"/>
  </r>
  <r>
    <s v="Vertrag 000077 (2018)"/>
    <n v="1355008567"/>
    <s v="Aktiv"/>
    <x v="5"/>
    <s v="Umweltbaubegleitung (UBB)"/>
    <n v="145600"/>
    <x v="0"/>
    <x v="2"/>
    <x v="1"/>
    <s v="13.02.16.311.02"/>
    <m/>
    <m/>
    <m/>
    <m/>
    <m/>
    <m/>
    <m/>
    <m/>
    <m/>
    <m/>
    <n v="5244.75"/>
    <n v="9795.65"/>
    <n v="7620.2"/>
    <n v="17379.8"/>
    <n v="40000"/>
    <n v="30000"/>
    <n v="30000"/>
    <n v="10000"/>
    <s v="Annahme BHU"/>
    <n v="22660.6"/>
    <n v="122939.4"/>
    <n v="122939.4"/>
  </r>
  <r>
    <s v="Vertrag 000078 (2018)"/>
    <m/>
    <s v="Abg."/>
    <x v="75"/>
    <s v="Vorbereitung Kabelanlagen"/>
    <n v="49820.135249999999"/>
    <x v="0"/>
    <x v="3"/>
    <x v="14"/>
    <s v="13.02.16.890.02"/>
    <m/>
    <m/>
    <m/>
    <m/>
    <m/>
    <m/>
    <m/>
    <m/>
    <n v="49820.14"/>
    <m/>
    <m/>
    <m/>
    <m/>
    <m/>
    <m/>
    <m/>
    <m/>
    <m/>
    <m/>
    <n v="49820.14"/>
    <m/>
    <n v="49820.14"/>
  </r>
  <r>
    <s v="Vertrag 000079 (2019)"/>
    <m/>
    <s v="Abg."/>
    <x v="76"/>
    <s v="Mobile Befahrung"/>
    <n v="87452.4"/>
    <x v="0"/>
    <x v="1"/>
    <x v="5"/>
    <s v="13.02.16.311.02"/>
    <m/>
    <m/>
    <m/>
    <m/>
    <m/>
    <m/>
    <m/>
    <m/>
    <m/>
    <m/>
    <n v="43553.9"/>
    <n v="43898.5"/>
    <m/>
    <m/>
    <m/>
    <m/>
    <m/>
    <m/>
    <m/>
    <n v="87452.4"/>
    <m/>
    <n v="87452.4"/>
  </r>
  <r>
    <s v="Vertrag 000080 (2019)"/>
    <m/>
    <s v="Abg."/>
    <x v="77"/>
    <s v="Spez. Prüfung Submissionsdossier"/>
    <n v="29015"/>
    <x v="0"/>
    <x v="2"/>
    <x v="7"/>
    <s v="13.02.16.311.02"/>
    <m/>
    <m/>
    <m/>
    <m/>
    <m/>
    <m/>
    <m/>
    <m/>
    <m/>
    <m/>
    <n v="18527.09"/>
    <m/>
    <m/>
    <m/>
    <m/>
    <m/>
    <m/>
    <m/>
    <m/>
    <n v="18527.09"/>
    <m/>
    <n v="18527.09"/>
  </r>
  <r>
    <s v="Vertrag 000081 (2020)"/>
    <n v="1355028305"/>
    <s v="Aktiv"/>
    <x v="78"/>
    <s v="Baumeisterarbeiten TU, K, TG"/>
    <n v="38216304.348749995"/>
    <x v="2"/>
    <x v="5"/>
    <x v="20"/>
    <s v="ARGE"/>
    <m/>
    <m/>
    <m/>
    <m/>
    <m/>
    <m/>
    <m/>
    <m/>
    <m/>
    <m/>
    <m/>
    <n v="965730.75"/>
    <n v="2310680.8000000003"/>
    <n v="3189319.1999999997"/>
    <n v="16000000"/>
    <n v="9000000"/>
    <n v="6000000"/>
    <n v="0"/>
    <s v="Annahme INGE EPSI / BHU"/>
    <n v="3276411.5500000003"/>
    <n v="35893813.992650002"/>
    <n v="39170225.542649999"/>
  </r>
  <r>
    <s v="Vertrag 000081 NO1"/>
    <m/>
    <s v="Aktiv"/>
    <x v="78"/>
    <s v="NO1+NO2"/>
    <n v="177080.34"/>
    <x v="2"/>
    <x v="5"/>
    <x v="20"/>
    <s v="ARGE"/>
    <m/>
    <m/>
    <m/>
    <m/>
    <m/>
    <m/>
    <m/>
    <m/>
    <m/>
    <m/>
    <m/>
    <m/>
    <m/>
    <m/>
    <m/>
    <m/>
    <m/>
    <m/>
    <m/>
    <m/>
    <m/>
    <m/>
  </r>
  <r>
    <s v="Vertrag 000081 NO2"/>
    <m/>
    <s v="Aktiv"/>
    <x v="78"/>
    <s v="NO3+NO4"/>
    <n v="185776.5765"/>
    <x v="2"/>
    <x v="5"/>
    <x v="20"/>
    <s v="ARGE"/>
    <m/>
    <m/>
    <m/>
    <m/>
    <m/>
    <m/>
    <m/>
    <m/>
    <m/>
    <m/>
    <m/>
    <m/>
    <m/>
    <m/>
    <m/>
    <m/>
    <m/>
    <m/>
    <m/>
    <m/>
    <m/>
    <m/>
  </r>
  <r>
    <s v="Vertrag 000081 NO3"/>
    <m/>
    <s v="Aktiv"/>
    <x v="78"/>
    <s v="NO5+NO6+NO7"/>
    <n v="263985.40859999997"/>
    <x v="2"/>
    <x v="5"/>
    <x v="20"/>
    <s v="ARGE"/>
    <m/>
    <m/>
    <m/>
    <m/>
    <m/>
    <m/>
    <m/>
    <m/>
    <m/>
    <m/>
    <m/>
    <m/>
    <m/>
    <m/>
    <m/>
    <m/>
    <m/>
    <m/>
    <m/>
    <m/>
    <m/>
    <m/>
  </r>
  <r>
    <s v="Vertrag 000081 NO4"/>
    <m/>
    <s v="Aktiv"/>
    <x v="78"/>
    <s v="NO8+NO9"/>
    <n v="-92311.285499999998"/>
    <x v="2"/>
    <x v="5"/>
    <x v="20"/>
    <s v="ARGE"/>
    <m/>
    <m/>
    <m/>
    <m/>
    <m/>
    <m/>
    <m/>
    <m/>
    <m/>
    <m/>
    <m/>
    <m/>
    <m/>
    <m/>
    <m/>
    <m/>
    <m/>
    <m/>
    <m/>
    <m/>
    <m/>
    <m/>
  </r>
  <r>
    <s v="Vertrag 000081 NO5"/>
    <m/>
    <s v="geplant"/>
    <x v="78"/>
    <s v="NO10-NO16"/>
    <n v="419390.15429999999"/>
    <x v="2"/>
    <x v="5"/>
    <x v="20"/>
    <s v="ARGE"/>
    <m/>
    <m/>
    <m/>
    <m/>
    <m/>
    <m/>
    <m/>
    <m/>
    <m/>
    <m/>
    <m/>
    <m/>
    <m/>
    <m/>
    <m/>
    <m/>
    <m/>
    <m/>
    <m/>
    <m/>
    <m/>
    <m/>
  </r>
  <r>
    <m/>
    <m/>
    <s v="geplant"/>
    <x v="78"/>
    <m/>
    <m/>
    <x v="2"/>
    <x v="5"/>
    <x v="20"/>
    <s v="ARGE"/>
    <m/>
    <m/>
    <m/>
    <m/>
    <m/>
    <m/>
    <m/>
    <m/>
    <m/>
    <m/>
    <m/>
    <m/>
    <m/>
    <m/>
    <m/>
    <m/>
    <m/>
    <m/>
    <m/>
    <m/>
    <m/>
    <m/>
  </r>
  <r>
    <s v="Vertrag 000082 (2019)"/>
    <m/>
    <s v="Abg."/>
    <x v="8"/>
    <s v="Sperrungen für Fixpunktenetz"/>
    <n v="62257.599999999999"/>
    <x v="0"/>
    <x v="1"/>
    <x v="12"/>
    <s v="13.02.16.311.02"/>
    <m/>
    <m/>
    <m/>
    <m/>
    <m/>
    <m/>
    <m/>
    <m/>
    <m/>
    <m/>
    <n v="52706.75"/>
    <n v="7498.8"/>
    <m/>
    <m/>
    <m/>
    <m/>
    <m/>
    <m/>
    <s v="Annahme BHU"/>
    <n v="60205.55"/>
    <n v="2052.0499999999956"/>
    <n v="62257.599999999999"/>
  </r>
  <r>
    <s v="Vertrag 000083 (Los 011)"/>
    <n v="1355030652"/>
    <s v="Aktiv"/>
    <x v="79"/>
    <s v="Verkehrssteuerung Sissach-Diegten"/>
    <n v="572512.52159999998"/>
    <x v="0"/>
    <x v="3"/>
    <x v="9"/>
    <s v="13.02.16.890.02"/>
    <m/>
    <m/>
    <m/>
    <m/>
    <m/>
    <m/>
    <m/>
    <m/>
    <m/>
    <m/>
    <m/>
    <m/>
    <n v="135369.0993"/>
    <n v="14630.900699999998"/>
    <n v="200000"/>
    <n v="150000"/>
    <n v="50000"/>
    <n v="40000"/>
    <s v="Annahme BHU BSA"/>
    <n v="135369.0993"/>
    <n v="455202.55830000003"/>
    <n v="590571.65760000004"/>
  </r>
  <r>
    <s v="Vertrag 000083 NO1"/>
    <m/>
    <s v="Aktiv"/>
    <x v="79"/>
    <s v="NO1"/>
    <n v="18059.135999999999"/>
    <x v="0"/>
    <x v="3"/>
    <x v="9"/>
    <s v="13.02.16.890.02"/>
    <m/>
    <m/>
    <m/>
    <m/>
    <m/>
    <m/>
    <m/>
    <m/>
    <m/>
    <m/>
    <m/>
    <m/>
    <m/>
    <m/>
    <m/>
    <m/>
    <m/>
    <m/>
    <m/>
    <m/>
    <m/>
    <m/>
  </r>
  <r>
    <s v="Vertrag 000084 (Los 013)"/>
    <n v="1355030656"/>
    <s v="Aktiv"/>
    <x v="80"/>
    <s v="Dynamische Signale "/>
    <n v="1315560.885"/>
    <x v="0"/>
    <x v="3"/>
    <x v="9"/>
    <s v="13.02.16.890.02"/>
    <m/>
    <m/>
    <m/>
    <m/>
    <m/>
    <m/>
    <m/>
    <m/>
    <m/>
    <m/>
    <m/>
    <m/>
    <n v="364296.86550000001"/>
    <n v="0"/>
    <n v="300000"/>
    <n v="400000"/>
    <n v="250000"/>
    <m/>
    <s v="Annahme BHU BSA"/>
    <n v="364296.86550000001"/>
    <n v="951264.01949999994"/>
    <n v="1315560.885"/>
  </r>
  <r>
    <s v="Vertrag 000085 (Los 014)"/>
    <n v="1355030660"/>
    <s v="geplant"/>
    <x v="81"/>
    <s v="Statische Signale"/>
    <n v="309099"/>
    <x v="0"/>
    <x v="3"/>
    <x v="20"/>
    <s v="13.02.16.890.02"/>
    <m/>
    <m/>
    <m/>
    <m/>
    <m/>
    <m/>
    <m/>
    <m/>
    <m/>
    <m/>
    <m/>
    <m/>
    <m/>
    <m/>
    <n v="110000"/>
    <n v="110000"/>
    <m/>
    <m/>
    <s v="Annahme BHU BSA"/>
    <n v="0"/>
    <n v="309099"/>
    <n v="309099"/>
  </r>
  <r>
    <s v="Vertrag 000086 (2022)"/>
    <n v="1355032175"/>
    <s v="Aktiv"/>
    <x v="82"/>
    <s v="Beizug kant. Fachstellen"/>
    <n v="25000"/>
    <x v="0"/>
    <x v="2"/>
    <x v="2"/>
    <s v="13.02.16.311.02"/>
    <m/>
    <m/>
    <m/>
    <m/>
    <m/>
    <m/>
    <m/>
    <m/>
    <m/>
    <m/>
    <m/>
    <m/>
    <m/>
    <n v="5000"/>
    <n v="5000"/>
    <n v="5000"/>
    <n v="5000"/>
    <n v="5000"/>
    <s v="Annahme BHU"/>
    <n v="0"/>
    <n v="25000"/>
    <n v="25000"/>
  </r>
  <r>
    <s v="Vertrag 000087 (2020)"/>
    <m/>
    <s v="Abg."/>
    <x v="83"/>
    <s v="Ersatz Brandmeldeanlagen"/>
    <n v="38233.949999999997"/>
    <x v="0"/>
    <x v="3"/>
    <x v="21"/>
    <s v="13.02.16.890.02"/>
    <m/>
    <m/>
    <m/>
    <m/>
    <m/>
    <m/>
    <m/>
    <m/>
    <m/>
    <m/>
    <n v="38581.599999999999"/>
    <m/>
    <m/>
    <m/>
    <m/>
    <m/>
    <m/>
    <m/>
    <m/>
    <n v="38581.599999999999"/>
    <m/>
    <n v="38581.599999999999"/>
  </r>
  <r>
    <s v="Vertrag 000088 (2020)"/>
    <n v="1355036841"/>
    <s v="Aktiv"/>
    <x v="84"/>
    <s v="Planung Ersatz Brandmeldeanlagen"/>
    <n v="52714.400000000001"/>
    <x v="0"/>
    <x v="3"/>
    <x v="1"/>
    <s v="13.02.16.890.02"/>
    <m/>
    <m/>
    <m/>
    <m/>
    <m/>
    <m/>
    <m/>
    <m/>
    <m/>
    <m/>
    <n v="26916.3"/>
    <n v="3426.8"/>
    <m/>
    <n v="1500"/>
    <m/>
    <m/>
    <m/>
    <m/>
    <s v="Annahme BHU BSA"/>
    <n v="30343.1"/>
    <n v="22371.300000000003"/>
    <n v="52714.400000000001"/>
  </r>
  <r>
    <s v="Vertrag 000089 (2021)"/>
    <n v="1355038336"/>
    <s v="Aktiv"/>
    <x v="85"/>
    <s v="PV Spez. NG (Phase 41-53)"/>
    <n v="299275.89840000001"/>
    <x v="0"/>
    <x v="0"/>
    <x v="1"/>
    <s v="Lombardi"/>
    <m/>
    <m/>
    <m/>
    <m/>
    <m/>
    <m/>
    <m/>
    <m/>
    <m/>
    <m/>
    <m/>
    <n v="144171.54999999999"/>
    <n v="74960.55"/>
    <n v="45039.45"/>
    <n v="70000"/>
    <n v="10000"/>
    <n v="10000"/>
    <m/>
    <s v="Annahme BHU"/>
    <n v="219132.09999999998"/>
    <n v="125738.59340000001"/>
    <n v="344870.69339999999"/>
  </r>
  <r>
    <s v="Vertrag 000089 NO1"/>
    <m/>
    <s v="Aktiv"/>
    <x v="85"/>
    <s v="NO1"/>
    <n v="45594.794999999998"/>
    <x v="0"/>
    <x v="0"/>
    <x v="1"/>
    <s v="Lombardi"/>
    <m/>
    <m/>
    <m/>
    <m/>
    <m/>
    <m/>
    <m/>
    <m/>
    <m/>
    <m/>
    <m/>
    <m/>
    <m/>
    <m/>
    <m/>
    <m/>
    <m/>
    <m/>
    <m/>
    <m/>
    <m/>
    <m/>
  </r>
  <r>
    <s v="NO2"/>
    <m/>
    <s v="geplant"/>
    <x v="85"/>
    <s v="NO2"/>
    <n v="20000"/>
    <x v="0"/>
    <x v="0"/>
    <x v="1"/>
    <s v="Lombardi"/>
    <m/>
    <m/>
    <m/>
    <m/>
    <m/>
    <m/>
    <m/>
    <m/>
    <m/>
    <m/>
    <m/>
    <m/>
    <m/>
    <m/>
    <m/>
    <m/>
    <m/>
    <m/>
    <m/>
    <n v="0"/>
    <n v="20000"/>
    <m/>
  </r>
  <r>
    <s v="Vertrag 000089 (2021)"/>
    <m/>
    <s v="Aktiv"/>
    <x v="85"/>
    <s v="PV Spez. NG (Phase 41-53)"/>
    <s v="Teuerung"/>
    <x v="0"/>
    <x v="0"/>
    <x v="1"/>
    <s v="Lombardi"/>
    <m/>
    <m/>
    <m/>
    <m/>
    <m/>
    <m/>
    <m/>
    <m/>
    <m/>
    <m/>
    <m/>
    <m/>
    <n v="400.1"/>
    <m/>
    <m/>
    <m/>
    <m/>
    <m/>
    <s v="Teuerung"/>
    <n v="400.1"/>
    <m/>
    <n v="400.1"/>
  </r>
  <r>
    <s v="Vertrag 000090 (2020)"/>
    <n v="1355042992"/>
    <s v="Aktiv"/>
    <x v="57"/>
    <s v="Planung Raumlüftung"/>
    <n v="71924.899999999994"/>
    <x v="0"/>
    <x v="3"/>
    <x v="1"/>
    <s v="13.02.16.890.02"/>
    <m/>
    <m/>
    <m/>
    <m/>
    <m/>
    <m/>
    <m/>
    <m/>
    <m/>
    <m/>
    <m/>
    <m/>
    <n v="10767.25"/>
    <n v="14232.75"/>
    <n v="15000"/>
    <n v="10000"/>
    <m/>
    <m/>
    <s v="Annahme BHU BSA"/>
    <n v="10767.25"/>
    <n v="61157.649999999994"/>
    <n v="71924.899999999994"/>
  </r>
  <r>
    <s v="Vertrag 000091 (Los 021)"/>
    <n v="1355044884"/>
    <s v="geplant"/>
    <x v="86"/>
    <s v="Abschnittsrechner Tu EBE Ausb. BLS"/>
    <n v="323100"/>
    <x v="0"/>
    <x v="3"/>
    <x v="20"/>
    <s v="13.02.16.890.02"/>
    <m/>
    <m/>
    <m/>
    <m/>
    <m/>
    <m/>
    <m/>
    <m/>
    <m/>
    <m/>
    <m/>
    <m/>
    <m/>
    <m/>
    <n v="160000"/>
    <n v="160000"/>
    <n v="130000"/>
    <m/>
    <s v="Annahme BHU BSA"/>
    <n v="0"/>
    <n v="323100"/>
    <n v="323100"/>
  </r>
  <r>
    <s v="Vertrag 000092 (2020)"/>
    <n v="1355045784"/>
    <s v="Aktiv"/>
    <x v="8"/>
    <s v="Projektbegleitung BSA (2020-2024)"/>
    <n v="363360.95"/>
    <x v="0"/>
    <x v="3"/>
    <x v="1"/>
    <s v="13.02.16.890.02"/>
    <m/>
    <m/>
    <m/>
    <m/>
    <m/>
    <m/>
    <m/>
    <m/>
    <m/>
    <m/>
    <n v="4508.2999999999993"/>
    <n v="21305.25"/>
    <n v="31513.75"/>
    <n v="28486.25"/>
    <n v="60000"/>
    <n v="60000"/>
    <m/>
    <m/>
    <s v="Annahme BHU BSA"/>
    <n v="57327.3"/>
    <n v="306033.65000000002"/>
    <n v="363360.95"/>
  </r>
  <r>
    <s v="Vertrag 000093 (2020)"/>
    <n v="1355045810"/>
    <s v="Aktiv"/>
    <x v="87"/>
    <s v="Lieferung Steinschlagschutzsysteme"/>
    <n v="214612.44375000001"/>
    <x v="0"/>
    <x v="0"/>
    <x v="22"/>
    <s v="13.02.16.760.15"/>
    <m/>
    <m/>
    <m/>
    <m/>
    <m/>
    <m/>
    <m/>
    <m/>
    <m/>
    <m/>
    <m/>
    <m/>
    <m/>
    <n v="220000"/>
    <m/>
    <m/>
    <m/>
    <m/>
    <s v="Annahme BHU"/>
    <n v="0"/>
    <n v="214612.44375000001"/>
    <n v="214612.44375000001"/>
  </r>
  <r>
    <s v="Vertrag 000094 (2021)"/>
    <n v="1355046236"/>
    <s v="Aktiv"/>
    <x v="88"/>
    <s v="PV Wildtierüberführung"/>
    <n v="1035781.9176"/>
    <x v="1"/>
    <x v="4"/>
    <x v="1"/>
    <s v="13.02.16.420.91"/>
    <m/>
    <m/>
    <m/>
    <m/>
    <m/>
    <m/>
    <m/>
    <m/>
    <m/>
    <m/>
    <m/>
    <n v="7288.6"/>
    <n v="128445.75000000001"/>
    <n v="71554.249999999985"/>
    <n v="150000"/>
    <n v="180000"/>
    <n v="180000"/>
    <n v="330000"/>
    <s v="Annahme BHU"/>
    <n v="135734.35"/>
    <n v="900047.56760000007"/>
    <n v="1035781.9176"/>
  </r>
  <r>
    <s v="Vertrag 000095 (2021)"/>
    <n v="1355047229"/>
    <s v="Aktiv"/>
    <x v="8"/>
    <s v="Projektbegleitung Bau (2021-2026)"/>
    <n v="171625.35"/>
    <x v="0"/>
    <x v="1"/>
    <x v="1"/>
    <s v="13.02.16.311.02"/>
    <m/>
    <m/>
    <m/>
    <m/>
    <m/>
    <m/>
    <m/>
    <m/>
    <m/>
    <m/>
    <m/>
    <n v="30425"/>
    <n v="13481.55"/>
    <n v="21518.45"/>
    <n v="30000"/>
    <n v="30000"/>
    <n v="30000"/>
    <n v="25000"/>
    <s v="Annahme BHU"/>
    <n v="43906.55"/>
    <n v="127718.8"/>
    <n v="171625.35"/>
  </r>
  <r>
    <s v="Vertrag 000096 (2020)"/>
    <m/>
    <s v="Abg."/>
    <x v="89"/>
    <s v="Schallschutzfenster "/>
    <n v="41081"/>
    <x v="0"/>
    <x v="1"/>
    <x v="19"/>
    <s v="13.02.16.978.60"/>
    <m/>
    <m/>
    <m/>
    <m/>
    <m/>
    <m/>
    <m/>
    <m/>
    <m/>
    <m/>
    <m/>
    <n v="40436.299999999996"/>
    <m/>
    <m/>
    <m/>
    <m/>
    <m/>
    <m/>
    <m/>
    <n v="40436.299999999996"/>
    <m/>
    <n v="40436.299999999996"/>
  </r>
  <r>
    <s v="Vertrag 000097 (2020)"/>
    <m/>
    <s v="Abg."/>
    <x v="90"/>
    <s v="Schallschutzfenster "/>
    <n v="15090"/>
    <x v="0"/>
    <x v="1"/>
    <x v="19"/>
    <s v="13.02.16.978.60"/>
    <m/>
    <m/>
    <m/>
    <m/>
    <m/>
    <m/>
    <m/>
    <m/>
    <m/>
    <m/>
    <n v="15090"/>
    <m/>
    <m/>
    <m/>
    <m/>
    <m/>
    <m/>
    <m/>
    <m/>
    <n v="15090"/>
    <m/>
    <n v="15090"/>
  </r>
  <r>
    <s v="Vertrag 000098 (Los 030)"/>
    <n v="1355049591"/>
    <s v="unnötig"/>
    <x v="13"/>
    <s v="Inst. ohne LWL (VOMA VLS)"/>
    <n v="0"/>
    <x v="0"/>
    <x v="3"/>
    <x v="20"/>
    <s v="13.02.16.890.02"/>
    <m/>
    <m/>
    <m/>
    <m/>
    <m/>
    <m/>
    <m/>
    <m/>
    <m/>
    <m/>
    <m/>
    <m/>
    <m/>
    <m/>
    <m/>
    <m/>
    <m/>
    <m/>
    <m/>
    <n v="0"/>
    <m/>
    <n v="0"/>
  </r>
  <r>
    <s v="Vertrag 000099 (Los 001)"/>
    <n v="1355049592"/>
    <s v="Aktiv"/>
    <x v="83"/>
    <s v="Ersatz MS-Anlagen Ebenrain"/>
    <n v="151877.46299999999"/>
    <x v="0"/>
    <x v="3"/>
    <x v="14"/>
    <s v="13.02.16.890.02"/>
    <m/>
    <m/>
    <m/>
    <m/>
    <m/>
    <m/>
    <m/>
    <m/>
    <m/>
    <m/>
    <m/>
    <m/>
    <n v="45563.24"/>
    <n v="436.76000000000204"/>
    <n v="90000"/>
    <n v="20000"/>
    <m/>
    <m/>
    <s v="Annahme BHU BSA"/>
    <n v="45563.24"/>
    <n v="106314.223"/>
    <n v="151877.46299999999"/>
  </r>
  <r>
    <s v="Vertrag 000100 (Los 016)"/>
    <n v="1355049594"/>
    <s v="Aktiv"/>
    <x v="91"/>
    <s v="Mobile MÜLS"/>
    <n v="352162.84499999997"/>
    <x v="0"/>
    <x v="3"/>
    <x v="9"/>
    <s v="13.02.16.890.02"/>
    <m/>
    <m/>
    <m/>
    <m/>
    <m/>
    <m/>
    <m/>
    <m/>
    <m/>
    <m/>
    <m/>
    <m/>
    <m/>
    <n v="350000"/>
    <m/>
    <m/>
    <m/>
    <m/>
    <s v="Annahme BHU BSA"/>
    <n v="0"/>
    <n v="352162.84499999997"/>
    <n v="352162.84499999997"/>
  </r>
  <r>
    <s v="Vertrag 000101 (Los 003)"/>
    <n v="1355049598"/>
    <s v="Aktiv"/>
    <x v="13"/>
    <s v="Installationsarbeiten ohne LWL"/>
    <n v="2241130.0538999997"/>
    <x v="0"/>
    <x v="3"/>
    <x v="14"/>
    <s v="13.02.16.890.02"/>
    <m/>
    <m/>
    <m/>
    <m/>
    <m/>
    <m/>
    <m/>
    <m/>
    <m/>
    <m/>
    <m/>
    <m/>
    <n v="564599.54"/>
    <n v="147061.45999999996"/>
    <n v="600000"/>
    <n v="600000"/>
    <n v="500000"/>
    <n v="100000"/>
    <s v="Annahme BHU BSA"/>
    <n v="564599.54"/>
    <n v="1728191.2959999996"/>
    <n v="2292790.8359999997"/>
  </r>
  <r>
    <s v="Vertrag 000101 NO1"/>
    <m/>
    <s v="Aktiv"/>
    <x v="13"/>
    <s v="NO1 Prov. Tunnel Ebenrain"/>
    <n v="51660.782100000004"/>
    <x v="0"/>
    <x v="3"/>
    <x v="14"/>
    <s v="13.02.16.890.02"/>
    <m/>
    <m/>
    <m/>
    <m/>
    <m/>
    <m/>
    <m/>
    <m/>
    <m/>
    <m/>
    <m/>
    <m/>
    <m/>
    <m/>
    <m/>
    <m/>
    <m/>
    <m/>
    <m/>
    <m/>
    <m/>
    <m/>
  </r>
  <r>
    <s v="Vertrag 000102 (2021)"/>
    <n v="1355049854"/>
    <s v="Aktiv"/>
    <x v="92"/>
    <s v="Spez. Prüfungen Stahlbau+FBÜ"/>
    <n v="27673.514999999999"/>
    <x v="0"/>
    <x v="2"/>
    <x v="7"/>
    <s v="13.02.16.311.02"/>
    <m/>
    <m/>
    <m/>
    <m/>
    <m/>
    <m/>
    <m/>
    <m/>
    <m/>
    <m/>
    <m/>
    <m/>
    <m/>
    <n v="4000"/>
    <n v="5000"/>
    <n v="5000"/>
    <n v="5000"/>
    <m/>
    <s v="Annahme BHU"/>
    <n v="0"/>
    <n v="27673.514999999999"/>
    <n v="27673.514999999999"/>
  </r>
  <r>
    <s v="Vertrag 000103 (2021)"/>
    <n v="1355001405"/>
    <s v="Aktiv"/>
    <x v="93"/>
    <s v="BH Labor"/>
    <n v="139032.78404999999"/>
    <x v="0"/>
    <x v="1"/>
    <x v="11"/>
    <s v="13.02.16.311.02"/>
    <m/>
    <m/>
    <m/>
    <m/>
    <m/>
    <m/>
    <m/>
    <m/>
    <m/>
    <m/>
    <m/>
    <m/>
    <m/>
    <n v="40000"/>
    <n v="50000"/>
    <n v="50000"/>
    <n v="50000"/>
    <n v="20000"/>
    <s v="Annahme BHU"/>
    <n v="0"/>
    <n v="139032.78404999999"/>
    <n v="139032.78404999999"/>
  </r>
  <r>
    <s v="Vertrag 000104 (2021)"/>
    <m/>
    <s v="Aktiv"/>
    <x v="8"/>
    <s v="TESI für 2021"/>
    <n v="303516.25"/>
    <x v="0"/>
    <x v="3"/>
    <x v="12"/>
    <s v="13.02.16.890.02"/>
    <m/>
    <m/>
    <m/>
    <m/>
    <m/>
    <m/>
    <m/>
    <m/>
    <m/>
    <m/>
    <m/>
    <n v="248899.69999999998"/>
    <n v="48451.45"/>
    <m/>
    <m/>
    <m/>
    <m/>
    <m/>
    <s v="Annahme BHU BSA"/>
    <n v="297351.14999999997"/>
    <n v="6165.1000000000349"/>
    <n v="303516.25"/>
  </r>
  <r>
    <s v="Vertrag 000105 (2021)"/>
    <n v="1355004478"/>
    <s v="Aktiv"/>
    <x v="94"/>
    <s v="Überwachung SM Anker"/>
    <n v="18730.107"/>
    <x v="0"/>
    <x v="0"/>
    <x v="5"/>
    <s v="13.02.16.720.21"/>
    <m/>
    <m/>
    <m/>
    <m/>
    <m/>
    <m/>
    <m/>
    <m/>
    <m/>
    <m/>
    <m/>
    <m/>
    <m/>
    <m/>
    <n v="19000"/>
    <m/>
    <m/>
    <m/>
    <s v="Annahme BHU"/>
    <n v="0"/>
    <n v="18730.107"/>
    <n v="18730.107"/>
  </r>
  <r>
    <s v="Vertrag 000106 (2021)"/>
    <n v="1355004486"/>
    <s v="Aktiv"/>
    <x v="95"/>
    <s v="Überwachung SM"/>
    <n v="8616"/>
    <x v="0"/>
    <x v="0"/>
    <x v="5"/>
    <s v="13.02.16.720.21"/>
    <m/>
    <m/>
    <m/>
    <m/>
    <m/>
    <m/>
    <m/>
    <m/>
    <m/>
    <m/>
    <m/>
    <m/>
    <m/>
    <m/>
    <n v="9000"/>
    <m/>
    <m/>
    <m/>
    <s v="Annahme BHU"/>
    <n v="0"/>
    <n v="8616"/>
    <n v="8616"/>
  </r>
  <r>
    <s v="Vertrag 000107 (2021)"/>
    <n v="1355007656"/>
    <s v="Aktiv"/>
    <x v="22"/>
    <s v="BH Vermessung"/>
    <n v="133548"/>
    <x v="0"/>
    <x v="1"/>
    <x v="5"/>
    <s v="13.02.16.311.02"/>
    <m/>
    <m/>
    <m/>
    <m/>
    <m/>
    <m/>
    <m/>
    <m/>
    <m/>
    <m/>
    <m/>
    <n v="3419.5"/>
    <n v="3573.4"/>
    <n v="21426.6"/>
    <n v="25000"/>
    <n v="25000"/>
    <n v="25000"/>
    <n v="10000"/>
    <s v="Annahme BHU"/>
    <n v="6992.9"/>
    <n v="126555.1"/>
    <n v="133548"/>
  </r>
  <r>
    <s v="Vertrag 000108 (2021)"/>
    <m/>
    <s v="Aktiv"/>
    <x v="7"/>
    <s v="Kanal-TV 2021"/>
    <n v="53784.033749999995"/>
    <x v="0"/>
    <x v="1"/>
    <x v="23"/>
    <s v="13.02.16.311.02"/>
    <m/>
    <m/>
    <m/>
    <m/>
    <m/>
    <m/>
    <m/>
    <m/>
    <m/>
    <m/>
    <m/>
    <n v="16155"/>
    <n v="40647.64"/>
    <m/>
    <m/>
    <m/>
    <m/>
    <m/>
    <m/>
    <n v="56802.64"/>
    <m/>
    <n v="56802.64"/>
  </r>
  <r>
    <s v="Vertrag 000109 (2022)"/>
    <n v="1355012091"/>
    <s v="Aktiv"/>
    <x v="96"/>
    <s v="UN-Steinschlagschutzbauten"/>
    <n v="3155517.378"/>
    <x v="0"/>
    <x v="0"/>
    <x v="22"/>
    <s v="13.02.16.763.09"/>
    <m/>
    <m/>
    <m/>
    <m/>
    <m/>
    <m/>
    <m/>
    <m/>
    <m/>
    <m/>
    <m/>
    <m/>
    <n v="65626.05"/>
    <n v="2769373.95"/>
    <n v="199000"/>
    <m/>
    <m/>
    <m/>
    <s v="Annahme Lombardi / BHU"/>
    <n v="65626.05"/>
    <n v="3089891.3280000002"/>
    <n v="3155517.378"/>
  </r>
  <r>
    <s v="NO1+NO2"/>
    <m/>
    <s v="geplant"/>
    <x v="96"/>
    <s v="NO1+NO2"/>
    <n v="9819.6551999999992"/>
    <x v="0"/>
    <x v="0"/>
    <x v="15"/>
    <m/>
    <m/>
    <m/>
    <m/>
    <m/>
    <m/>
    <m/>
    <m/>
    <m/>
    <m/>
    <m/>
    <m/>
    <m/>
    <m/>
    <m/>
    <m/>
    <m/>
    <m/>
    <m/>
    <m/>
    <n v="0"/>
    <n v="9819.6551999999992"/>
    <m/>
  </r>
  <r>
    <s v="NO3"/>
    <m/>
    <s v="geplant"/>
    <x v="96"/>
    <s v="NO3"/>
    <n v="410000"/>
    <x v="0"/>
    <x v="0"/>
    <x v="24"/>
    <m/>
    <m/>
    <m/>
    <m/>
    <m/>
    <m/>
    <m/>
    <m/>
    <m/>
    <m/>
    <m/>
    <m/>
    <m/>
    <m/>
    <m/>
    <m/>
    <m/>
    <m/>
    <m/>
    <m/>
    <n v="0"/>
    <n v="410000"/>
    <m/>
  </r>
  <r>
    <s v="Vertrag 000110 (Los 001b)"/>
    <n v="1355012663"/>
    <s v="Aktiv"/>
    <x v="97"/>
    <s v="MS-Kabelarbeiten"/>
    <n v="42022.15"/>
    <x v="0"/>
    <x v="3"/>
    <x v="14"/>
    <s v="13.02.16.890.02"/>
    <m/>
    <m/>
    <m/>
    <m/>
    <m/>
    <m/>
    <m/>
    <m/>
    <m/>
    <m/>
    <m/>
    <m/>
    <n v="9407.0500000000011"/>
    <n v="25592.949999999997"/>
    <m/>
    <n v="7000"/>
    <m/>
    <m/>
    <s v="Annahme BHU BSA"/>
    <n v="9407.0500000000011"/>
    <n v="32615.1"/>
    <n v="42022.15"/>
  </r>
  <r>
    <s v="Vertrag 000111 (Los 2)"/>
    <n v="1355016170"/>
    <s v="Aktiv"/>
    <x v="97"/>
    <s v="Miete Notstromaggregat"/>
    <n v="16735.503000000001"/>
    <x v="0"/>
    <x v="3"/>
    <x v="14"/>
    <s v="13.02.16.890.02"/>
    <m/>
    <m/>
    <m/>
    <m/>
    <m/>
    <m/>
    <m/>
    <m/>
    <m/>
    <m/>
    <m/>
    <m/>
    <m/>
    <m/>
    <n v="8500"/>
    <n v="8500"/>
    <m/>
    <m/>
    <s v="Annahme BHU BSA"/>
    <n v="0"/>
    <n v="16735.503000000001"/>
    <n v="16735.503000000001"/>
  </r>
  <r>
    <s v="Vertrag 000112 (2021)"/>
    <n v="1355016683"/>
    <s v="Aktiv"/>
    <x v="33"/>
    <s v="Geologe WTÜ"/>
    <n v="34276.063499999997"/>
    <x v="1"/>
    <x v="4"/>
    <x v="25"/>
    <s v="13.02.16.420.91"/>
    <m/>
    <m/>
    <m/>
    <m/>
    <m/>
    <m/>
    <m/>
    <m/>
    <m/>
    <m/>
    <m/>
    <m/>
    <n v="19768.370000000003"/>
    <n v="5231.6299999999974"/>
    <n v="5000"/>
    <n v="2500"/>
    <n v="2500"/>
    <n v="5000"/>
    <s v="Annahme BHU"/>
    <n v="19768.370000000003"/>
    <n v="14507.693499999994"/>
    <n v="34276.063499999997"/>
  </r>
  <r>
    <s v="Vertrag 000113 (2021)"/>
    <n v="1355016688"/>
    <s v="Aktiv"/>
    <x v="32"/>
    <s v="Wildtierbiologe WTÜ"/>
    <n v="43525.2"/>
    <x v="1"/>
    <x v="4"/>
    <x v="7"/>
    <s v="13.02.16.420.91"/>
    <m/>
    <m/>
    <m/>
    <m/>
    <m/>
    <m/>
    <m/>
    <m/>
    <m/>
    <m/>
    <m/>
    <m/>
    <n v="2799.2"/>
    <n v="7200.8"/>
    <n v="5000"/>
    <n v="4000"/>
    <n v="4000"/>
    <n v="5000"/>
    <s v="Annahme BHU"/>
    <n v="2799.2"/>
    <n v="40726"/>
    <n v="43525.2"/>
  </r>
  <r>
    <s v="Vertrag 000114 (2021)"/>
    <n v="1355016871"/>
    <s v="Aktiv"/>
    <x v="98"/>
    <s v="Landschaftsarch. WTÜ"/>
    <n v="108755.45999999999"/>
    <x v="1"/>
    <x v="4"/>
    <x v="1"/>
    <s v="13.02.16.420.91"/>
    <m/>
    <m/>
    <m/>
    <m/>
    <m/>
    <m/>
    <m/>
    <m/>
    <m/>
    <m/>
    <m/>
    <m/>
    <n v="24706.92"/>
    <n v="20293.080000000002"/>
    <n v="12000"/>
    <n v="12000"/>
    <n v="6000"/>
    <n v="40000"/>
    <s v="Annahme BHU"/>
    <n v="24706.92"/>
    <n v="84048.54"/>
    <n v="108755.45999999999"/>
  </r>
  <r>
    <s v="Vertrag 000115 (2022)"/>
    <n v="1355018945"/>
    <s v="Aktiv"/>
    <x v="99"/>
    <s v="Kommunikations-Agentur"/>
    <n v="148798.32"/>
    <x v="0"/>
    <x v="1"/>
    <x v="13"/>
    <s v="13.02.16.311.02"/>
    <m/>
    <m/>
    <m/>
    <m/>
    <m/>
    <m/>
    <m/>
    <m/>
    <m/>
    <m/>
    <m/>
    <m/>
    <n v="14081.77"/>
    <n v="5918.23"/>
    <n v="20000"/>
    <n v="20000"/>
    <n v="30000"/>
    <n v="30000"/>
    <s v="Annahme BHU"/>
    <n v="14081.77"/>
    <n v="134716.55000000002"/>
    <n v="148798.32"/>
  </r>
  <r>
    <s v="Vertrag 000116 (2022)"/>
    <n v="1355019355"/>
    <s v="Aktiv"/>
    <x v="100"/>
    <s v="Zaun bei Tunnel Oberburg"/>
    <n v="52403.965949999998"/>
    <x v="0"/>
    <x v="0"/>
    <x v="26"/>
    <s v="13.02.16.720.21"/>
    <m/>
    <m/>
    <m/>
    <m/>
    <m/>
    <m/>
    <m/>
    <m/>
    <m/>
    <m/>
    <m/>
    <m/>
    <n v="48708.75"/>
    <m/>
    <m/>
    <m/>
    <m/>
    <m/>
    <m/>
    <n v="48708.75"/>
    <m/>
    <n v="48708.75"/>
  </r>
  <r>
    <s v="Vertrag 000117 (2022)"/>
    <n v="1355019892"/>
    <s v="Aktiv"/>
    <x v="8"/>
    <s v="TESI für 2022"/>
    <n v="1025954.63724"/>
    <x v="0"/>
    <x v="1"/>
    <x v="12"/>
    <s v="13.02.16.311.02"/>
    <m/>
    <m/>
    <m/>
    <m/>
    <m/>
    <m/>
    <m/>
    <m/>
    <m/>
    <m/>
    <m/>
    <m/>
    <n v="294390.7"/>
    <n v="731609.3"/>
    <m/>
    <m/>
    <m/>
    <m/>
    <s v="Annahme BHU"/>
    <n v="294390.7"/>
    <n v="731563.93723999988"/>
    <n v="1025954.6372399998"/>
  </r>
  <r>
    <s v="Vertrag 000118 (Los 031)"/>
    <n v="1355019929"/>
    <s v="Aktiv"/>
    <x v="101"/>
    <s v="Erweiterung IKS"/>
    <n v="19157.45"/>
    <x v="0"/>
    <x v="3"/>
    <x v="16"/>
    <s v="13.02.16.890.02"/>
    <m/>
    <m/>
    <m/>
    <m/>
    <m/>
    <m/>
    <m/>
    <m/>
    <m/>
    <m/>
    <m/>
    <m/>
    <m/>
    <n v="25000"/>
    <m/>
    <m/>
    <m/>
    <m/>
    <s v="Annahme BHU BSA"/>
    <n v="0"/>
    <n v="19157.45"/>
    <n v="19157.45"/>
  </r>
  <r>
    <s v="Vertrag 000119 (2022)"/>
    <n v="1355020095"/>
    <s v="Aktiv"/>
    <x v="8"/>
    <s v="Sicherheitselemente Kantonsstrasse"/>
    <n v="27621.200000000001"/>
    <x v="0"/>
    <x v="1"/>
    <x v="12"/>
    <s v="13.02.16.311.02"/>
    <m/>
    <m/>
    <m/>
    <m/>
    <m/>
    <m/>
    <m/>
    <m/>
    <m/>
    <m/>
    <m/>
    <m/>
    <n v="11725.55"/>
    <n v="0"/>
    <n v="15000"/>
    <m/>
    <m/>
    <m/>
    <s v="Annahme BHU"/>
    <n v="11725.55"/>
    <n v="15895.650000000001"/>
    <n v="27621.200000000001"/>
  </r>
  <r>
    <s v="Vertrag 000120 (2022)"/>
    <n v="1355020100"/>
    <s v="Aktiv"/>
    <x v="102"/>
    <s v="Forstarbeiten (Rodungen) Oberburg"/>
    <n v="249047.74169999998"/>
    <x v="0"/>
    <x v="0"/>
    <x v="11"/>
    <s v="13.02.16.763.07"/>
    <m/>
    <m/>
    <m/>
    <m/>
    <m/>
    <m/>
    <m/>
    <m/>
    <m/>
    <m/>
    <m/>
    <m/>
    <m/>
    <n v="125000"/>
    <n v="125000"/>
    <m/>
    <m/>
    <m/>
    <s v="Annahme BHU"/>
    <n v="0"/>
    <n v="249047.74169999998"/>
    <n v="249047.74169999998"/>
  </r>
  <r>
    <s v="Vertrag 000121 (Los 014)"/>
    <n v="1355020881"/>
    <s v="Aktiv"/>
    <x v="103"/>
    <s v="VoMa statische Signalisierung"/>
    <n v="95238.1"/>
    <x v="0"/>
    <x v="3"/>
    <x v="9"/>
    <s v="13.02.16.890.02"/>
    <m/>
    <m/>
    <m/>
    <m/>
    <m/>
    <m/>
    <m/>
    <m/>
    <m/>
    <m/>
    <m/>
    <m/>
    <m/>
    <n v="95000"/>
    <m/>
    <m/>
    <m/>
    <m/>
    <s v="Annahme BHU BSA"/>
    <n v="0"/>
    <n v="95238.1"/>
    <n v="95238.1"/>
  </r>
  <r>
    <s v="Vertrag 000122"/>
    <n v="1355021163"/>
    <s v="geplant"/>
    <x v="104"/>
    <s v="Erneuerung Wildschutzzaun"/>
    <n v="1341225.79"/>
    <x v="0"/>
    <x v="1"/>
    <x v="20"/>
    <s v="13.02.16.311.02"/>
    <m/>
    <m/>
    <m/>
    <m/>
    <m/>
    <m/>
    <m/>
    <m/>
    <m/>
    <m/>
    <m/>
    <m/>
    <m/>
    <m/>
    <n v="900000"/>
    <n v="440000"/>
    <m/>
    <m/>
    <s v="Annahme NSNW / BHU"/>
    <n v="0"/>
    <n v="1341225.79"/>
    <n v="1341225.79"/>
  </r>
  <r>
    <s v="Vertrag 000123 (2022)"/>
    <n v="1355021941"/>
    <s v="geplant"/>
    <x v="52"/>
    <s v="Projektunterstützung SBB (Phase 52-53)"/>
    <n v="24103.25"/>
    <x v="0"/>
    <x v="4"/>
    <x v="1"/>
    <s v="13.02.16.410.08"/>
    <m/>
    <m/>
    <m/>
    <m/>
    <m/>
    <m/>
    <m/>
    <m/>
    <m/>
    <m/>
    <m/>
    <m/>
    <m/>
    <n v="5000"/>
    <n v="5000"/>
    <m/>
    <m/>
    <m/>
    <s v="Annahme BHU"/>
    <n v="0"/>
    <n v="24103.25"/>
    <n v="24103.25"/>
  </r>
  <r>
    <s v="Vertrag 000124 (2022)"/>
    <n v="1355022442"/>
    <s v="Aktiv"/>
    <x v="8"/>
    <s v="Freischneiden Wildschutzzaun"/>
    <n v="47040.55"/>
    <x v="0"/>
    <x v="1"/>
    <x v="11"/>
    <s v="13.02.16.311.02"/>
    <m/>
    <m/>
    <m/>
    <m/>
    <m/>
    <m/>
    <m/>
    <m/>
    <m/>
    <m/>
    <m/>
    <m/>
    <n v="14661.4"/>
    <n v="10338.6"/>
    <n v="25000"/>
    <m/>
    <m/>
    <m/>
    <s v="Annahme BHU"/>
    <n v="14661.4"/>
    <n v="32379.15"/>
    <n v="47040.55"/>
  </r>
  <r>
    <s v="Vertrag 000125 (2022)"/>
    <n v="1355022727"/>
    <s v="Aktiv"/>
    <x v="105"/>
    <s v="Road Safety Audit"/>
    <n v="15379.56"/>
    <x v="1"/>
    <x v="4"/>
    <x v="7"/>
    <s v="13.02.16.420.91"/>
    <m/>
    <m/>
    <m/>
    <m/>
    <m/>
    <m/>
    <m/>
    <m/>
    <m/>
    <m/>
    <m/>
    <m/>
    <m/>
    <n v="15000"/>
    <m/>
    <m/>
    <m/>
    <m/>
    <s v="Annahme BHU"/>
    <n v="0"/>
    <n v="15379.56"/>
    <n v="15379.56"/>
  </r>
  <r>
    <s v="Vertrag 000126 (2022)"/>
    <n v="1355022995"/>
    <s v="Aktiv"/>
    <x v="5"/>
    <s v="Kompensationsprojekt FFF"/>
    <n v="94419.512999999992"/>
    <x v="1"/>
    <x v="4"/>
    <x v="1"/>
    <s v="13.02.16.420.91"/>
    <m/>
    <m/>
    <m/>
    <m/>
    <m/>
    <m/>
    <m/>
    <m/>
    <m/>
    <m/>
    <m/>
    <m/>
    <m/>
    <n v="25000"/>
    <n v="25000"/>
    <m/>
    <m/>
    <m/>
    <s v="Annahme BHU"/>
    <n v="0"/>
    <n v="94419.512999999992"/>
    <n v="94419.512999999992"/>
  </r>
  <r>
    <s v="Vertrag 000127 (Los 025)"/>
    <n v="1355024496"/>
    <s v="Aktiv"/>
    <x v="106"/>
    <s v="Raumlüftungen Betriebszentralen"/>
    <n v="237070.58624999999"/>
    <x v="0"/>
    <x v="3"/>
    <x v="27"/>
    <s v="13.02.16.890.02"/>
    <m/>
    <m/>
    <m/>
    <m/>
    <m/>
    <m/>
    <m/>
    <m/>
    <m/>
    <m/>
    <m/>
    <m/>
    <m/>
    <n v="90000"/>
    <n v="150000"/>
    <m/>
    <m/>
    <m/>
    <s v="Annahme BHU BSA"/>
    <n v="0"/>
    <n v="237070.58624999999"/>
    <n v="237070.58624999999"/>
  </r>
  <r>
    <s v="Vertrag 000128 (2022)"/>
    <m/>
    <s v="Aktiv"/>
    <x v="107"/>
    <s v="UN Sondierbohrungen WTÜ"/>
    <n v="51819.854999999996"/>
    <x v="1"/>
    <x v="4"/>
    <x v="5"/>
    <s v="13.02.16.420.91"/>
    <m/>
    <m/>
    <m/>
    <m/>
    <m/>
    <m/>
    <m/>
    <m/>
    <m/>
    <m/>
    <m/>
    <m/>
    <n v="46727.55"/>
    <m/>
    <m/>
    <m/>
    <m/>
    <m/>
    <m/>
    <n v="46727.55"/>
    <m/>
    <n v="46727.55"/>
  </r>
  <r>
    <s v="Vertrag 000129 (2022)"/>
    <n v="1355024622"/>
    <s v="Aktiv"/>
    <x v="5"/>
    <s v="Interessenabwägung WTÜ"/>
    <n v="42183.936000000002"/>
    <x v="1"/>
    <x v="4"/>
    <x v="5"/>
    <s v="13.02.16.420.91"/>
    <m/>
    <m/>
    <m/>
    <m/>
    <m/>
    <m/>
    <m/>
    <m/>
    <m/>
    <m/>
    <m/>
    <m/>
    <m/>
    <n v="20000"/>
    <m/>
    <m/>
    <m/>
    <m/>
    <s v="Annahme BHU"/>
    <n v="0"/>
    <n v="42183.936000000002"/>
    <n v="42183.936000000002"/>
  </r>
  <r>
    <s v="Vertrag 000130"/>
    <n v="1355027741"/>
    <s v="geplant"/>
    <x v="97"/>
    <s v="Planung Hochspannungsleitung WTÜ"/>
    <n v="28590.041999999998"/>
    <x v="1"/>
    <x v="4"/>
    <x v="1"/>
    <s v="13.02.16.420.91"/>
    <m/>
    <m/>
    <m/>
    <m/>
    <m/>
    <m/>
    <m/>
    <m/>
    <m/>
    <m/>
    <m/>
    <m/>
    <m/>
    <n v="28600"/>
    <m/>
    <m/>
    <m/>
    <m/>
    <s v="Annahme BHU"/>
    <n v="0"/>
    <n v="28590.041999999998"/>
    <n v="28590.041999999998"/>
  </r>
  <r>
    <s v="Vertrag 000131 (Los 033)"/>
    <n v="1355029220"/>
    <s v="geplant"/>
    <x v="81"/>
    <s v="Steuerung Energieanlage T.EBE"/>
    <n v="390000"/>
    <x v="0"/>
    <x v="3"/>
    <x v="20"/>
    <s v="13.02.16.890.02"/>
    <m/>
    <m/>
    <m/>
    <m/>
    <m/>
    <m/>
    <m/>
    <m/>
    <m/>
    <m/>
    <m/>
    <m/>
    <m/>
    <m/>
    <n v="250000"/>
    <n v="140000"/>
    <m/>
    <m/>
    <s v="Annahme BHU BSA"/>
    <n v="0"/>
    <n v="390000"/>
    <n v="390000"/>
  </r>
  <r>
    <s v="Vertrag 000132 (Los 018)"/>
    <n v="1355029223"/>
    <s v="geplant"/>
    <x v="81"/>
    <s v="Anlage Divers und Rückbau NS Master"/>
    <n v="600000"/>
    <x v="0"/>
    <x v="3"/>
    <x v="20"/>
    <s v="13.02.16.890.02"/>
    <m/>
    <m/>
    <m/>
    <m/>
    <m/>
    <m/>
    <m/>
    <m/>
    <m/>
    <m/>
    <m/>
    <m/>
    <m/>
    <m/>
    <n v="350000"/>
    <n v="250000"/>
    <m/>
    <m/>
    <s v="Annahme BHU BSA"/>
    <n v="0"/>
    <n v="600000"/>
    <n v="600000"/>
  </r>
  <r>
    <s v="Vertrag 000133 (Los 007)"/>
    <n v="1355029224"/>
    <s v="geplant"/>
    <x v="108"/>
    <s v="Ersatz Beleuchtungssteuerung"/>
    <n v="220000"/>
    <x v="0"/>
    <x v="3"/>
    <x v="20"/>
    <s v="13.02.16.890.02"/>
    <m/>
    <m/>
    <m/>
    <m/>
    <m/>
    <m/>
    <m/>
    <m/>
    <m/>
    <m/>
    <m/>
    <m/>
    <m/>
    <m/>
    <n v="170000"/>
    <n v="50000"/>
    <m/>
    <m/>
    <s v="Annahme BHU BSA"/>
    <n v="0"/>
    <n v="220000"/>
    <n v="220000"/>
  </r>
  <r>
    <s v="Vertrag 000134"/>
    <n v="1355029278"/>
    <s v="geplant"/>
    <x v="109"/>
    <s v="Hydrologisches Gutachten WTÜ"/>
    <n v="22940.1"/>
    <x v="1"/>
    <x v="4"/>
    <x v="1"/>
    <s v="13.02.16.420.91"/>
    <m/>
    <m/>
    <m/>
    <m/>
    <m/>
    <m/>
    <m/>
    <m/>
    <m/>
    <m/>
    <m/>
    <m/>
    <m/>
    <m/>
    <n v="22940.1"/>
    <m/>
    <m/>
    <m/>
    <s v="Annahme BHU"/>
    <n v="0"/>
    <n v="22940.1"/>
    <n v="22940.1"/>
  </r>
  <r>
    <s v="Los 029"/>
    <m/>
    <s v="geplant"/>
    <x v="79"/>
    <s v="Ausbau VRA/TVS BTB"/>
    <n v="50000"/>
    <x v="0"/>
    <x v="3"/>
    <x v="20"/>
    <s v="13.02.16.890.02"/>
    <m/>
    <m/>
    <m/>
    <m/>
    <m/>
    <m/>
    <m/>
    <m/>
    <m/>
    <m/>
    <m/>
    <m/>
    <m/>
    <m/>
    <n v="50000"/>
    <m/>
    <m/>
    <m/>
    <s v="Annahme BHU BSA"/>
    <n v="0"/>
    <n v="50000"/>
    <n v="50000"/>
  </r>
  <r>
    <s v="NO"/>
    <m/>
    <s v="geplant"/>
    <x v="78"/>
    <s v="Zusätzliche Signalportale"/>
    <n v="80000"/>
    <x v="2"/>
    <x v="5"/>
    <x v="20"/>
    <s v="ARGE"/>
    <m/>
    <m/>
    <m/>
    <m/>
    <m/>
    <m/>
    <m/>
    <m/>
    <m/>
    <m/>
    <m/>
    <m/>
    <m/>
    <m/>
    <n v="80000"/>
    <m/>
    <m/>
    <m/>
    <s v="Annahme BHU"/>
    <n v="0"/>
    <n v="80000"/>
    <n v="80000"/>
  </r>
  <r>
    <s v="Vertrag 000xxx"/>
    <m/>
    <s v="Aktiv"/>
    <x v="110"/>
    <s v="Erschütterungsüberwachung Gerätemiete"/>
    <n v="4695.7"/>
    <x v="0"/>
    <x v="0"/>
    <x v="25"/>
    <s v="13.02.16.510.02"/>
    <m/>
    <m/>
    <m/>
    <m/>
    <m/>
    <m/>
    <m/>
    <m/>
    <m/>
    <m/>
    <m/>
    <m/>
    <m/>
    <n v="5000"/>
    <m/>
    <m/>
    <m/>
    <m/>
    <s v="Annahme BHU"/>
    <n v="0"/>
    <n v="4695.7"/>
    <n v="4695.7"/>
  </r>
  <r>
    <s v="Vertrag 000xxx"/>
    <m/>
    <s v="geplant"/>
    <x v="111"/>
    <s v="Beweissicherung Liegenschaften"/>
    <n v="9262.2000000000007"/>
    <x v="0"/>
    <x v="1"/>
    <x v="5"/>
    <s v="13.02.16.311.02"/>
    <m/>
    <m/>
    <m/>
    <m/>
    <m/>
    <m/>
    <m/>
    <m/>
    <m/>
    <m/>
    <m/>
    <m/>
    <m/>
    <n v="10000"/>
    <m/>
    <m/>
    <m/>
    <m/>
    <s v="Annahme BHU"/>
    <n v="0"/>
    <n v="9262.2000000000007"/>
    <n v="9262.2000000000007"/>
  </r>
  <r>
    <m/>
    <m/>
    <s v="geplant"/>
    <x v="81"/>
    <s v="Beweissicherung Kanalisation"/>
    <n v="3000"/>
    <x v="0"/>
    <x v="1"/>
    <x v="28"/>
    <s v="13.02.16.311.02"/>
    <m/>
    <m/>
    <m/>
    <m/>
    <m/>
    <m/>
    <m/>
    <m/>
    <m/>
    <m/>
    <m/>
    <m/>
    <m/>
    <m/>
    <n v="3000"/>
    <m/>
    <m/>
    <m/>
    <s v="Annahme BHU"/>
    <n v="0"/>
    <n v="3000"/>
    <n v="3000"/>
  </r>
  <r>
    <m/>
    <m/>
    <s v="geplant"/>
    <x v="112"/>
    <s v="Metallbau Brücke Zunzgen"/>
    <n v="115000"/>
    <x v="0"/>
    <x v="4"/>
    <x v="20"/>
    <s v="13.02.16.410.08"/>
    <m/>
    <m/>
    <m/>
    <m/>
    <m/>
    <m/>
    <m/>
    <m/>
    <m/>
    <m/>
    <m/>
    <m/>
    <m/>
    <m/>
    <m/>
    <n v="57500"/>
    <n v="57500"/>
    <m/>
    <s v="Annahme BHU"/>
    <n v="0"/>
    <n v="115000"/>
    <n v="115000"/>
  </r>
  <r>
    <m/>
    <m/>
    <s v="geplant"/>
    <x v="81"/>
    <s v="Lager Brücke Zunzgen"/>
    <n v="25000"/>
    <x v="0"/>
    <x v="4"/>
    <x v="20"/>
    <s v="13.02.16.410.08"/>
    <m/>
    <m/>
    <m/>
    <m/>
    <m/>
    <m/>
    <m/>
    <m/>
    <m/>
    <m/>
    <m/>
    <m/>
    <m/>
    <m/>
    <m/>
    <n v="12500"/>
    <n v="12500"/>
    <m/>
    <s v="Annahme BHU"/>
    <n v="0"/>
    <n v="25000"/>
    <n v="25000"/>
  </r>
  <r>
    <m/>
    <m/>
    <s v="geplant"/>
    <x v="8"/>
    <s v="TESI für 2023-2026"/>
    <n v="2100000"/>
    <x v="0"/>
    <x v="1"/>
    <x v="12"/>
    <s v="13.02.16.311.02"/>
    <m/>
    <m/>
    <m/>
    <m/>
    <m/>
    <m/>
    <m/>
    <m/>
    <m/>
    <m/>
    <m/>
    <m/>
    <m/>
    <m/>
    <n v="1000000"/>
    <n v="500000"/>
    <n v="500000"/>
    <n v="100000"/>
    <s v="Annahme BHU"/>
    <n v="0"/>
    <n v="2100000"/>
    <n v="2100000"/>
  </r>
  <r>
    <m/>
    <m/>
    <s v="geplant"/>
    <x v="8"/>
    <s v="Projektbegleitung BSA (2025-Abs.)"/>
    <n v="600000"/>
    <x v="0"/>
    <x v="3"/>
    <x v="28"/>
    <s v="13.02.16.890.02"/>
    <m/>
    <m/>
    <m/>
    <m/>
    <m/>
    <m/>
    <m/>
    <m/>
    <m/>
    <m/>
    <m/>
    <m/>
    <m/>
    <m/>
    <m/>
    <m/>
    <n v="60000"/>
    <n v="60000"/>
    <s v="Annahme BHU BSA"/>
    <n v="0"/>
    <n v="600000"/>
    <n v="600000"/>
  </r>
  <r>
    <m/>
    <m/>
    <s v="geplant"/>
    <x v="81"/>
    <s v="Wildtierüberführung (Bau)"/>
    <n v="11900000"/>
    <x v="1"/>
    <x v="4"/>
    <x v="20"/>
    <s v="13.02.16.420.91"/>
    <m/>
    <m/>
    <m/>
    <m/>
    <m/>
    <m/>
    <m/>
    <m/>
    <m/>
    <m/>
    <m/>
    <m/>
    <m/>
    <m/>
    <m/>
    <m/>
    <n v="1900000"/>
    <n v="10000000"/>
    <s v="Annahme BHU"/>
    <n v="0"/>
    <n v="11900000"/>
    <n v="11900000"/>
  </r>
  <r>
    <m/>
    <m/>
    <s v="geplant"/>
    <x v="81"/>
    <s v="Diverse Entschädigungen (z.B.Pächter)"/>
    <n v="50000"/>
    <x v="1"/>
    <x v="4"/>
    <x v="29"/>
    <s v="13.02.16.420.91"/>
    <m/>
    <m/>
    <m/>
    <m/>
    <m/>
    <m/>
    <m/>
    <m/>
    <m/>
    <m/>
    <m/>
    <m/>
    <m/>
    <n v="10000"/>
    <n v="10000"/>
    <n v="10000"/>
    <n v="10000"/>
    <n v="10000"/>
    <s v="Annahme BHU"/>
    <n v="0"/>
    <n v="50000"/>
    <n v="50000"/>
  </r>
  <r>
    <s v="Los 005"/>
    <m/>
    <s v="geplant"/>
    <x v="101"/>
    <s v="Rückbau im IKS"/>
    <n v="70000"/>
    <x v="0"/>
    <x v="3"/>
    <x v="20"/>
    <s v="13.02.16.890.02"/>
    <m/>
    <m/>
    <m/>
    <m/>
    <m/>
    <m/>
    <m/>
    <m/>
    <m/>
    <m/>
    <m/>
    <m/>
    <m/>
    <m/>
    <n v="25000"/>
    <n v="45000"/>
    <m/>
    <m/>
    <s v="Annahme BHU BSA"/>
    <n v="0"/>
    <n v="70000"/>
    <n v="70000"/>
  </r>
  <r>
    <s v="Los 008"/>
    <n v="1355050630"/>
    <s v="geplant"/>
    <x v="53"/>
    <s v="Lieferung LED-Leuchten Retrofit"/>
    <n v="130000"/>
    <x v="0"/>
    <x v="3"/>
    <x v="28"/>
    <s v="13.02.16.890.02"/>
    <m/>
    <m/>
    <m/>
    <m/>
    <m/>
    <m/>
    <m/>
    <m/>
    <m/>
    <m/>
    <m/>
    <m/>
    <m/>
    <m/>
    <n v="130000"/>
    <m/>
    <m/>
    <m/>
    <s v="Annahme BHU BSA"/>
    <n v="0"/>
    <n v="130000"/>
    <n v="130000"/>
  </r>
  <r>
    <s v="Los 009"/>
    <m/>
    <s v="geplant"/>
    <x v="8"/>
    <s v="Arbeiten Retrofit"/>
    <n v="30000"/>
    <x v="0"/>
    <x v="3"/>
    <x v="20"/>
    <s v="13.02.16.890.02"/>
    <m/>
    <m/>
    <m/>
    <m/>
    <m/>
    <m/>
    <m/>
    <m/>
    <m/>
    <m/>
    <m/>
    <m/>
    <m/>
    <m/>
    <n v="30000"/>
    <m/>
    <m/>
    <m/>
    <s v="Annahme BHU BSA"/>
    <n v="0"/>
    <n v="30000"/>
    <n v="30000"/>
  </r>
  <r>
    <s v="Los 010"/>
    <m/>
    <s v="geplant"/>
    <x v="55"/>
    <s v="Beleuchtungsmessung"/>
    <n v="40000"/>
    <x v="0"/>
    <x v="3"/>
    <x v="28"/>
    <s v="13.02.16.890.02"/>
    <m/>
    <m/>
    <m/>
    <m/>
    <m/>
    <m/>
    <m/>
    <m/>
    <m/>
    <m/>
    <m/>
    <m/>
    <m/>
    <m/>
    <n v="20000"/>
    <n v="20000"/>
    <m/>
    <m/>
    <s v="Annahme BHU BSA"/>
    <n v="0"/>
    <n v="40000"/>
    <n v="40000"/>
  </r>
  <r>
    <s v="Los 015"/>
    <m/>
    <s v="geplant"/>
    <x v="103"/>
    <s v="Sicherheitseinrichtungen"/>
    <n v="110000"/>
    <x v="0"/>
    <x v="3"/>
    <x v="20"/>
    <s v="13.02.16.890.02"/>
    <m/>
    <m/>
    <m/>
    <m/>
    <m/>
    <m/>
    <m/>
    <m/>
    <m/>
    <m/>
    <m/>
    <m/>
    <m/>
    <m/>
    <n v="80000"/>
    <n v="30000"/>
    <m/>
    <m/>
    <s v="Annahme BHU BSA"/>
    <n v="0"/>
    <n v="110000"/>
    <n v="110000"/>
  </r>
  <r>
    <s v="Los 017"/>
    <m/>
    <s v="geplant"/>
    <x v="113"/>
    <s v="VTV Kameras inkl. Installation"/>
    <n v="150000"/>
    <x v="0"/>
    <x v="3"/>
    <x v="20"/>
    <s v="13.02.16.890.02"/>
    <m/>
    <m/>
    <m/>
    <m/>
    <m/>
    <m/>
    <m/>
    <m/>
    <m/>
    <m/>
    <m/>
    <m/>
    <m/>
    <n v="30000"/>
    <n v="40000"/>
    <n v="40000"/>
    <n v="20000"/>
    <m/>
    <s v="Annahme BHU BSA"/>
    <n v="0"/>
    <n v="150000"/>
    <n v="150000"/>
  </r>
  <r>
    <s v="Los 019"/>
    <m/>
    <s v="geplant"/>
    <x v="114"/>
    <s v="Ersatz GFS-Stationen Nord"/>
    <n v="160000"/>
    <x v="0"/>
    <x v="3"/>
    <x v="20"/>
    <s v="13.02.16.890.02"/>
    <m/>
    <m/>
    <m/>
    <m/>
    <m/>
    <m/>
    <m/>
    <m/>
    <m/>
    <m/>
    <m/>
    <m/>
    <m/>
    <m/>
    <m/>
    <n v="40000"/>
    <n v="120000"/>
    <m/>
    <s v="Annahme BHU BSA"/>
    <n v="0"/>
    <n v="160000"/>
    <n v="160000"/>
  </r>
  <r>
    <s v="Los 020"/>
    <m/>
    <s v="geplant"/>
    <x v="115"/>
    <s v="Ausbau WAN GE VIII"/>
    <n v="90000"/>
    <x v="0"/>
    <x v="3"/>
    <x v="20"/>
    <s v="13.02.16.890.02"/>
    <m/>
    <m/>
    <m/>
    <m/>
    <m/>
    <m/>
    <m/>
    <m/>
    <m/>
    <m/>
    <m/>
    <m/>
    <m/>
    <m/>
    <n v="50000"/>
    <n v="30000"/>
    <m/>
    <m/>
    <s v="Annahme BHU BSA"/>
    <n v="0"/>
    <n v="90000"/>
    <n v="90000"/>
  </r>
  <r>
    <s v="Los 022"/>
    <m/>
    <s v="geplant"/>
    <x v="116"/>
    <s v="NTA und Telefonie"/>
    <n v="110000"/>
    <x v="0"/>
    <x v="3"/>
    <x v="20"/>
    <s v="13.02.16.890.02"/>
    <m/>
    <m/>
    <m/>
    <m/>
    <m/>
    <m/>
    <m/>
    <m/>
    <m/>
    <m/>
    <m/>
    <m/>
    <m/>
    <m/>
    <n v="75000"/>
    <n v="35000"/>
    <m/>
    <m/>
    <s v="Annahme BHU BSA"/>
    <n v="0"/>
    <n v="110000"/>
    <n v="110000"/>
  </r>
  <r>
    <s v="Los 024"/>
    <m/>
    <s v="unnötig"/>
    <x v="81"/>
    <s v="LWL und UKV"/>
    <n v="0"/>
    <x v="0"/>
    <x v="3"/>
    <x v="20"/>
    <s v="13.02.16.890.02"/>
    <m/>
    <m/>
    <m/>
    <m/>
    <m/>
    <m/>
    <m/>
    <m/>
    <m/>
    <m/>
    <m/>
    <m/>
    <m/>
    <m/>
    <m/>
    <m/>
    <m/>
    <m/>
    <m/>
    <n v="0"/>
    <m/>
    <n v="0"/>
  </r>
  <r>
    <s v="Los 025"/>
    <m/>
    <s v="unnötig"/>
    <x v="81"/>
    <s v="Sanierung HLK"/>
    <n v="0"/>
    <x v="0"/>
    <x v="3"/>
    <x v="20"/>
    <s v="13.02.16.890.02"/>
    <m/>
    <m/>
    <m/>
    <m/>
    <m/>
    <m/>
    <m/>
    <m/>
    <m/>
    <m/>
    <m/>
    <m/>
    <m/>
    <m/>
    <m/>
    <m/>
    <m/>
    <m/>
    <m/>
    <n v="0"/>
    <m/>
    <n v="0"/>
  </r>
  <r>
    <s v="Los 026"/>
    <m/>
    <s v="geplant"/>
    <x v="117"/>
    <s v="Fluchtwegtore"/>
    <n v="95000"/>
    <x v="0"/>
    <x v="3"/>
    <x v="20"/>
    <s v="13.02.16.890.02"/>
    <m/>
    <m/>
    <m/>
    <m/>
    <m/>
    <m/>
    <m/>
    <m/>
    <m/>
    <m/>
    <m/>
    <m/>
    <m/>
    <m/>
    <n v="70000"/>
    <n v="25000"/>
    <m/>
    <m/>
    <s v="Annahme BHU BSA"/>
    <n v="0"/>
    <n v="95000"/>
    <n v="95000"/>
  </r>
  <r>
    <s v="Los 027"/>
    <m/>
    <s v="geplant"/>
    <x v="81"/>
    <s v="Instandstellen Brandabschottungen"/>
    <n v="70000"/>
    <x v="0"/>
    <x v="3"/>
    <x v="20"/>
    <s v="13.02.16.890.02"/>
    <m/>
    <m/>
    <m/>
    <m/>
    <m/>
    <m/>
    <m/>
    <m/>
    <m/>
    <m/>
    <m/>
    <m/>
    <m/>
    <m/>
    <n v="25000"/>
    <n v="25000"/>
    <n v="10000"/>
    <n v="10000"/>
    <s v="Annahme BHU BSA"/>
    <n v="0"/>
    <n v="70000"/>
    <n v="70000"/>
  </r>
  <r>
    <s v="Los 028"/>
    <m/>
    <s v="geplant"/>
    <x v="118"/>
    <s v="Akkredidierte Prüfstelle SINA"/>
    <n v="23000"/>
    <x v="0"/>
    <x v="3"/>
    <x v="28"/>
    <s v="13.02.16.890.02"/>
    <m/>
    <m/>
    <m/>
    <m/>
    <m/>
    <m/>
    <m/>
    <m/>
    <m/>
    <m/>
    <m/>
    <m/>
    <m/>
    <n v="10000"/>
    <n v="10000"/>
    <n v="10000"/>
    <n v="10000"/>
    <n v="5000"/>
    <s v="Annahme BHU BSA"/>
    <n v="0"/>
    <n v="23000"/>
    <n v="23000"/>
  </r>
  <r>
    <s v="Los 032"/>
    <m/>
    <s v="unnötig"/>
    <x v="81"/>
    <s v="Inst. LWL (VOMA VLS)"/>
    <n v="0"/>
    <x v="0"/>
    <x v="3"/>
    <x v="20"/>
    <s v="13.02.16.890.02"/>
    <m/>
    <m/>
    <m/>
    <m/>
    <m/>
    <m/>
    <m/>
    <m/>
    <m/>
    <m/>
    <m/>
    <m/>
    <m/>
    <m/>
    <m/>
    <m/>
    <m/>
    <m/>
    <m/>
    <n v="0"/>
    <m/>
    <n v="0"/>
  </r>
  <r>
    <s v="Los 034"/>
    <m/>
    <s v="geplant"/>
    <x v="81"/>
    <s v="Lokalsteuerung Energieanlage T.OBB"/>
    <n v="140000"/>
    <x v="0"/>
    <x v="3"/>
    <x v="20"/>
    <s v="13.02.16.890.02"/>
    <m/>
    <m/>
    <m/>
    <m/>
    <m/>
    <m/>
    <m/>
    <m/>
    <m/>
    <m/>
    <m/>
    <m/>
    <m/>
    <m/>
    <n v="70000"/>
    <n v="70000"/>
    <m/>
    <m/>
    <s v="Annahme BHU BSA"/>
    <n v="0"/>
    <n v="140000"/>
    <n v="140000"/>
  </r>
  <r>
    <s v="Los 035"/>
    <m/>
    <s v="geplant"/>
    <x v="81"/>
    <s v="Lokalsteuerung Beleuchtung T.OBB"/>
    <n v="120000"/>
    <x v="0"/>
    <x v="3"/>
    <x v="20"/>
    <s v="13.02.16.890.02"/>
    <m/>
    <m/>
    <m/>
    <m/>
    <m/>
    <m/>
    <m/>
    <m/>
    <m/>
    <m/>
    <m/>
    <m/>
    <m/>
    <m/>
    <n v="60000"/>
    <n v="60000"/>
    <m/>
    <m/>
    <s v="Annahme BHU BSA"/>
    <n v="0"/>
    <n v="120000"/>
    <n v="120000"/>
  </r>
  <r>
    <s v="Los 036"/>
    <m/>
    <s v="geplant"/>
    <x v="81"/>
    <s v="Lokalsteuerung Divers T.OBB"/>
    <n v="120000"/>
    <x v="0"/>
    <x v="3"/>
    <x v="20"/>
    <s v="13.02.16.890.02"/>
    <m/>
    <m/>
    <m/>
    <m/>
    <m/>
    <m/>
    <m/>
    <m/>
    <m/>
    <m/>
    <m/>
    <m/>
    <m/>
    <m/>
    <n v="60000"/>
    <n v="60000"/>
    <m/>
    <m/>
    <s v="Annahme BHU BSA"/>
    <n v="0"/>
    <n v="120000"/>
    <n v="120000"/>
  </r>
  <r>
    <s v="Los 037"/>
    <m/>
    <s v="geplant"/>
    <x v="86"/>
    <s v="Anpassung AR BEL mit Anlagen T.OBB"/>
    <n v="200000"/>
    <x v="0"/>
    <x v="3"/>
    <x v="20"/>
    <s v="13.02.16.890.02"/>
    <m/>
    <m/>
    <m/>
    <m/>
    <m/>
    <m/>
    <m/>
    <m/>
    <m/>
    <m/>
    <m/>
    <m/>
    <m/>
    <m/>
    <n v="150000"/>
    <n v="50000"/>
    <m/>
    <m/>
    <s v="Annahme BHU BSA"/>
    <n v="0"/>
    <n v="200000"/>
    <n v="200000"/>
  </r>
  <r>
    <s v="Los 038"/>
    <m/>
    <s v="geplant"/>
    <x v="101"/>
    <s v="Anpassung IKS T.EBE"/>
    <n v="20000"/>
    <x v="0"/>
    <x v="3"/>
    <x v="20"/>
    <s v="13.02.16.890.02"/>
    <m/>
    <m/>
    <m/>
    <m/>
    <m/>
    <m/>
    <m/>
    <m/>
    <m/>
    <m/>
    <m/>
    <m/>
    <m/>
    <m/>
    <m/>
    <m/>
    <m/>
    <m/>
    <s v="Annahme BHU BSA"/>
    <n v="0"/>
    <n v="20000"/>
    <n v="20000"/>
  </r>
  <r>
    <s v="Los 039"/>
    <m/>
    <s v="geplant"/>
    <x v="119"/>
    <s v="Neuer Verkehrszähler (für BAFU)"/>
    <n v="30000"/>
    <x v="0"/>
    <x v="3"/>
    <x v="20"/>
    <s v="13.02.16.890.02"/>
    <m/>
    <m/>
    <m/>
    <m/>
    <m/>
    <m/>
    <m/>
    <m/>
    <m/>
    <m/>
    <m/>
    <m/>
    <m/>
    <m/>
    <n v="30000"/>
    <m/>
    <m/>
    <m/>
    <s v="Annahme BHU BSA"/>
    <n v="0"/>
    <n v="30000"/>
    <n v="30000"/>
  </r>
  <r>
    <s v="Los 040"/>
    <m/>
    <s v="geplant"/>
    <x v="119"/>
    <s v="Integration Zählstelle in ZSC"/>
    <n v="10000"/>
    <x v="0"/>
    <x v="3"/>
    <x v="20"/>
    <s v="13.02.16.890.02"/>
    <m/>
    <m/>
    <m/>
    <m/>
    <m/>
    <m/>
    <m/>
    <m/>
    <m/>
    <m/>
    <m/>
    <m/>
    <m/>
    <m/>
    <n v="10000"/>
    <m/>
    <m/>
    <m/>
    <s v="Annahme BHU BSA"/>
    <n v="0"/>
    <n v="10000"/>
    <n v="10000"/>
  </r>
  <r>
    <m/>
    <m/>
    <s v="geplant"/>
    <x v="119"/>
    <s v="Schulung"/>
    <n v="45000"/>
    <x v="0"/>
    <x v="3"/>
    <x v="20"/>
    <s v="13.02.16.890.02"/>
    <m/>
    <m/>
    <m/>
    <m/>
    <m/>
    <m/>
    <m/>
    <m/>
    <m/>
    <m/>
    <m/>
    <m/>
    <m/>
    <n v="5000"/>
    <n v="10000"/>
    <n v="10000"/>
    <n v="10000"/>
    <n v="10000"/>
    <s v="Annahme BHU BSA"/>
    <n v="0"/>
    <n v="45000"/>
    <n v="45000"/>
  </r>
  <r>
    <m/>
    <m/>
    <s v="unnötig"/>
    <x v="81"/>
    <s v="Erneuerung Raumlüftung Zentrale EBE"/>
    <n v="0"/>
    <x v="0"/>
    <x v="3"/>
    <x v="20"/>
    <s v="13.02.16.890.02"/>
    <m/>
    <m/>
    <m/>
    <m/>
    <m/>
    <m/>
    <m/>
    <m/>
    <m/>
    <m/>
    <m/>
    <m/>
    <m/>
    <m/>
    <m/>
    <m/>
    <m/>
    <m/>
    <m/>
    <n v="0"/>
    <m/>
    <n v="0"/>
  </r>
  <r>
    <m/>
    <m/>
    <s v="unnötig"/>
    <x v="81"/>
    <s v="Erneuerung Raumlüftung Zentrale OBB"/>
    <n v="0"/>
    <x v="0"/>
    <x v="3"/>
    <x v="20"/>
    <s v="13.02.16.890.02"/>
    <m/>
    <m/>
    <m/>
    <m/>
    <m/>
    <m/>
    <m/>
    <m/>
    <m/>
    <m/>
    <m/>
    <m/>
    <m/>
    <m/>
    <m/>
    <m/>
    <m/>
    <m/>
    <m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5" indent="0" outline="1" outlineData="1" multipleFieldFilters="0">
  <location ref="A3:O78" firstHeaderRow="0" firstDataRow="1" firstDataCol="1"/>
  <pivotFields count="32">
    <pivotField showAll="0"/>
    <pivotField showAll="0"/>
    <pivotField showAll="0"/>
    <pivotField axis="axisRow" showAll="0">
      <items count="138">
        <item x="2"/>
        <item x="45"/>
        <item x="17"/>
        <item x="43"/>
        <item x="25"/>
        <item x="30"/>
        <item x="6"/>
        <item m="1" x="129"/>
        <item x="47"/>
        <item x="24"/>
        <item x="23"/>
        <item x="44"/>
        <item x="36"/>
        <item m="1" x="136"/>
        <item x="39"/>
        <item x="21"/>
        <item x="28"/>
        <item x="40"/>
        <item m="1" x="123"/>
        <item x="27"/>
        <item x="29"/>
        <item x="20"/>
        <item x="37"/>
        <item x="3"/>
        <item x="22"/>
        <item x="0"/>
        <item x="54"/>
        <item x="13"/>
        <item m="1" x="127"/>
        <item x="12"/>
        <item x="35"/>
        <item x="31"/>
        <item x="9"/>
        <item x="38"/>
        <item x="50"/>
        <item x="7"/>
        <item x="8"/>
        <item x="33"/>
        <item x="32"/>
        <item x="1"/>
        <item x="18"/>
        <item x="4"/>
        <item x="10"/>
        <item x="26"/>
        <item x="52"/>
        <item x="16"/>
        <item x="19"/>
        <item x="48"/>
        <item m="1" x="133"/>
        <item m="1" x="134"/>
        <item m="1" x="124"/>
        <item x="34"/>
        <item x="46"/>
        <item x="11"/>
        <item x="119"/>
        <item x="49"/>
        <item x="55"/>
        <item x="14"/>
        <item x="15"/>
        <item m="1" x="120"/>
        <item x="65"/>
        <item x="67"/>
        <item x="57"/>
        <item x="53"/>
        <item x="56"/>
        <item m="1" x="128"/>
        <item m="1" x="125"/>
        <item x="112"/>
        <item m="1" x="126"/>
        <item m="1" x="130"/>
        <item m="1" x="132"/>
        <item x="68"/>
        <item x="69"/>
        <item x="66"/>
        <item x="72"/>
        <item x="73"/>
        <item x="74"/>
        <item m="1" x="121"/>
        <item x="58"/>
        <item x="75"/>
        <item x="77"/>
        <item x="76"/>
        <item x="82"/>
        <item x="83"/>
        <item x="84"/>
        <item x="78"/>
        <item x="85"/>
        <item x="86"/>
        <item x="89"/>
        <item x="90"/>
        <item x="81"/>
        <item x="87"/>
        <item x="92"/>
        <item x="59"/>
        <item x="79"/>
        <item x="80"/>
        <item x="88"/>
        <item x="91"/>
        <item x="93"/>
        <item x="94"/>
        <item x="95"/>
        <item x="97"/>
        <item x="115"/>
        <item x="110"/>
        <item x="111"/>
        <item x="104"/>
        <item x="98"/>
        <item m="1" x="135"/>
        <item m="1" x="122"/>
        <item x="108"/>
        <item m="1" x="131"/>
        <item x="113"/>
        <item x="114"/>
        <item x="116"/>
        <item x="117"/>
        <item x="118"/>
        <item x="71"/>
        <item x="96"/>
        <item x="99"/>
        <item x="100"/>
        <item x="102"/>
        <item x="101"/>
        <item x="103"/>
        <item x="105"/>
        <item x="107"/>
        <item x="61"/>
        <item x="41"/>
        <item x="60"/>
        <item x="106"/>
        <item x="42"/>
        <item x="64"/>
        <item x="63"/>
        <item x="51"/>
        <item x="62"/>
        <item x="70"/>
        <item x="5"/>
        <item x="109"/>
        <item t="default"/>
      </items>
    </pivotField>
    <pivotField showAll="0"/>
    <pivotField dataField="1" showAll="0"/>
    <pivotField axis="axisRow" showAll="0">
      <items count="5">
        <item x="2"/>
        <item x="1"/>
        <item x="0"/>
        <item m="1" x="3"/>
        <item t="default"/>
      </items>
    </pivotField>
    <pivotField axis="axisRow" showAll="0">
      <items count="11">
        <item x="2"/>
        <item x="0"/>
        <item m="1" x="8"/>
        <item x="5"/>
        <item x="1"/>
        <item m="1" x="7"/>
        <item x="4"/>
        <item x="3"/>
        <item m="1" x="6"/>
        <item m="1" x="9"/>
        <item t="default"/>
      </items>
    </pivotField>
    <pivotField axis="axisRow" showAll="0">
      <items count="32">
        <item n="1.2100" sd="0" x="2"/>
        <item n="1.2200" sd="0" x="7"/>
        <item n="1.2300" sd="0" x="5"/>
        <item n="1.2400" sd="0" x="6"/>
        <item n="1.3100" sd="0" x="1"/>
        <item n="1.3300" sd="0" x="13"/>
        <item n="1.7300" sd="0" x="0"/>
        <item n="3.5800" sd="0" m="1" x="30"/>
        <item n="2.4400" sd="0" x="18"/>
        <item n="3.5810" sd="0" x="8"/>
        <item n="3.5710" sd="0" x="10"/>
        <item n="3.5300" sd="0" x="15"/>
        <item n="1.3950" sd="0" x="3"/>
        <item n="3.5600" sd="0" x="12"/>
        <item sd="0" x="16"/>
        <item n="2.4300" sd="0" x="17"/>
        <item n="3.5730" sd="0" x="9"/>
        <item sd="0" x="14"/>
        <item n="3.5910" sd="0" x="19"/>
        <item n="1.2950" sd="0" x="4"/>
        <item sd="0" x="21"/>
        <item sd="0" x="20"/>
        <item n="3.5020" sd="0" x="22"/>
        <item n="3.5010" sd="0" x="11"/>
        <item n="3.5500" sd="0" x="23"/>
        <item n="1.2700" sd="0" x="25"/>
        <item sd="0" x="28"/>
        <item sd="0" x="29"/>
        <item sd="0" x="26"/>
        <item sd="0" x="24"/>
        <item sd="0" x="27"/>
        <item t="default" sd="0"/>
      </items>
    </pivotField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dataField="1" showAll="0"/>
  </pivotFields>
  <rowFields count="4">
    <field x="6"/>
    <field x="7"/>
    <field x="8"/>
    <field x="3"/>
  </rowFields>
  <rowItems count="75">
    <i>
      <x/>
    </i>
    <i r="1">
      <x v="3"/>
    </i>
    <i r="2">
      <x v="4"/>
    </i>
    <i r="2">
      <x v="12"/>
    </i>
    <i r="2">
      <x v="21"/>
    </i>
    <i>
      <x v="1"/>
    </i>
    <i r="1">
      <x v="4"/>
    </i>
    <i r="2">
      <x v="4"/>
    </i>
    <i r="2">
      <x v="12"/>
    </i>
    <i r="2">
      <x v="15"/>
    </i>
    <i r="1">
      <x v="6"/>
    </i>
    <i r="2">
      <x v="1"/>
    </i>
    <i r="2">
      <x v="2"/>
    </i>
    <i r="2">
      <x v="4"/>
    </i>
    <i r="2">
      <x v="8"/>
    </i>
    <i r="2">
      <x v="21"/>
    </i>
    <i r="2">
      <x v="25"/>
    </i>
    <i r="2">
      <x v="27"/>
    </i>
    <i>
      <x v="2"/>
    </i>
    <i r="1">
      <x/>
    </i>
    <i r="2">
      <x/>
    </i>
    <i r="2">
      <x v="1"/>
    </i>
    <i r="2">
      <x v="4"/>
    </i>
    <i r="2">
      <x v="5"/>
    </i>
    <i r="2">
      <x v="12"/>
    </i>
    <i r="2">
      <x v="19"/>
    </i>
    <i r="1">
      <x v="1"/>
    </i>
    <i r="2">
      <x v="2"/>
    </i>
    <i r="2">
      <x v="4"/>
    </i>
    <i r="2">
      <x v="6"/>
    </i>
    <i r="2">
      <x v="11"/>
    </i>
    <i r="2">
      <x v="13"/>
    </i>
    <i r="2">
      <x v="14"/>
    </i>
    <i r="2">
      <x v="18"/>
    </i>
    <i r="2">
      <x v="22"/>
    </i>
    <i r="2">
      <x v="23"/>
    </i>
    <i r="2">
      <x v="25"/>
    </i>
    <i r="2">
      <x v="28"/>
    </i>
    <i r="2">
      <x v="29"/>
    </i>
    <i r="1">
      <x v="3"/>
    </i>
    <i r="2">
      <x v="4"/>
    </i>
    <i r="2">
      <x v="12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2"/>
    </i>
    <i r="2">
      <x v="13"/>
    </i>
    <i r="2">
      <x v="18"/>
    </i>
    <i r="2">
      <x v="21"/>
    </i>
    <i r="2">
      <x v="23"/>
    </i>
    <i r="2">
      <x v="24"/>
    </i>
    <i r="2">
      <x v="26"/>
    </i>
    <i r="1">
      <x v="6"/>
    </i>
    <i r="2">
      <x v="2"/>
    </i>
    <i r="2">
      <x v="4"/>
    </i>
    <i r="2">
      <x v="21"/>
    </i>
    <i r="1">
      <x v="7"/>
    </i>
    <i r="2">
      <x/>
    </i>
    <i r="2">
      <x v="2"/>
    </i>
    <i r="2">
      <x v="4"/>
    </i>
    <i r="2">
      <x v="10"/>
    </i>
    <i r="2">
      <x v="13"/>
    </i>
    <i r="2">
      <x v="14"/>
    </i>
    <i r="2">
      <x v="16"/>
    </i>
    <i r="2">
      <x v="17"/>
    </i>
    <i r="2">
      <x v="20"/>
    </i>
    <i r="2">
      <x v="21"/>
    </i>
    <i r="2">
      <x v="26"/>
    </i>
    <i r="2">
      <x v="30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bis Ende 2010" fld="10" baseField="6" baseItem="5"/>
    <dataField name="2011" fld="11" baseField="6" baseItem="5"/>
    <dataField name="2012" fld="12" baseField="6" baseItem="5"/>
    <dataField name="2013" fld="13" baseField="6" baseItem="5"/>
    <dataField name="2014" fld="14" baseField="6" baseItem="5"/>
    <dataField name="2015" fld="15" baseField="6" baseItem="5"/>
    <dataField name="2016" fld="16" baseField="6" baseItem="7"/>
    <dataField name="2017" fld="17" baseField="5" baseItem="0"/>
    <dataField name="2018" fld="18" baseField="5" baseItem="0"/>
    <dataField name="2019" fld="19" baseField="5" baseItem="0"/>
    <dataField name="2020" fld="20" baseField="5" baseItem="0"/>
    <dataField name="2021" fld="21" baseField="0" baseItem="0"/>
    <dataField name="Summe Vertrag" fld="5" baseField="7" baseItem="4"/>
    <dataField name="Summe von EKP" fld="31" baseField="0" baseItem="0"/>
  </dataFields>
  <formats count="34">
    <format dxfId="66">
      <pivotArea outline="0" collapsedLevelsAreSubtotals="1" fieldPosition="0"/>
    </format>
    <format dxfId="6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4">
      <pivotArea dataOnly="0" labelOnly="1" fieldPosition="0">
        <references count="3">
          <reference field="6" count="1" selected="0">
            <x v="0"/>
          </reference>
          <reference field="7" count="1" selected="0">
            <x v="3"/>
          </reference>
          <reference field="8" count="2">
            <x v="2"/>
            <x v="4"/>
          </reference>
        </references>
      </pivotArea>
    </format>
    <format dxfId="63">
      <pivotArea dataOnly="0" labelOnly="1" fieldPosition="0">
        <references count="3">
          <reference field="6" count="1" selected="0">
            <x v="0"/>
          </reference>
          <reference field="7" count="1" selected="0">
            <x v="4"/>
          </reference>
          <reference field="8" count="1">
            <x v="4"/>
          </reference>
        </references>
      </pivotArea>
    </format>
    <format dxfId="62">
      <pivotArea dataOnly="0" labelOnly="1" fieldPosition="0">
        <references count="3">
          <reference field="6" count="1" selected="0">
            <x v="0"/>
          </reference>
          <reference field="7" count="1" selected="0">
            <x v="5"/>
          </reference>
          <reference field="8" count="1">
            <x v="4"/>
          </reference>
        </references>
      </pivotArea>
    </format>
    <format dxfId="61">
      <pivotArea dataOnly="0" labelOnly="1" fieldPosition="0">
        <references count="3">
          <reference field="6" count="1" selected="0">
            <x v="1"/>
          </reference>
          <reference field="7" count="1" selected="0">
            <x v="4"/>
          </reference>
          <reference field="8" count="1">
            <x v="4"/>
          </reference>
        </references>
      </pivotArea>
    </format>
    <format dxfId="60">
      <pivotArea dataOnly="0" labelOnly="1" fieldPosition="0">
        <references count="3">
          <reference field="6" count="1" selected="0">
            <x v="1"/>
          </reference>
          <reference field="7" count="1" selected="0">
            <x v="6"/>
          </reference>
          <reference field="8" count="1">
            <x v="2"/>
          </reference>
        </references>
      </pivotArea>
    </format>
    <format dxfId="59">
      <pivotArea dataOnly="0" labelOnly="1" fieldPosition="0">
        <references count="3">
          <reference field="6" count="1" selected="0">
            <x v="1"/>
          </reference>
          <reference field="7" count="1" selected="0">
            <x v="6"/>
          </reference>
          <reference field="8" count="1">
            <x v="4"/>
          </reference>
        </references>
      </pivotArea>
    </format>
    <format dxfId="58">
      <pivotArea dataOnly="0" labelOnly="1" fieldPosition="0">
        <references count="3">
          <reference field="6" count="1" selected="0">
            <x v="2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57">
      <pivotArea dataOnly="0" labelOnly="1" fieldPosition="0">
        <references count="3">
          <reference field="6" count="1" selected="0">
            <x v="2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56">
      <pivotArea dataOnly="0" labelOnly="1" fieldPosition="0">
        <references count="3">
          <reference field="6" count="1" selected="0">
            <x v="2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55">
      <pivotArea dataOnly="0" labelOnly="1" fieldPosition="0">
        <references count="3">
          <reference field="6" count="1" selected="0">
            <x v="2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54">
      <pivotArea dataOnly="0" labelOnly="1" fieldPosition="0">
        <references count="3">
          <reference field="6" count="1" selected="0">
            <x v="2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53">
      <pivotArea dataOnly="0" labelOnly="1" fieldPosition="0">
        <references count="3">
          <reference field="6" count="1" selected="0">
            <x v="2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52">
      <pivotArea dataOnly="0" labelOnly="1" fieldPosition="0">
        <references count="3">
          <reference field="6" count="1" selected="0">
            <x v="2"/>
          </reference>
          <reference field="7" count="1" selected="0">
            <x v="3"/>
          </reference>
          <reference field="8" count="1">
            <x v="4"/>
          </reference>
        </references>
      </pivotArea>
    </format>
    <format dxfId="51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0"/>
          </reference>
        </references>
      </pivotArea>
    </format>
    <format dxfId="50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1"/>
          </reference>
        </references>
      </pivotArea>
    </format>
    <format dxfId="49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2"/>
          </reference>
        </references>
      </pivotArea>
    </format>
    <format dxfId="48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3"/>
          </reference>
        </references>
      </pivotArea>
    </format>
    <format dxfId="47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4"/>
          </reference>
        </references>
      </pivotArea>
    </format>
    <format dxfId="46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7"/>
          </reference>
        </references>
      </pivotArea>
    </format>
    <format dxfId="45">
      <pivotArea dataOnly="0" labelOnly="1" fieldPosition="0">
        <references count="3">
          <reference field="6" count="1" selected="0">
            <x v="2"/>
          </reference>
          <reference field="7" count="1" selected="0">
            <x v="6"/>
          </reference>
          <reference field="8" count="1">
            <x v="2"/>
          </reference>
        </references>
      </pivotArea>
    </format>
    <format dxfId="44">
      <pivotArea dataOnly="0" labelOnly="1" fieldPosition="0">
        <references count="3">
          <reference field="6" count="1" selected="0">
            <x v="2"/>
          </reference>
          <reference field="7" count="1" selected="0">
            <x v="6"/>
          </reference>
          <reference field="8" count="1">
            <x v="4"/>
          </reference>
        </references>
      </pivotArea>
    </format>
    <format dxfId="43">
      <pivotArea dataOnly="0" labelOnly="1" fieldPosition="0">
        <references count="3">
          <reference field="6" count="1" selected="0">
            <x v="2"/>
          </reference>
          <reference field="7" count="1" selected="0">
            <x v="7"/>
          </reference>
          <reference field="8" count="1">
            <x v="0"/>
          </reference>
        </references>
      </pivotArea>
    </format>
    <format dxfId="42">
      <pivotArea dataOnly="0" labelOnly="1" fieldPosition="0">
        <references count="3">
          <reference field="6" count="1" selected="0">
            <x v="2"/>
          </reference>
          <reference field="7" count="1" selected="0">
            <x v="7"/>
          </reference>
          <reference field="8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5" indent="0" outline="1" outlineData="1" multipleFieldFilters="0">
  <location ref="A3:M124" firstHeaderRow="0" firstDataRow="1" firstDataCol="1"/>
  <pivotFields count="32">
    <pivotField showAll="0"/>
    <pivotField showAll="0"/>
    <pivotField showAll="0"/>
    <pivotField axis="axisRow" showAll="0">
      <items count="138">
        <item x="2"/>
        <item x="45"/>
        <item x="17"/>
        <item x="43"/>
        <item x="25"/>
        <item x="30"/>
        <item x="6"/>
        <item m="1" x="129"/>
        <item x="47"/>
        <item x="24"/>
        <item x="23"/>
        <item x="44"/>
        <item x="36"/>
        <item x="39"/>
        <item x="21"/>
        <item x="40"/>
        <item m="1" x="123"/>
        <item x="29"/>
        <item x="20"/>
        <item x="37"/>
        <item x="3"/>
        <item x="22"/>
        <item x="0"/>
        <item x="13"/>
        <item x="12"/>
        <item x="35"/>
        <item x="31"/>
        <item x="9"/>
        <item x="38"/>
        <item x="7"/>
        <item x="8"/>
        <item x="33"/>
        <item x="32"/>
        <item x="1"/>
        <item x="18"/>
        <item x="4"/>
        <item x="10"/>
        <item x="26"/>
        <item x="16"/>
        <item x="19"/>
        <item m="1" x="124"/>
        <item x="34"/>
        <item x="46"/>
        <item x="11"/>
        <item x="119"/>
        <item x="27"/>
        <item x="48"/>
        <item x="54"/>
        <item x="50"/>
        <item x="28"/>
        <item x="52"/>
        <item m="1" x="133"/>
        <item m="1" x="134"/>
        <item m="1" x="127"/>
        <item m="1" x="136"/>
        <item x="49"/>
        <item x="55"/>
        <item x="14"/>
        <item x="15"/>
        <item m="1" x="120"/>
        <item x="65"/>
        <item x="67"/>
        <item x="57"/>
        <item x="53"/>
        <item x="56"/>
        <item m="1" x="128"/>
        <item m="1" x="125"/>
        <item x="112"/>
        <item m="1" x="126"/>
        <item m="1" x="130"/>
        <item m="1" x="132"/>
        <item x="68"/>
        <item x="69"/>
        <item x="66"/>
        <item x="72"/>
        <item x="73"/>
        <item x="74"/>
        <item m="1" x="121"/>
        <item x="58"/>
        <item x="75"/>
        <item x="77"/>
        <item x="76"/>
        <item x="82"/>
        <item x="83"/>
        <item x="84"/>
        <item x="78"/>
        <item x="85"/>
        <item x="86"/>
        <item x="89"/>
        <item x="90"/>
        <item x="81"/>
        <item x="87"/>
        <item x="92"/>
        <item x="59"/>
        <item x="79"/>
        <item x="80"/>
        <item x="88"/>
        <item x="91"/>
        <item x="93"/>
        <item x="94"/>
        <item x="95"/>
        <item x="97"/>
        <item x="115"/>
        <item x="110"/>
        <item x="111"/>
        <item x="104"/>
        <item x="98"/>
        <item m="1" x="135"/>
        <item m="1" x="122"/>
        <item x="108"/>
        <item m="1" x="131"/>
        <item x="113"/>
        <item x="114"/>
        <item x="116"/>
        <item x="117"/>
        <item x="118"/>
        <item x="71"/>
        <item x="96"/>
        <item x="99"/>
        <item x="100"/>
        <item x="102"/>
        <item x="101"/>
        <item x="103"/>
        <item x="105"/>
        <item x="107"/>
        <item x="61"/>
        <item x="41"/>
        <item x="60"/>
        <item x="106"/>
        <item x="42"/>
        <item x="64"/>
        <item x="63"/>
        <item x="51"/>
        <item x="62"/>
        <item x="70"/>
        <item x="5"/>
        <item x="109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 defaultSubtota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</pivotFields>
  <rowFields count="1">
    <field x="3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7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bis Ende 2010" fld="10" baseField="6" baseItem="5"/>
    <dataField name="2011" fld="11" baseField="6" baseItem="5"/>
    <dataField name="2012" fld="12" baseField="6" baseItem="5"/>
    <dataField name="2013" fld="13" baseField="6" baseItem="5"/>
    <dataField name="2014" fld="14" baseField="6" baseItem="5"/>
    <dataField name="2015" fld="15" baseField="6" baseItem="5"/>
    <dataField name="2016" fld="16" baseField="1" baseItem="49"/>
    <dataField name="2017" fld="17" baseField="1" baseItem="0"/>
    <dataField name="2018" fld="18" baseField="1" baseItem="2"/>
    <dataField name="2019" fld="19" baseField="0" baseItem="0"/>
    <dataField name="2020" fld="20" baseField="0" baseItem="0"/>
    <dataField name="2021" fld="21" baseField="0" baseItem="0"/>
  </dataFields>
  <formats count="9">
    <format dxfId="32">
      <pivotArea outline="0" collapsedLevelsAreSubtotals="1" fieldPosition="0"/>
    </format>
    <format dxfId="3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1"/>
          </reference>
        </references>
      </pivotArea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B3BB9-609C-482D-BB58-9C239093D817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5" indent="0" outline="1" outlineData="1" multipleFieldFilters="0">
  <location ref="A3:B46" firstHeaderRow="1" firstDataRow="1" firstDataCol="1"/>
  <pivotFields count="32">
    <pivotField showAll="0"/>
    <pivotField showAll="0"/>
    <pivotField showAll="0"/>
    <pivotField axis="axisRow" showAll="0">
      <items count="138">
        <item x="2"/>
        <item x="45"/>
        <item x="17"/>
        <item x="43"/>
        <item x="25"/>
        <item x="30"/>
        <item x="6"/>
        <item m="1" x="129"/>
        <item x="47"/>
        <item x="24"/>
        <item x="23"/>
        <item x="44"/>
        <item x="36"/>
        <item m="1" x="136"/>
        <item x="39"/>
        <item x="21"/>
        <item x="28"/>
        <item x="40"/>
        <item m="1" x="123"/>
        <item x="27"/>
        <item x="29"/>
        <item x="20"/>
        <item x="37"/>
        <item x="3"/>
        <item x="22"/>
        <item x="0"/>
        <item x="54"/>
        <item x="13"/>
        <item m="1" x="127"/>
        <item x="12"/>
        <item x="35"/>
        <item x="31"/>
        <item x="9"/>
        <item x="38"/>
        <item x="50"/>
        <item x="7"/>
        <item x="8"/>
        <item x="33"/>
        <item x="32"/>
        <item x="1"/>
        <item x="18"/>
        <item x="4"/>
        <item x="10"/>
        <item x="26"/>
        <item x="52"/>
        <item x="16"/>
        <item x="19"/>
        <item x="48"/>
        <item m="1" x="133"/>
        <item m="1" x="134"/>
        <item m="1" x="124"/>
        <item x="34"/>
        <item x="46"/>
        <item x="11"/>
        <item x="119"/>
        <item x="49"/>
        <item x="55"/>
        <item x="14"/>
        <item x="15"/>
        <item m="1" x="120"/>
        <item x="65"/>
        <item x="67"/>
        <item x="57"/>
        <item x="53"/>
        <item x="56"/>
        <item m="1" x="128"/>
        <item m="1" x="125"/>
        <item x="112"/>
        <item m="1" x="126"/>
        <item m="1" x="130"/>
        <item m="1" x="132"/>
        <item x="68"/>
        <item x="69"/>
        <item x="66"/>
        <item x="72"/>
        <item x="73"/>
        <item x="74"/>
        <item m="1" x="121"/>
        <item x="58"/>
        <item x="75"/>
        <item x="77"/>
        <item x="76"/>
        <item x="82"/>
        <item x="83"/>
        <item x="84"/>
        <item x="78"/>
        <item x="85"/>
        <item x="86"/>
        <item x="89"/>
        <item x="90"/>
        <item x="81"/>
        <item x="87"/>
        <item x="92"/>
        <item x="59"/>
        <item x="79"/>
        <item x="80"/>
        <item x="88"/>
        <item x="91"/>
        <item x="93"/>
        <item x="94"/>
        <item x="95"/>
        <item x="97"/>
        <item x="115"/>
        <item x="110"/>
        <item x="111"/>
        <item x="104"/>
        <item x="98"/>
        <item m="1" x="135"/>
        <item m="1" x="122"/>
        <item x="108"/>
        <item m="1" x="131"/>
        <item x="113"/>
        <item x="114"/>
        <item x="116"/>
        <item x="117"/>
        <item x="118"/>
        <item x="71"/>
        <item x="96"/>
        <item x="99"/>
        <item x="100"/>
        <item x="102"/>
        <item x="101"/>
        <item x="103"/>
        <item x="105"/>
        <item x="107"/>
        <item x="61"/>
        <item x="41"/>
        <item x="60"/>
        <item x="106"/>
        <item x="42"/>
        <item x="64"/>
        <item x="63"/>
        <item x="51"/>
        <item x="62"/>
        <item x="70"/>
        <item x="5"/>
        <item x="109"/>
        <item t="default"/>
      </items>
    </pivotField>
    <pivotField showAll="0"/>
    <pivotField showAll="0"/>
    <pivotField axis="axisRow" showAll="0">
      <items count="5">
        <item x="2"/>
        <item x="1"/>
        <item x="0"/>
        <item m="1" x="3"/>
        <item t="default"/>
      </items>
    </pivotField>
    <pivotField axis="axisRow" showAll="0">
      <items count="11">
        <item sd="0" x="2"/>
        <item x="0"/>
        <item m="1" x="8"/>
        <item sd="0" x="5"/>
        <item sd="0" x="1"/>
        <item m="1" x="7"/>
        <item x="4"/>
        <item x="3"/>
        <item m="1" x="6"/>
        <item m="1" x="9"/>
        <item t="default"/>
      </items>
    </pivotField>
    <pivotField axis="axisRow" showAll="0">
      <items count="32">
        <item n="1.2100" sd="0" x="2"/>
        <item n="1.2200" sd="0" x="7"/>
        <item n="1.2300" sd="0" x="5"/>
        <item n="1.2400" sd="0" x="6"/>
        <item n="1.3100" sd="0" x="1"/>
        <item n="1.3300" sd="0" x="13"/>
        <item n="1.7300" sd="0" x="0"/>
        <item n="3.5800" sd="0" m="1" x="30"/>
        <item n="2.4400" sd="0" x="18"/>
        <item n="3.5810" sd="0" x="8"/>
        <item n="3.5710" sd="0" x="10"/>
        <item n="3.5300" sd="0" x="15"/>
        <item n="1.3950" sd="0" x="3"/>
        <item n="3.5600" sd="0" x="12"/>
        <item sd="0" x="16"/>
        <item n="2.4300" sd="0" x="17"/>
        <item n="3.5730" sd="0" x="9"/>
        <item sd="0" x="14"/>
        <item n="3.5910" sd="0" x="19"/>
        <item n="1.2950" sd="0" x="4"/>
        <item sd="0" x="21"/>
        <item sd="0" x="20"/>
        <item n="3.5020" sd="0" x="22"/>
        <item n="3.5010" sd="0" x="11"/>
        <item n="3.5500" sd="0" x="23"/>
        <item n="1.2700" sd="0" x="25"/>
        <item sd="0" x="28"/>
        <item sd="0" x="29"/>
        <item sd="0" x="26"/>
        <item sd="0" x="24"/>
        <item sd="0" x="27"/>
        <item t="default" sd="0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dataField="1" showAll="0"/>
  </pivotFields>
  <rowFields count="4">
    <field x="6"/>
    <field x="8"/>
    <field x="7"/>
    <field x="3"/>
  </rowFields>
  <rowItems count="43">
    <i>
      <x/>
    </i>
    <i r="1">
      <x v="4"/>
    </i>
    <i r="1">
      <x v="12"/>
    </i>
    <i r="1">
      <x v="21"/>
    </i>
    <i>
      <x v="1"/>
    </i>
    <i r="1">
      <x v="1"/>
    </i>
    <i r="1">
      <x v="2"/>
    </i>
    <i r="1">
      <x v="4"/>
    </i>
    <i r="1">
      <x v="8"/>
    </i>
    <i r="1">
      <x v="12"/>
    </i>
    <i r="1">
      <x v="15"/>
    </i>
    <i r="1">
      <x v="21"/>
    </i>
    <i r="1">
      <x v="25"/>
    </i>
    <i r="1">
      <x v="2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t="grand">
      <x/>
    </i>
  </rowItems>
  <colItems count="1">
    <i/>
  </colItems>
  <dataFields count="1">
    <dataField name="Summe von EKP" fld="31" baseField="0" baseItem="0"/>
  </dataFields>
  <formats count="24">
    <format dxfId="23">
      <pivotArea outline="0" collapsedLevelsAreSubtotals="1" fieldPosition="0"/>
    </format>
    <format dxfId="22">
      <pivotArea dataOnly="0" labelOnly="1" fieldPosition="0">
        <references count="3">
          <reference field="6" count="1" selected="0">
            <x v="0"/>
          </reference>
          <reference field="7" count="1" selected="0">
            <x v="3"/>
          </reference>
          <reference field="8" count="2">
            <x v="2"/>
            <x v="4"/>
          </reference>
        </references>
      </pivotArea>
    </format>
    <format dxfId="21">
      <pivotArea dataOnly="0" labelOnly="1" fieldPosition="0">
        <references count="3">
          <reference field="6" count="1" selected="0">
            <x v="0"/>
          </reference>
          <reference field="7" count="1" selected="0">
            <x v="4"/>
          </reference>
          <reference field="8" count="1">
            <x v="4"/>
          </reference>
        </references>
      </pivotArea>
    </format>
    <format dxfId="20">
      <pivotArea dataOnly="0" labelOnly="1" fieldPosition="0">
        <references count="3">
          <reference field="6" count="1" selected="0">
            <x v="0"/>
          </reference>
          <reference field="7" count="1" selected="0">
            <x v="5"/>
          </reference>
          <reference field="8" count="1">
            <x v="4"/>
          </reference>
        </references>
      </pivotArea>
    </format>
    <format dxfId="19">
      <pivotArea dataOnly="0" labelOnly="1" fieldPosition="0">
        <references count="3">
          <reference field="6" count="1" selected="0">
            <x v="1"/>
          </reference>
          <reference field="7" count="1" selected="0">
            <x v="4"/>
          </reference>
          <reference field="8" count="1">
            <x v="4"/>
          </reference>
        </references>
      </pivotArea>
    </format>
    <format dxfId="18">
      <pivotArea dataOnly="0" labelOnly="1" fieldPosition="0">
        <references count="3">
          <reference field="6" count="1" selected="0">
            <x v="1"/>
          </reference>
          <reference field="7" count="1" selected="0">
            <x v="6"/>
          </reference>
          <reference field="8" count="1">
            <x v="2"/>
          </reference>
        </references>
      </pivotArea>
    </format>
    <format dxfId="17">
      <pivotArea dataOnly="0" labelOnly="1" fieldPosition="0">
        <references count="3">
          <reference field="6" count="1" selected="0">
            <x v="1"/>
          </reference>
          <reference field="7" count="1" selected="0">
            <x v="6"/>
          </reference>
          <reference field="8" count="1">
            <x v="4"/>
          </reference>
        </references>
      </pivotArea>
    </format>
    <format dxfId="16">
      <pivotArea dataOnly="0" labelOnly="1" fieldPosition="0">
        <references count="3">
          <reference field="6" count="1" selected="0">
            <x v="2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15">
      <pivotArea dataOnly="0" labelOnly="1" fieldPosition="0">
        <references count="3">
          <reference field="6" count="1" selected="0">
            <x v="2"/>
          </reference>
          <reference field="7" count="1" selected="0">
            <x v="0"/>
          </reference>
          <reference field="8" count="1">
            <x v="4"/>
          </reference>
        </references>
      </pivotArea>
    </format>
    <format dxfId="14">
      <pivotArea dataOnly="0" labelOnly="1" fieldPosition="0">
        <references count="3">
          <reference field="6" count="1" selected="0">
            <x v="2"/>
          </reference>
          <reference field="7" count="1" selected="0">
            <x v="0"/>
          </reference>
          <reference field="8" count="1">
            <x v="5"/>
          </reference>
        </references>
      </pivotArea>
    </format>
    <format dxfId="13">
      <pivotArea dataOnly="0" labelOnly="1" fieldPosition="0">
        <references count="3">
          <reference field="6" count="1" selected="0">
            <x v="2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12">
      <pivotArea dataOnly="0" labelOnly="1" fieldPosition="0">
        <references count="3">
          <reference field="6" count="1" selected="0">
            <x v="2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11">
      <pivotArea dataOnly="0" labelOnly="1" fieldPosition="0">
        <references count="3">
          <reference field="6" count="1" selected="0">
            <x v="2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10">
      <pivotArea dataOnly="0" labelOnly="1" fieldPosition="0">
        <references count="3">
          <reference field="6" count="1" selected="0">
            <x v="2"/>
          </reference>
          <reference field="7" count="1" selected="0">
            <x v="3"/>
          </reference>
          <reference field="8" count="1">
            <x v="4"/>
          </reference>
        </references>
      </pivotArea>
    </format>
    <format dxfId="9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0"/>
          </reference>
        </references>
      </pivotArea>
    </format>
    <format dxfId="8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1"/>
          </reference>
        </references>
      </pivotArea>
    </format>
    <format dxfId="7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2"/>
          </reference>
        </references>
      </pivotArea>
    </format>
    <format dxfId="6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3"/>
          </reference>
        </references>
      </pivotArea>
    </format>
    <format dxfId="5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4"/>
          </reference>
        </references>
      </pivotArea>
    </format>
    <format dxfId="4">
      <pivotArea dataOnly="0" labelOnly="1" fieldPosition="0">
        <references count="3">
          <reference field="6" count="1" selected="0">
            <x v="2"/>
          </reference>
          <reference field="7" count="1" selected="0">
            <x v="4"/>
          </reference>
          <reference field="8" count="1">
            <x v="7"/>
          </reference>
        </references>
      </pivotArea>
    </format>
    <format dxfId="3">
      <pivotArea dataOnly="0" labelOnly="1" fieldPosition="0">
        <references count="3">
          <reference field="6" count="1" selected="0">
            <x v="2"/>
          </reference>
          <reference field="7" count="1" selected="0">
            <x v="6"/>
          </reference>
          <reference field="8" count="1">
            <x v="2"/>
          </reference>
        </references>
      </pivotArea>
    </format>
    <format dxfId="2">
      <pivotArea dataOnly="0" labelOnly="1" fieldPosition="0">
        <references count="3">
          <reference field="6" count="1" selected="0">
            <x v="2"/>
          </reference>
          <reference field="7" count="1" selected="0">
            <x v="6"/>
          </reference>
          <reference field="8" count="1">
            <x v="4"/>
          </reference>
        </references>
      </pivotArea>
    </format>
    <format dxfId="1">
      <pivotArea dataOnly="0" labelOnly="1" fieldPosition="0">
        <references count="3">
          <reference field="6" count="1" selected="0">
            <x v="2"/>
          </reference>
          <reference field="7" count="1" selected="0">
            <x v="7"/>
          </reference>
          <reference field="8" count="1">
            <x v="0"/>
          </reference>
        </references>
      </pivotArea>
    </format>
    <format dxfId="0">
      <pivotArea dataOnly="0" labelOnly="1" fieldPosition="0">
        <references count="3">
          <reference field="6" count="1" selected="0">
            <x v="2"/>
          </reference>
          <reference field="7" count="1" selected="0">
            <x v="7"/>
          </reference>
          <reference field="8" count="1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AG309" headerRowDxfId="121" dataDxfId="119" headerRowBorderDxfId="120" tableBorderDxfId="118">
  <autoFilter ref="A2:AG309" xr:uid="{00000000-0009-0000-0100-000001000000}">
    <filterColumn colId="2">
      <filters>
        <filter val="Aktiv"/>
        <filter val="geplant"/>
      </filters>
    </filterColumn>
  </autoFilter>
  <tableColumns count="33">
    <tableColumn id="5" xr3:uid="{00000000-0010-0000-0000-000005000000}" name="Vertragsnummer alt" dataDxfId="117" totalsRowDxfId="116"/>
    <tableColumn id="26" xr3:uid="{DD9E9028-C76B-416E-A1F1-1D1563954603}" name="Vertragsnummer BKM" dataDxfId="115" totalsRowDxfId="114"/>
    <tableColumn id="1" xr3:uid="{D897AD12-A3FD-44C8-B438-9964EFE265F0}" name="Status" dataDxfId="113" totalsRowDxfId="112"/>
    <tableColumn id="2" xr3:uid="{00000000-0010-0000-0000-000002000000}" name="Name / Firma" dataDxfId="111" totalsRowDxfId="110"/>
    <tableColumn id="3" xr3:uid="{00000000-0010-0000-0000-000003000000}" name="Auftrag" dataDxfId="109" totalsRowDxfId="108"/>
    <tableColumn id="4" xr3:uid="{00000000-0010-0000-0000-000004000000}" name="Summe Vertrag_x000a_CHF inkl. MWST" dataDxfId="107" totalsRowDxfId="106"/>
    <tableColumn id="6" xr3:uid="{00000000-0010-0000-0000-000006000000}" name="Finanzier-_x000a_ungskonto" dataDxfId="105" totalsRowDxfId="104"/>
    <tableColumn id="7" xr3:uid="{00000000-0010-0000-0000-000007000000}" name="Teilprojekt" dataDxfId="103" totalsRowDxfId="102"/>
    <tableColumn id="8" xr3:uid="{00000000-0010-0000-0000-000008000000}" name="Kostenart" dataDxfId="101" totalsRowDxfId="100"/>
    <tableColumn id="19" xr3:uid="{00000000-0010-0000-0000-000013000000}" name="IO" dataDxfId="99" totalsRowDxfId="98"/>
    <tableColumn id="9" xr3:uid="{00000000-0010-0000-0000-000009000000}" name="bis Ende 2010_x000a_CHF inkl. MWST" dataDxfId="97" totalsRowDxfId="96"/>
    <tableColumn id="10" xr3:uid="{00000000-0010-0000-0000-00000A000000}" name="2011_x000a_CHF inkl. MWST" dataDxfId="95" totalsRowDxfId="94"/>
    <tableColumn id="11" xr3:uid="{00000000-0010-0000-0000-00000B000000}" name="2012_x000a_CHF inkl. MWST" dataDxfId="93" totalsRowDxfId="92"/>
    <tableColumn id="12" xr3:uid="{00000000-0010-0000-0000-00000C000000}" name="2013_x000a_CHF inkl. MWST" dataDxfId="91" totalsRowDxfId="90"/>
    <tableColumn id="13" xr3:uid="{00000000-0010-0000-0000-00000D000000}" name="2014_x000a_CHF inkl. MWST" dataDxfId="89" totalsRowDxfId="88"/>
    <tableColumn id="14" xr3:uid="{00000000-0010-0000-0000-00000E000000}" name="2015_x000a_CHF inkl. MWST" dataDxfId="87" totalsRowDxfId="86"/>
    <tableColumn id="15" xr3:uid="{00000000-0010-0000-0000-00000F000000}" name="2016_x000a_CHF inkl. MWST" dataDxfId="85" totalsRowDxfId="84"/>
    <tableColumn id="20" xr3:uid="{00000000-0010-0000-0000-000014000000}" name="2017_x000a_CHF inkl. MWST" dataDxfId="83" totalsRowDxfId="82"/>
    <tableColumn id="21" xr3:uid="{00000000-0010-0000-0000-000015000000}" name="2018_x000a_CHF inkl. MWST" dataDxfId="81"/>
    <tableColumn id="18" xr3:uid="{F611A4EE-5940-4BB4-8650-B2A61E1D0A8B}" name="2019_x000a_CHF inkl. MWST" dataDxfId="80"/>
    <tableColumn id="33" xr3:uid="{2015E343-64AE-4D3D-993C-36AB8EEC8B4D}" name="2020_x000a_CHF inkl. MWST" dataDxfId="79"/>
    <tableColumn id="22" xr3:uid="{53C66DE4-9C96-4322-998C-A4669FF9CA9B}" name="2021_x000a_CHF inkl. MWST" dataDxfId="78"/>
    <tableColumn id="25" xr3:uid="{51E0F7D4-A180-41C6-9548-6A8276BB32F1}" name="Aufgelaufene Kosten 2022_x000a_CHF inkl. MWST" dataDxfId="77"/>
    <tableColumn id="27" xr3:uid="{8F45BD66-1B75-4506-8964-7998EE290AD7}" name="Geplant 2022_x000a_CHF inkl. MWST" dataDxfId="76"/>
    <tableColumn id="32" xr3:uid="{F45A6283-5B66-41DC-A7E2-12D2D1BD1A1F}" name="Aufgelaufene Kosten 2023_x000a_CHF inkl. MWST"/>
    <tableColumn id="28" xr3:uid="{33373EC4-F29C-45F9-928A-73BD79874433}" name="Geplant 2023_x000a_CHF inkl. MWST" dataDxfId="75"/>
    <tableColumn id="29" xr3:uid="{1C95308C-2191-4EFC-B973-0C0C53D0F654}" name="Geplant 2024_x000a_CHF inkl. MWST" dataDxfId="74"/>
    <tableColumn id="30" xr3:uid="{3EF3E8DC-E93C-413B-890B-60CC607EFFCA}" name="Geplant 2025_x000a_CHF inkl. MWST" dataDxfId="73"/>
    <tableColumn id="31" xr3:uid="{1159714E-D189-43F3-9FBE-D01CE4159E4A}" name="Geplant 2026_x000a_CHF inkl. MWST" dataDxfId="72"/>
    <tableColumn id="17" xr3:uid="{00000000-0010-0000-0000-000011000000}" name="Bemerkungen BHU" totalsRowFunction="count" dataDxfId="71" totalsRowDxfId="70"/>
    <tableColumn id="16" xr3:uid="{ED2E3712-1836-4BAD-8281-2E6CC34B56E7}" name="Total Rechnungen" dataDxfId="69">
      <calculatedColumnFormula>SUM(Tabelle1[[#This Row],[bis Ende 2010
CHF inkl. MWST]:[2019
CHF inkl. MWST]])</calculatedColumnFormula>
    </tableColumn>
    <tableColumn id="23" xr3:uid="{793AE731-AC8A-4A79-B7D8-FC56559E30D7}" name="Restbudget Vertrag" dataDxfId="68">
      <calculatedColumnFormula>Tabelle1[[#This Row],[Summe Vertrag
CHF inkl. MWST]]-Tabelle1[[#This Row],[Total Rechnungen]]</calculatedColumnFormula>
    </tableColumn>
    <tableColumn id="24" xr3:uid="{441F1937-6B8A-460D-94D5-BC241B68A229}" name="EKP" dataDxfId="6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341"/>
  <sheetViews>
    <sheetView tabSelected="1" zoomScale="80" zoomScaleNormal="80" zoomScaleSheetLayoutView="80" workbookViewId="0">
      <pane xSplit="10" ySplit="2" topLeftCell="W3" activePane="bottomRight" state="frozen"/>
      <selection pane="topRight" activeCell="I1" sqref="I1"/>
      <selection pane="bottomLeft" activeCell="A3" sqref="A3"/>
      <selection pane="bottomRight" activeCell="E2" sqref="E2"/>
    </sheetView>
  </sheetViews>
  <sheetFormatPr baseColWidth="10" defaultRowHeight="11.25" x14ac:dyDescent="0.15"/>
  <cols>
    <col min="1" max="1" width="24.625" customWidth="1"/>
    <col min="2" max="2" width="22.625" customWidth="1"/>
    <col min="3" max="3" width="9.25" customWidth="1"/>
    <col min="4" max="4" width="25.625" customWidth="1"/>
    <col min="5" max="5" width="30.625" customWidth="1"/>
    <col min="6" max="6" width="14" bestFit="1" customWidth="1"/>
    <col min="7" max="8" width="11" customWidth="1"/>
    <col min="9" max="9" width="11.75" style="1" customWidth="1"/>
    <col min="10" max="10" width="19.625" style="1" customWidth="1"/>
    <col min="11" max="11" width="15.625" style="1" customWidth="1"/>
    <col min="12" max="29" width="15.625" customWidth="1"/>
    <col min="30" max="30" width="31.5" customWidth="1"/>
    <col min="31" max="34" width="20.625" customWidth="1"/>
  </cols>
  <sheetData>
    <row r="1" spans="1:34" s="2" customFormat="1" ht="39.950000000000003" customHeight="1" x14ac:dyDescent="0.15">
      <c r="A1" s="220" t="s">
        <v>15</v>
      </c>
      <c r="B1" s="220"/>
      <c r="C1" s="220"/>
      <c r="D1" s="220"/>
      <c r="E1" s="233" t="s">
        <v>750</v>
      </c>
      <c r="F1" s="347"/>
      <c r="H1" s="10"/>
      <c r="I1" s="10"/>
      <c r="J1" s="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209"/>
      <c r="X1" s="88"/>
      <c r="Y1" s="88"/>
      <c r="Z1" s="88"/>
      <c r="AA1" s="88"/>
      <c r="AB1" s="88"/>
      <c r="AC1" s="88"/>
      <c r="AD1" s="89" t="s">
        <v>443</v>
      </c>
      <c r="AE1" s="355"/>
      <c r="AF1" s="88"/>
      <c r="AG1" s="355"/>
    </row>
    <row r="2" spans="1:34" s="2" customFormat="1" ht="39.950000000000003" customHeight="1" x14ac:dyDescent="0.15">
      <c r="A2" s="69" t="s">
        <v>509</v>
      </c>
      <c r="B2" s="69" t="s">
        <v>510</v>
      </c>
      <c r="C2" s="69" t="s">
        <v>348</v>
      </c>
      <c r="D2" s="68" t="s">
        <v>47</v>
      </c>
      <c r="E2" s="68" t="s">
        <v>4</v>
      </c>
      <c r="F2" s="68" t="s">
        <v>46</v>
      </c>
      <c r="G2" s="68" t="s">
        <v>104</v>
      </c>
      <c r="H2" s="70" t="s">
        <v>96</v>
      </c>
      <c r="I2" s="70" t="s">
        <v>103</v>
      </c>
      <c r="J2" s="70" t="s">
        <v>193</v>
      </c>
      <c r="K2" s="71" t="s">
        <v>48</v>
      </c>
      <c r="L2" s="71" t="s">
        <v>53</v>
      </c>
      <c r="M2" s="71" t="s">
        <v>57</v>
      </c>
      <c r="N2" s="71" t="s">
        <v>82</v>
      </c>
      <c r="O2" s="71" t="s">
        <v>115</v>
      </c>
      <c r="P2" s="71" t="s">
        <v>141</v>
      </c>
      <c r="Q2" s="71" t="s">
        <v>212</v>
      </c>
      <c r="R2" s="71" t="s">
        <v>270</v>
      </c>
      <c r="S2" s="71" t="s">
        <v>289</v>
      </c>
      <c r="T2" s="71" t="s">
        <v>330</v>
      </c>
      <c r="U2" s="71" t="s">
        <v>357</v>
      </c>
      <c r="V2" s="71" t="s">
        <v>423</v>
      </c>
      <c r="W2" s="71" t="s">
        <v>419</v>
      </c>
      <c r="X2" s="71" t="s">
        <v>320</v>
      </c>
      <c r="Y2" s="71" t="s">
        <v>745</v>
      </c>
      <c r="Z2" s="71" t="s">
        <v>321</v>
      </c>
      <c r="AA2" s="71" t="s">
        <v>322</v>
      </c>
      <c r="AB2" s="71" t="s">
        <v>323</v>
      </c>
      <c r="AC2" s="71" t="s">
        <v>324</v>
      </c>
      <c r="AD2" s="71" t="s">
        <v>150</v>
      </c>
      <c r="AE2" s="234" t="s">
        <v>296</v>
      </c>
      <c r="AF2" s="71" t="s">
        <v>297</v>
      </c>
      <c r="AG2" s="71" t="s">
        <v>298</v>
      </c>
    </row>
    <row r="3" spans="1:34" s="2" customFormat="1" ht="12.6" hidden="1" customHeight="1" x14ac:dyDescent="0.15">
      <c r="A3" s="14" t="s">
        <v>576</v>
      </c>
      <c r="B3" s="337">
        <v>1355046099</v>
      </c>
      <c r="C3" s="22" t="s">
        <v>349</v>
      </c>
      <c r="D3" s="4" t="s">
        <v>0</v>
      </c>
      <c r="E3" s="4" t="s">
        <v>21</v>
      </c>
      <c r="F3" s="14">
        <v>60242.18</v>
      </c>
      <c r="G3" s="4" t="s">
        <v>28</v>
      </c>
      <c r="H3" s="11" t="s">
        <v>97</v>
      </c>
      <c r="I3" s="15" t="s">
        <v>397</v>
      </c>
      <c r="J3" s="31" t="s">
        <v>479</v>
      </c>
      <c r="K3" s="14">
        <v>60243.18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82">
        <f>SUM(Tabelle1[[#This Row],[bis Ende 2010
CHF inkl. MWST]:[2019
CHF inkl. MWST]])</f>
        <v>60243.18</v>
      </c>
      <c r="AF3" s="181"/>
      <c r="AG3" s="181">
        <f>Tabelle1[[#This Row],[Total Rechnungen]]</f>
        <v>60243.18</v>
      </c>
    </row>
    <row r="4" spans="1:34" s="2" customFormat="1" ht="12.6" hidden="1" customHeight="1" x14ac:dyDescent="0.15">
      <c r="A4" s="14" t="s">
        <v>577</v>
      </c>
      <c r="B4" s="337">
        <v>1355046144</v>
      </c>
      <c r="C4" s="22" t="s">
        <v>349</v>
      </c>
      <c r="D4" s="4" t="s">
        <v>1</v>
      </c>
      <c r="E4" s="4" t="s">
        <v>5</v>
      </c>
      <c r="F4" s="27">
        <v>22120.2</v>
      </c>
      <c r="G4" s="4" t="s">
        <v>28</v>
      </c>
      <c r="H4" s="11" t="s">
        <v>97</v>
      </c>
      <c r="I4" s="15" t="s">
        <v>397</v>
      </c>
      <c r="J4" s="31" t="s">
        <v>479</v>
      </c>
      <c r="K4" s="27">
        <f>1520.4</f>
        <v>1520.4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82">
        <f>SUM(Tabelle1[[#This Row],[bis Ende 2010
CHF inkl. MWST]:[2019
CHF inkl. MWST]])</f>
        <v>1520.4</v>
      </c>
      <c r="AF4" s="181"/>
      <c r="AG4" s="181">
        <f>Tabelle1[[#This Row],[Total Rechnungen]]</f>
        <v>1520.4</v>
      </c>
    </row>
    <row r="5" spans="1:34" s="2" customFormat="1" ht="12.6" hidden="1" customHeight="1" x14ac:dyDescent="0.15">
      <c r="A5" s="14" t="s">
        <v>577</v>
      </c>
      <c r="B5" s="337">
        <v>1355046144</v>
      </c>
      <c r="C5" s="22" t="s">
        <v>349</v>
      </c>
      <c r="D5" s="4" t="s">
        <v>1</v>
      </c>
      <c r="E5" s="4" t="s">
        <v>5</v>
      </c>
      <c r="F5" s="27">
        <v>51879.8</v>
      </c>
      <c r="G5" s="4" t="s">
        <v>28</v>
      </c>
      <c r="H5" s="11" t="s">
        <v>97</v>
      </c>
      <c r="I5" s="15" t="s">
        <v>397</v>
      </c>
      <c r="J5" s="31" t="s">
        <v>479</v>
      </c>
      <c r="K5" s="27">
        <v>51879.8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82">
        <f>SUM(Tabelle1[[#This Row],[bis Ende 2010
CHF inkl. MWST]:[2019
CHF inkl. MWST]])</f>
        <v>51879.8</v>
      </c>
      <c r="AF5" s="181"/>
      <c r="AG5" s="181">
        <f>Tabelle1[[#This Row],[Total Rechnungen]]</f>
        <v>51879.8</v>
      </c>
    </row>
    <row r="6" spans="1:34" s="2" customFormat="1" ht="12.6" hidden="1" customHeight="1" x14ac:dyDescent="0.15">
      <c r="A6" s="14" t="s">
        <v>578</v>
      </c>
      <c r="B6" s="337">
        <v>1355039440</v>
      </c>
      <c r="C6" s="22" t="s">
        <v>349</v>
      </c>
      <c r="D6" s="4" t="s">
        <v>22</v>
      </c>
      <c r="E6" s="4" t="s">
        <v>33</v>
      </c>
      <c r="F6" s="14">
        <v>49484.7</v>
      </c>
      <c r="G6" s="4" t="s">
        <v>27</v>
      </c>
      <c r="H6" s="11" t="s">
        <v>100</v>
      </c>
      <c r="I6" s="15" t="s">
        <v>397</v>
      </c>
      <c r="J6" s="31" t="s">
        <v>475</v>
      </c>
      <c r="K6" s="22">
        <f>816+12037.6+24405.45+8483.45+1349</f>
        <v>47091.5</v>
      </c>
      <c r="L6" s="22">
        <f>526.45+6815.2</f>
        <v>7341.65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59"/>
      <c r="AE6" s="182">
        <f>SUM(Tabelle1[[#This Row],[bis Ende 2010
CHF inkl. MWST]:[2019
CHF inkl. MWST]])</f>
        <v>54433.15</v>
      </c>
      <c r="AF6" s="181"/>
      <c r="AG6" s="181">
        <f>Tabelle1[[#This Row],[Total Rechnungen]]</f>
        <v>54433.15</v>
      </c>
    </row>
    <row r="7" spans="1:34" s="2" customFormat="1" ht="12.6" hidden="1" customHeight="1" x14ac:dyDescent="0.15">
      <c r="A7" s="14" t="s">
        <v>579</v>
      </c>
      <c r="B7" s="337">
        <v>1355040417</v>
      </c>
      <c r="C7" s="22" t="s">
        <v>349</v>
      </c>
      <c r="D7" s="4" t="s">
        <v>2</v>
      </c>
      <c r="E7" s="4" t="s">
        <v>20</v>
      </c>
      <c r="F7" s="14">
        <v>39557</v>
      </c>
      <c r="G7" s="4" t="s">
        <v>28</v>
      </c>
      <c r="H7" s="11" t="s">
        <v>98</v>
      </c>
      <c r="I7" s="15" t="s">
        <v>397</v>
      </c>
      <c r="J7" s="31" t="s">
        <v>475</v>
      </c>
      <c r="K7" s="14">
        <f>12600.45+9593.15+5434.75</f>
        <v>27628.35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82">
        <f>SUM(Tabelle1[[#This Row],[bis Ende 2010
CHF inkl. MWST]:[2019
CHF inkl. MWST]])</f>
        <v>27628.35</v>
      </c>
      <c r="AF7" s="181"/>
      <c r="AG7" s="181">
        <f>Tabelle1[[#This Row],[Total Rechnungen]]</f>
        <v>27628.35</v>
      </c>
    </row>
    <row r="8" spans="1:34" s="2" customFormat="1" ht="12.6" hidden="1" customHeight="1" x14ac:dyDescent="0.15">
      <c r="A8" s="22" t="s">
        <v>580</v>
      </c>
      <c r="B8" s="337">
        <v>1355004561</v>
      </c>
      <c r="C8" s="22" t="s">
        <v>349</v>
      </c>
      <c r="D8" s="4" t="s">
        <v>22</v>
      </c>
      <c r="E8" s="4" t="s">
        <v>24</v>
      </c>
      <c r="F8" s="22">
        <f>11168.8+18088.25</f>
        <v>29257.05</v>
      </c>
      <c r="G8" s="4" t="s">
        <v>27</v>
      </c>
      <c r="H8" s="11" t="s">
        <v>100</v>
      </c>
      <c r="I8" s="15" t="s">
        <v>397</v>
      </c>
      <c r="J8" s="31" t="s">
        <v>475</v>
      </c>
      <c r="K8" s="22">
        <f>5449.6+3509.2+13480.9+331.7+6485.65</f>
        <v>29257.049999999996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58"/>
      <c r="AE8" s="182">
        <f>SUM(Tabelle1[[#This Row],[bis Ende 2010
CHF inkl. MWST]:[2019
CHF inkl. MWST]])</f>
        <v>29257.049999999996</v>
      </c>
      <c r="AF8" s="181"/>
      <c r="AG8" s="181">
        <f>Tabelle1[[#This Row],[Total Rechnungen]]</f>
        <v>29257.049999999996</v>
      </c>
    </row>
    <row r="9" spans="1:34" s="2" customFormat="1" ht="12.6" hidden="1" customHeight="1" x14ac:dyDescent="0.15">
      <c r="A9" s="27" t="s">
        <v>581</v>
      </c>
      <c r="B9" s="345">
        <v>1355013702</v>
      </c>
      <c r="C9" s="22" t="s">
        <v>349</v>
      </c>
      <c r="D9" s="7" t="s">
        <v>503</v>
      </c>
      <c r="E9" s="7" t="s">
        <v>524</v>
      </c>
      <c r="F9" s="23">
        <f>402854.4+188838+307054.8+193330.8+58125.6</f>
        <v>1150203.6000000001</v>
      </c>
      <c r="G9" s="7" t="s">
        <v>28</v>
      </c>
      <c r="H9" s="13" t="s">
        <v>98</v>
      </c>
      <c r="I9" s="15" t="s">
        <v>397</v>
      </c>
      <c r="J9" s="35" t="s">
        <v>475</v>
      </c>
      <c r="K9" s="22">
        <f>47933.4+37893.5+75724.05+63858.7</f>
        <v>225409.65000000002</v>
      </c>
      <c r="L9" s="22">
        <f>179962.6+331253.3+208399.25+55029.8-75816+94106.6</f>
        <v>792935.55</v>
      </c>
      <c r="M9" s="22">
        <f>56293.4+29347.1+8245+14057.55</f>
        <v>107943.05</v>
      </c>
      <c r="N9" s="23">
        <f>4043.5+2084.95+1010.9+1389.95+758.15</f>
        <v>9287.4499999999989</v>
      </c>
      <c r="O9" s="23">
        <f>315.9</f>
        <v>315.89999999999998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57"/>
      <c r="AE9" s="182">
        <f>SUM(Tabelle1[[#This Row],[bis Ende 2010
CHF inkl. MWST]:[2019
CHF inkl. MWST]])</f>
        <v>1135891.5999999999</v>
      </c>
      <c r="AF9" s="181"/>
      <c r="AG9" s="181">
        <f>Tabelle1[[#This Row],[Total Rechnungen]]</f>
        <v>1135891.5999999999</v>
      </c>
    </row>
    <row r="10" spans="1:34" s="2" customFormat="1" ht="12.6" hidden="1" customHeight="1" x14ac:dyDescent="0.15">
      <c r="A10" s="140" t="s">
        <v>581</v>
      </c>
      <c r="B10" s="345">
        <v>1355013702</v>
      </c>
      <c r="C10" s="22" t="s">
        <v>349</v>
      </c>
      <c r="D10" s="139" t="s">
        <v>503</v>
      </c>
      <c r="E10" s="139" t="s">
        <v>52</v>
      </c>
      <c r="F10" s="132" t="s">
        <v>229</v>
      </c>
      <c r="G10" s="139" t="s">
        <v>28</v>
      </c>
      <c r="H10" s="141" t="s">
        <v>98</v>
      </c>
      <c r="I10" s="15" t="s">
        <v>397</v>
      </c>
      <c r="J10" s="135" t="s">
        <v>475</v>
      </c>
      <c r="K10" s="60"/>
      <c r="L10" s="60"/>
      <c r="M10" s="60"/>
      <c r="N10" s="60"/>
      <c r="O10" s="132">
        <v>16681.75</v>
      </c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3"/>
      <c r="AE10" s="182">
        <f>SUM(Tabelle1[[#This Row],[bis Ende 2010
CHF inkl. MWST]:[2019
CHF inkl. MWST]])</f>
        <v>16681.75</v>
      </c>
      <c r="AF10" s="181"/>
      <c r="AG10" s="45">
        <f>Tabelle1[[#This Row],[Total Rechnungen]]</f>
        <v>16681.75</v>
      </c>
    </row>
    <row r="11" spans="1:34" s="2" customFormat="1" ht="12.6" customHeight="1" x14ac:dyDescent="0.15">
      <c r="A11" s="18" t="s">
        <v>582</v>
      </c>
      <c r="B11" s="344">
        <v>1355013702</v>
      </c>
      <c r="C11" s="19" t="s">
        <v>350</v>
      </c>
      <c r="D11" s="5" t="s">
        <v>503</v>
      </c>
      <c r="E11" s="5" t="s">
        <v>525</v>
      </c>
      <c r="F11" s="19">
        <f>1133028+196574.05</f>
        <v>1329602.05</v>
      </c>
      <c r="G11" s="5" t="s">
        <v>28</v>
      </c>
      <c r="H11" s="12" t="s">
        <v>98</v>
      </c>
      <c r="I11" s="20" t="s">
        <v>397</v>
      </c>
      <c r="J11" s="56" t="s">
        <v>475</v>
      </c>
      <c r="K11" s="21"/>
      <c r="L11" s="22">
        <f>23313.4+75816+11941</f>
        <v>111070.39999999999</v>
      </c>
      <c r="M11" s="22">
        <f>14278.7+20565.1+25714.25+13836.4+17690.4</f>
        <v>92084.85</v>
      </c>
      <c r="N11" s="23">
        <f>18796.05+18132.65+23313.4+23313.4+14278.7</f>
        <v>97834.2</v>
      </c>
      <c r="O11" s="23">
        <f>6570.7+20280.8+24008.4+24640.2</f>
        <v>75500.100000000006</v>
      </c>
      <c r="P11" s="54">
        <f>20721.9+12231.55+16077.25+9213.5</f>
        <v>58244.2</v>
      </c>
      <c r="Q11" s="54">
        <f>18481.4+19834.85+14855.35+25270.5</f>
        <v>78442.100000000006</v>
      </c>
      <c r="R11" s="54">
        <f>20008.85+19650+18566.65+10739.2</f>
        <v>68964.7</v>
      </c>
      <c r="S11" s="54">
        <f>12466.1+7484.25+11232.7+6566.1</f>
        <v>37749.15</v>
      </c>
      <c r="T11" s="241">
        <f>7496.8+10685.45+7832.9+9527.45</f>
        <v>35542.600000000006</v>
      </c>
      <c r="U11" s="54">
        <f>11871.55+10555.1+5805.85+8769.55</f>
        <v>37002.050000000003</v>
      </c>
      <c r="V11" s="23">
        <f>11419.2+18821.65+15662.85+8540.45</f>
        <v>54444.150000000009</v>
      </c>
      <c r="W11" s="299">
        <f>11326.6+17162.25+11077.95+8257.9+9003.75+4931.3</f>
        <v>61759.750000000007</v>
      </c>
      <c r="X11" s="53"/>
      <c r="Y11" s="381"/>
      <c r="Z11" s="223">
        <v>84000</v>
      </c>
      <c r="AA11" s="223">
        <v>84000</v>
      </c>
      <c r="AB11" s="223">
        <v>84000</v>
      </c>
      <c r="AC11" s="223">
        <v>84000</v>
      </c>
      <c r="AD11" s="224" t="s">
        <v>201</v>
      </c>
      <c r="AE11" s="180">
        <f>SUM(Tabelle1[[#This Row],[bis Ende 2010
CHF inkl. MWST]:[Aufgelaufene Kosten 2022
CHF inkl. MWST]])</f>
        <v>808638.25000000012</v>
      </c>
      <c r="AF11" s="180">
        <f>Tabelle1[[#This Row],[Summe Vertrag
CHF inkl. MWST]]-Tabelle1[[#This Row],[Total Rechnungen]]</f>
        <v>520963.79999999993</v>
      </c>
      <c r="AG11" s="180">
        <f>Tabelle1[[#This Row],[Total Rechnungen]]+Tabelle1[[#This Row],[Restbudget Vertrag]]</f>
        <v>1329602.05</v>
      </c>
      <c r="AH11" s="29"/>
    </row>
    <row r="12" spans="1:34" s="2" customFormat="1" ht="12.6" hidden="1" customHeight="1" x14ac:dyDescent="0.15">
      <c r="A12" s="27" t="s">
        <v>581</v>
      </c>
      <c r="B12" s="345">
        <v>1355013702</v>
      </c>
      <c r="C12" s="23" t="s">
        <v>349</v>
      </c>
      <c r="D12" s="7" t="s">
        <v>503</v>
      </c>
      <c r="E12" s="7" t="s">
        <v>19</v>
      </c>
      <c r="F12" s="23">
        <v>215200</v>
      </c>
      <c r="G12" s="7" t="s">
        <v>28</v>
      </c>
      <c r="H12" s="13" t="s">
        <v>98</v>
      </c>
      <c r="I12" s="28" t="s">
        <v>397</v>
      </c>
      <c r="J12" s="35" t="s">
        <v>475</v>
      </c>
      <c r="K12" s="22">
        <f>10790.45+2493.95+6540.05+8985.9</f>
        <v>28810.35</v>
      </c>
      <c r="L12" s="22">
        <f>11931.95+21846.25+907.15+1801.65</f>
        <v>36487</v>
      </c>
      <c r="M12" s="22">
        <f>21683.15+1189.9+997.45+380.6</f>
        <v>24251.100000000002</v>
      </c>
      <c r="N12" s="23">
        <f>1049.15+5278.05+714+983.9</f>
        <v>8025.1</v>
      </c>
      <c r="O12" s="23">
        <f>1087.05+4386.35+1145+994.7</f>
        <v>7613.1</v>
      </c>
      <c r="P12" s="52"/>
      <c r="Q12" s="52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83"/>
      <c r="AE12" s="181">
        <f>SUM(Tabelle1[[#This Row],[bis Ende 2010
CHF inkl. MWST]:[2019
CHF inkl. MWST]])</f>
        <v>105186.65000000001</v>
      </c>
      <c r="AF12" s="181"/>
      <c r="AG12" s="181">
        <f>Tabelle1[[#This Row],[Total Rechnungen]]</f>
        <v>105186.65000000001</v>
      </c>
    </row>
    <row r="13" spans="1:34" s="2" customFormat="1" ht="12.6" customHeight="1" x14ac:dyDescent="0.15">
      <c r="A13" s="18" t="s">
        <v>581</v>
      </c>
      <c r="B13" s="344">
        <v>1355013702</v>
      </c>
      <c r="C13" s="19" t="s">
        <v>350</v>
      </c>
      <c r="D13" s="5" t="s">
        <v>503</v>
      </c>
      <c r="E13" s="5" t="s">
        <v>257</v>
      </c>
      <c r="F13" s="19" t="s">
        <v>229</v>
      </c>
      <c r="G13" s="5" t="s">
        <v>28</v>
      </c>
      <c r="H13" s="12" t="s">
        <v>98</v>
      </c>
      <c r="I13" s="20" t="s">
        <v>397</v>
      </c>
      <c r="J13" s="56" t="s">
        <v>475</v>
      </c>
      <c r="K13" s="37"/>
      <c r="L13" s="37"/>
      <c r="M13" s="37"/>
      <c r="N13" s="37"/>
      <c r="O13" s="23">
        <v>2119.0500000000002</v>
      </c>
      <c r="P13" s="23">
        <v>9936.2000000000007</v>
      </c>
      <c r="Q13" s="23">
        <v>10082.950000000001</v>
      </c>
      <c r="R13" s="54">
        <v>6397.55</v>
      </c>
      <c r="S13" s="124">
        <v>4790.95</v>
      </c>
      <c r="T13" s="124">
        <v>2884.65</v>
      </c>
      <c r="U13" s="124">
        <v>3701.55</v>
      </c>
      <c r="V13" s="132">
        <v>3372.1</v>
      </c>
      <c r="W13" s="378">
        <f>5804.2+6645.05</f>
        <v>12449.25</v>
      </c>
      <c r="X13" s="294"/>
      <c r="Y13" s="382"/>
      <c r="Z13" s="154">
        <v>6000</v>
      </c>
      <c r="AA13" s="154">
        <v>6000</v>
      </c>
      <c r="AB13" s="154">
        <v>6000</v>
      </c>
      <c r="AC13" s="154">
        <v>6000</v>
      </c>
      <c r="AD13" s="149" t="s">
        <v>229</v>
      </c>
      <c r="AE13" s="180">
        <f>SUM(Tabelle1[[#This Row],[bis Ende 2010
CHF inkl. MWST]:[Aufgelaufene Kosten 2022
CHF inkl. MWST]])</f>
        <v>55734.25</v>
      </c>
      <c r="AF13" s="180"/>
      <c r="AG13" s="170">
        <f>Tabelle1[[#This Row],[Total Rechnungen]]+Tabelle1[[#This Row],[Restbudget Vertrag]]</f>
        <v>55734.25</v>
      </c>
    </row>
    <row r="14" spans="1:34" s="2" customFormat="1" ht="12.6" customHeight="1" x14ac:dyDescent="0.15">
      <c r="A14" s="19" t="s">
        <v>583</v>
      </c>
      <c r="B14" s="344">
        <v>1355013702</v>
      </c>
      <c r="C14" s="19" t="s">
        <v>350</v>
      </c>
      <c r="D14" s="5" t="s">
        <v>503</v>
      </c>
      <c r="E14" s="5" t="s">
        <v>18</v>
      </c>
      <c r="F14" s="19">
        <v>415443.6</v>
      </c>
      <c r="G14" s="5" t="s">
        <v>28</v>
      </c>
      <c r="H14" s="12" t="s">
        <v>98</v>
      </c>
      <c r="I14" s="20" t="s">
        <v>397</v>
      </c>
      <c r="J14" s="56" t="s">
        <v>475</v>
      </c>
      <c r="K14" s="21"/>
      <c r="L14" s="21"/>
      <c r="M14" s="21"/>
      <c r="N14" s="21"/>
      <c r="O14" s="24"/>
      <c r="P14" s="21"/>
      <c r="Q14" s="21"/>
      <c r="R14" s="21"/>
      <c r="S14" s="21"/>
      <c r="T14" s="21"/>
      <c r="U14" s="21"/>
      <c r="V14" s="45"/>
      <c r="W14" s="45"/>
      <c r="X14" s="45"/>
      <c r="Y14" s="45"/>
      <c r="Z14" s="39">
        <v>0</v>
      </c>
      <c r="AA14" s="39">
        <v>0</v>
      </c>
      <c r="AB14" s="39">
        <v>0</v>
      </c>
      <c r="AC14" s="39">
        <v>0</v>
      </c>
      <c r="AD14" s="40" t="s">
        <v>201</v>
      </c>
      <c r="AE14" s="180">
        <f>SUM(Tabelle1[[#This Row],[bis Ende 2010
CHF inkl. MWST]:[Aufgelaufene Kosten 2022
CHF inkl. MWST]])</f>
        <v>0</v>
      </c>
      <c r="AF14" s="180">
        <f>Tabelle1[[#This Row],[Summe Vertrag
CHF inkl. MWST]]-Tabelle1[[#This Row],[Total Rechnungen]]</f>
        <v>415443.6</v>
      </c>
      <c r="AG14" s="180">
        <v>0</v>
      </c>
    </row>
    <row r="15" spans="1:34" s="2" customFormat="1" ht="12.6" hidden="1" customHeight="1" x14ac:dyDescent="0.15">
      <c r="A15" s="14" t="s">
        <v>584</v>
      </c>
      <c r="B15" s="337"/>
      <c r="C15" s="22" t="s">
        <v>349</v>
      </c>
      <c r="D15" s="9" t="s">
        <v>108</v>
      </c>
      <c r="E15" s="4" t="s">
        <v>14</v>
      </c>
      <c r="F15" s="14">
        <v>127135.85</v>
      </c>
      <c r="G15" s="4" t="s">
        <v>28</v>
      </c>
      <c r="H15" s="11" t="s">
        <v>100</v>
      </c>
      <c r="I15" s="15" t="s">
        <v>397</v>
      </c>
      <c r="J15" s="31" t="s">
        <v>475</v>
      </c>
      <c r="K15" s="22">
        <v>112652.9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59"/>
      <c r="AE15" s="182">
        <f>SUM(Tabelle1[[#This Row],[bis Ende 2010
CHF inkl. MWST]:[2019
CHF inkl. MWST]])</f>
        <v>112652.9</v>
      </c>
      <c r="AF15" s="181"/>
      <c r="AG15" s="181">
        <f>Tabelle1[[#This Row],[Total Rechnungen]]</f>
        <v>112652.9</v>
      </c>
    </row>
    <row r="16" spans="1:34" s="2" customFormat="1" ht="12.6" hidden="1" customHeight="1" x14ac:dyDescent="0.15">
      <c r="A16" s="14" t="s">
        <v>585</v>
      </c>
      <c r="B16" s="337">
        <v>1355005441</v>
      </c>
      <c r="C16" s="22" t="s">
        <v>349</v>
      </c>
      <c r="D16" s="4" t="s">
        <v>3</v>
      </c>
      <c r="E16" s="4" t="s">
        <v>6</v>
      </c>
      <c r="F16" s="14">
        <f>149947.05+26208.4</f>
        <v>176155.44999999998</v>
      </c>
      <c r="G16" s="4" t="s">
        <v>28</v>
      </c>
      <c r="H16" s="11" t="s">
        <v>100</v>
      </c>
      <c r="I16" s="15" t="s">
        <v>397</v>
      </c>
      <c r="J16" s="31" t="s">
        <v>475</v>
      </c>
      <c r="K16" s="22">
        <f>31348.75+24547.1+65960.15+29970.05+968.4</f>
        <v>152794.44999999998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59"/>
      <c r="AE16" s="182">
        <f>SUM(Tabelle1[[#This Row],[bis Ende 2010
CHF inkl. MWST]:[2019
CHF inkl. MWST]])</f>
        <v>152794.44999999998</v>
      </c>
      <c r="AF16" s="181"/>
      <c r="AG16" s="181">
        <f>Tabelle1[[#This Row],[Total Rechnungen]]</f>
        <v>152794.44999999998</v>
      </c>
    </row>
    <row r="17" spans="1:33" s="2" customFormat="1" ht="12.6" hidden="1" customHeight="1" x14ac:dyDescent="0.15">
      <c r="A17" s="14" t="s">
        <v>586</v>
      </c>
      <c r="B17" s="337">
        <v>1355005984</v>
      </c>
      <c r="C17" s="22" t="s">
        <v>349</v>
      </c>
      <c r="D17" s="4" t="s">
        <v>16</v>
      </c>
      <c r="E17" s="4" t="s">
        <v>23</v>
      </c>
      <c r="F17" s="27">
        <f>29645.95</f>
        <v>29645.95</v>
      </c>
      <c r="G17" s="4" t="s">
        <v>28</v>
      </c>
      <c r="H17" s="11" t="s">
        <v>100</v>
      </c>
      <c r="I17" s="15" t="s">
        <v>397</v>
      </c>
      <c r="J17" s="17" t="s">
        <v>475</v>
      </c>
      <c r="K17" s="23">
        <v>2117.5500000000002</v>
      </c>
      <c r="L17" s="23">
        <f>1447+917.6+2306.85</f>
        <v>4671.45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59"/>
      <c r="AE17" s="182">
        <f>SUM(Tabelle1[[#This Row],[bis Ende 2010
CHF inkl. MWST]:[2019
CHF inkl. MWST]])</f>
        <v>6789</v>
      </c>
      <c r="AF17" s="181"/>
      <c r="AG17" s="181">
        <f>Tabelle1[[#This Row],[Total Rechnungen]]</f>
        <v>6789</v>
      </c>
    </row>
    <row r="18" spans="1:33" s="2" customFormat="1" ht="12.6" hidden="1" customHeight="1" x14ac:dyDescent="0.15">
      <c r="A18" s="14" t="s">
        <v>586</v>
      </c>
      <c r="B18" s="337">
        <v>1355005984</v>
      </c>
      <c r="C18" s="22" t="s">
        <v>349</v>
      </c>
      <c r="D18" s="4" t="s">
        <v>16</v>
      </c>
      <c r="E18" s="4" t="s">
        <v>23</v>
      </c>
      <c r="F18" s="27">
        <v>11362.55</v>
      </c>
      <c r="G18" s="4" t="s">
        <v>28</v>
      </c>
      <c r="H18" s="11" t="s">
        <v>100</v>
      </c>
      <c r="I18" s="15" t="s">
        <v>397</v>
      </c>
      <c r="J18" s="17" t="s">
        <v>475</v>
      </c>
      <c r="K18" s="37"/>
      <c r="L18" s="23">
        <f>4835.1</f>
        <v>4835.1000000000004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59"/>
      <c r="AE18" s="182">
        <f>SUM(Tabelle1[[#This Row],[bis Ende 2010
CHF inkl. MWST]:[2019
CHF inkl. MWST]])</f>
        <v>4835.1000000000004</v>
      </c>
      <c r="AF18" s="181"/>
      <c r="AG18" s="181">
        <f>Tabelle1[[#This Row],[Total Rechnungen]]</f>
        <v>4835.1000000000004</v>
      </c>
    </row>
    <row r="19" spans="1:33" s="2" customFormat="1" ht="12.6" hidden="1" customHeight="1" x14ac:dyDescent="0.15">
      <c r="A19" s="14" t="s">
        <v>587</v>
      </c>
      <c r="B19" s="337">
        <v>13550059996</v>
      </c>
      <c r="C19" s="22" t="s">
        <v>349</v>
      </c>
      <c r="D19" s="4" t="s">
        <v>7</v>
      </c>
      <c r="E19" s="4" t="s">
        <v>8</v>
      </c>
      <c r="F19" s="14">
        <v>111894.1</v>
      </c>
      <c r="G19" s="4" t="s">
        <v>28</v>
      </c>
      <c r="H19" s="11" t="s">
        <v>100</v>
      </c>
      <c r="I19" s="15" t="s">
        <v>397</v>
      </c>
      <c r="J19" s="31" t="s">
        <v>475</v>
      </c>
      <c r="K19" s="22">
        <v>101523.6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58"/>
      <c r="AE19" s="182">
        <f>SUM(Tabelle1[[#This Row],[bis Ende 2010
CHF inkl. MWST]:[2019
CHF inkl. MWST]])</f>
        <v>101523.6</v>
      </c>
      <c r="AF19" s="181"/>
      <c r="AG19" s="181">
        <f>Tabelle1[[#This Row],[Total Rechnungen]]</f>
        <v>101523.6</v>
      </c>
    </row>
    <row r="20" spans="1:33" s="2" customFormat="1" ht="12.6" hidden="1" customHeight="1" x14ac:dyDescent="0.15">
      <c r="A20" s="14" t="s">
        <v>588</v>
      </c>
      <c r="B20" s="337">
        <v>1355007118</v>
      </c>
      <c r="C20" s="22" t="s">
        <v>349</v>
      </c>
      <c r="D20" s="4" t="s">
        <v>748</v>
      </c>
      <c r="E20" s="4" t="s">
        <v>13</v>
      </c>
      <c r="F20" s="14">
        <v>138115.35</v>
      </c>
      <c r="G20" s="4" t="s">
        <v>28</v>
      </c>
      <c r="H20" s="11" t="s">
        <v>100</v>
      </c>
      <c r="I20" s="15" t="s">
        <v>397</v>
      </c>
      <c r="J20" s="31" t="s">
        <v>475</v>
      </c>
      <c r="K20" s="21"/>
      <c r="L20" s="22">
        <v>126438.6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58"/>
      <c r="AE20" s="182">
        <f>SUM(Tabelle1[[#This Row],[bis Ende 2010
CHF inkl. MWST]:[2019
CHF inkl. MWST]])</f>
        <v>126438.6</v>
      </c>
      <c r="AF20" s="181"/>
      <c r="AG20" s="181">
        <f>Tabelle1[[#This Row],[Total Rechnungen]]</f>
        <v>126438.6</v>
      </c>
    </row>
    <row r="21" spans="1:33" s="2" customFormat="1" ht="12.6" hidden="1" customHeight="1" x14ac:dyDescent="0.15">
      <c r="A21" s="14" t="s">
        <v>589</v>
      </c>
      <c r="B21" s="337">
        <v>1355007138</v>
      </c>
      <c r="C21" s="22" t="s">
        <v>349</v>
      </c>
      <c r="D21" s="4" t="s">
        <v>9</v>
      </c>
      <c r="E21" s="4" t="s">
        <v>10</v>
      </c>
      <c r="F21" s="14">
        <v>92858.8</v>
      </c>
      <c r="G21" s="4" t="s">
        <v>28</v>
      </c>
      <c r="H21" s="11" t="s">
        <v>100</v>
      </c>
      <c r="I21" s="15" t="s">
        <v>397</v>
      </c>
      <c r="J21" s="31" t="s">
        <v>475</v>
      </c>
      <c r="K21" s="22">
        <v>75331.149999999994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58"/>
      <c r="AE21" s="182">
        <f>SUM(Tabelle1[[#This Row],[bis Ende 2010
CHF inkl. MWST]:[2019
CHF inkl. MWST]])</f>
        <v>75331.149999999994</v>
      </c>
      <c r="AF21" s="181"/>
      <c r="AG21" s="181">
        <f>Tabelle1[[#This Row],[Total Rechnungen]]</f>
        <v>75331.149999999994</v>
      </c>
    </row>
    <row r="22" spans="1:33" s="2" customFormat="1" ht="12.6" hidden="1" customHeight="1" x14ac:dyDescent="0.15">
      <c r="A22" s="14" t="s">
        <v>590</v>
      </c>
      <c r="B22" s="337">
        <v>1355009051</v>
      </c>
      <c r="C22" s="22" t="s">
        <v>349</v>
      </c>
      <c r="D22" s="4" t="s">
        <v>22</v>
      </c>
      <c r="E22" s="4" t="s">
        <v>30</v>
      </c>
      <c r="F22" s="14">
        <v>30844.2</v>
      </c>
      <c r="G22" s="4" t="s">
        <v>27</v>
      </c>
      <c r="H22" s="11" t="s">
        <v>100</v>
      </c>
      <c r="I22" s="15" t="s">
        <v>397</v>
      </c>
      <c r="J22" s="31" t="s">
        <v>475</v>
      </c>
      <c r="K22" s="22">
        <f>28285.25</f>
        <v>28285.25</v>
      </c>
      <c r="L22" s="22">
        <f>5072.55+522.7</f>
        <v>5595.25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58"/>
      <c r="AE22" s="182">
        <f>SUM(Tabelle1[[#This Row],[bis Ende 2010
CHF inkl. MWST]:[2019
CHF inkl. MWST]])</f>
        <v>33880.5</v>
      </c>
      <c r="AF22" s="181"/>
      <c r="AG22" s="181">
        <f>Tabelle1[[#This Row],[Total Rechnungen]]</f>
        <v>33880.5</v>
      </c>
    </row>
    <row r="23" spans="1:33" s="2" customFormat="1" ht="12.6" hidden="1" customHeight="1" x14ac:dyDescent="0.15">
      <c r="A23" s="14" t="s">
        <v>591</v>
      </c>
      <c r="B23" s="337">
        <v>1355010160</v>
      </c>
      <c r="C23" s="22" t="s">
        <v>349</v>
      </c>
      <c r="D23" s="4" t="s">
        <v>26</v>
      </c>
      <c r="E23" s="4" t="s">
        <v>25</v>
      </c>
      <c r="F23" s="23">
        <f>64985.2+17479.05+32497.4</f>
        <v>114961.65</v>
      </c>
      <c r="G23" s="4" t="s">
        <v>28</v>
      </c>
      <c r="H23" s="11" t="s">
        <v>99</v>
      </c>
      <c r="I23" s="15" t="s">
        <v>397</v>
      </c>
      <c r="J23" s="31" t="s">
        <v>480</v>
      </c>
      <c r="K23" s="22">
        <v>51269.15</v>
      </c>
      <c r="L23" s="22">
        <f>24395.36+6090.06</f>
        <v>30485.420000000002</v>
      </c>
      <c r="M23" s="22">
        <f>34930.47+8537.8</f>
        <v>43468.270000000004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58"/>
      <c r="AE23" s="182">
        <f>SUM(Tabelle1[[#This Row],[bis Ende 2010
CHF inkl. MWST]:[2019
CHF inkl. MWST]])</f>
        <v>125222.84000000001</v>
      </c>
      <c r="AF23" s="181"/>
      <c r="AG23" s="181">
        <f>Tabelle1[[#This Row],[Total Rechnungen]]</f>
        <v>125222.84000000001</v>
      </c>
    </row>
    <row r="24" spans="1:33" s="2" customFormat="1" ht="12.6" hidden="1" customHeight="1" x14ac:dyDescent="0.15">
      <c r="A24" s="14" t="s">
        <v>592</v>
      </c>
      <c r="B24" s="337">
        <v>1355013545</v>
      </c>
      <c r="C24" s="22" t="s">
        <v>349</v>
      </c>
      <c r="D24" s="4" t="s">
        <v>31</v>
      </c>
      <c r="E24" s="4" t="s">
        <v>32</v>
      </c>
      <c r="F24" s="14">
        <v>46533.05</v>
      </c>
      <c r="G24" s="4" t="s">
        <v>28</v>
      </c>
      <c r="H24" s="11" t="s">
        <v>100</v>
      </c>
      <c r="I24" s="15" t="s">
        <v>397</v>
      </c>
      <c r="J24" s="31" t="s">
        <v>475</v>
      </c>
      <c r="K24" s="23">
        <v>44753.15</v>
      </c>
      <c r="L24" s="21"/>
      <c r="M24" s="21"/>
      <c r="N24" s="21"/>
      <c r="O24" s="24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58"/>
      <c r="AE24" s="182">
        <f>SUM(Tabelle1[[#This Row],[bis Ende 2010
CHF inkl. MWST]:[2019
CHF inkl. MWST]])</f>
        <v>44753.15</v>
      </c>
      <c r="AF24" s="181"/>
      <c r="AG24" s="181">
        <f>Tabelle1[[#This Row],[Total Rechnungen]]</f>
        <v>44753.15</v>
      </c>
    </row>
    <row r="25" spans="1:33" s="2" customFormat="1" ht="12.6" hidden="1" customHeight="1" x14ac:dyDescent="0.15">
      <c r="A25" s="14" t="s">
        <v>593</v>
      </c>
      <c r="B25" s="337">
        <v>1355014104</v>
      </c>
      <c r="C25" s="22" t="s">
        <v>349</v>
      </c>
      <c r="D25" s="4" t="s">
        <v>16</v>
      </c>
      <c r="E25" s="4" t="s">
        <v>17</v>
      </c>
      <c r="F25" s="14">
        <v>77118.7</v>
      </c>
      <c r="G25" s="4" t="s">
        <v>28</v>
      </c>
      <c r="H25" s="11" t="s">
        <v>100</v>
      </c>
      <c r="I25" s="15" t="s">
        <v>397</v>
      </c>
      <c r="J25" s="31" t="s">
        <v>475</v>
      </c>
      <c r="K25" s="21"/>
      <c r="L25" s="22">
        <v>76697.649999999994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59"/>
      <c r="AE25" s="182">
        <f>SUM(Tabelle1[[#This Row],[bis Ende 2010
CHF inkl. MWST]:[2019
CHF inkl. MWST]])</f>
        <v>76697.649999999994</v>
      </c>
      <c r="AF25" s="181"/>
      <c r="AG25" s="181">
        <f>Tabelle1[[#This Row],[Total Rechnungen]]</f>
        <v>76697.649999999994</v>
      </c>
    </row>
    <row r="26" spans="1:33" s="2" customFormat="1" ht="12.6" hidden="1" customHeight="1" x14ac:dyDescent="0.15">
      <c r="A26" s="100" t="s">
        <v>594</v>
      </c>
      <c r="B26" s="337"/>
      <c r="C26" s="22" t="s">
        <v>349</v>
      </c>
      <c r="D26" s="99" t="s">
        <v>202</v>
      </c>
      <c r="E26" s="99" t="s">
        <v>199</v>
      </c>
      <c r="F26" s="100">
        <v>42</v>
      </c>
      <c r="G26" s="9" t="s">
        <v>27</v>
      </c>
      <c r="H26" s="13" t="s">
        <v>100</v>
      </c>
      <c r="I26" s="15" t="s">
        <v>397</v>
      </c>
      <c r="J26" s="31" t="s">
        <v>475</v>
      </c>
      <c r="K26" s="107"/>
      <c r="L26" s="107"/>
      <c r="M26" s="107"/>
      <c r="N26" s="104"/>
      <c r="O26" s="104"/>
      <c r="P26" s="98"/>
      <c r="Q26" s="100">
        <v>42</v>
      </c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7"/>
      <c r="AE26" s="182">
        <f>SUM(Tabelle1[[#This Row],[bis Ende 2010
CHF inkl. MWST]:[2019
CHF inkl. MWST]])</f>
        <v>42</v>
      </c>
      <c r="AF26" s="181"/>
      <c r="AG26" s="181">
        <f>Tabelle1[[#This Row],[Total Rechnungen]]</f>
        <v>42</v>
      </c>
    </row>
    <row r="27" spans="1:33" s="2" customFormat="1" ht="12.6" hidden="1" customHeight="1" x14ac:dyDescent="0.15">
      <c r="A27" s="100" t="s">
        <v>594</v>
      </c>
      <c r="B27" s="337"/>
      <c r="C27" s="22" t="s">
        <v>349</v>
      </c>
      <c r="D27" s="99" t="s">
        <v>203</v>
      </c>
      <c r="E27" s="99" t="s">
        <v>200</v>
      </c>
      <c r="F27" s="100">
        <v>1030.75</v>
      </c>
      <c r="G27" s="9" t="s">
        <v>27</v>
      </c>
      <c r="H27" s="13" t="s">
        <v>100</v>
      </c>
      <c r="I27" s="15" t="s">
        <v>397</v>
      </c>
      <c r="J27" s="31" t="s">
        <v>475</v>
      </c>
      <c r="K27" s="107"/>
      <c r="L27" s="107"/>
      <c r="M27" s="107"/>
      <c r="N27" s="104"/>
      <c r="O27" s="104"/>
      <c r="P27" s="98"/>
      <c r="Q27" s="100">
        <v>1030.75</v>
      </c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7"/>
      <c r="AE27" s="182">
        <f>SUM(Tabelle1[[#This Row],[bis Ende 2010
CHF inkl. MWST]:[2019
CHF inkl. MWST]])</f>
        <v>1030.75</v>
      </c>
      <c r="AF27" s="181"/>
      <c r="AG27" s="181">
        <f>Tabelle1[[#This Row],[Total Rechnungen]]</f>
        <v>1030.75</v>
      </c>
    </row>
    <row r="28" spans="1:33" s="2" customFormat="1" ht="12.6" hidden="1" customHeight="1" x14ac:dyDescent="0.15">
      <c r="A28" s="22" t="s">
        <v>595</v>
      </c>
      <c r="B28" s="337"/>
      <c r="C28" s="22" t="s">
        <v>349</v>
      </c>
      <c r="D28" s="3" t="s">
        <v>16</v>
      </c>
      <c r="E28" s="3" t="s">
        <v>39</v>
      </c>
      <c r="F28" s="22">
        <v>5646.85</v>
      </c>
      <c r="G28" s="3" t="s">
        <v>28</v>
      </c>
      <c r="H28" s="11" t="s">
        <v>99</v>
      </c>
      <c r="I28" s="15" t="s">
        <v>397</v>
      </c>
      <c r="J28" s="31" t="s">
        <v>480</v>
      </c>
      <c r="K28" s="21"/>
      <c r="L28" s="22">
        <f>4555.55+755.25</f>
        <v>5310.8</v>
      </c>
      <c r="M28" s="21"/>
      <c r="N28" s="21"/>
      <c r="O28" s="24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58"/>
      <c r="AE28" s="182">
        <f>SUM(Tabelle1[[#This Row],[bis Ende 2010
CHF inkl. MWST]:[2019
CHF inkl. MWST]])</f>
        <v>5310.8</v>
      </c>
      <c r="AF28" s="181"/>
      <c r="AG28" s="181">
        <f>Tabelle1[[#This Row],[Total Rechnungen]]</f>
        <v>5310.8</v>
      </c>
    </row>
    <row r="29" spans="1:33" s="2" customFormat="1" ht="12.6" hidden="1" customHeight="1" x14ac:dyDescent="0.15">
      <c r="A29" s="22" t="s">
        <v>595</v>
      </c>
      <c r="B29" s="337"/>
      <c r="C29" s="22" t="s">
        <v>349</v>
      </c>
      <c r="D29" s="3" t="s">
        <v>40</v>
      </c>
      <c r="E29" s="3" t="s">
        <v>41</v>
      </c>
      <c r="F29" s="22">
        <v>3694.2</v>
      </c>
      <c r="G29" s="3" t="s">
        <v>28</v>
      </c>
      <c r="H29" s="11" t="s">
        <v>100</v>
      </c>
      <c r="I29" s="15" t="s">
        <v>397</v>
      </c>
      <c r="J29" s="17" t="s">
        <v>475</v>
      </c>
      <c r="K29" s="21"/>
      <c r="L29" s="22">
        <f>1926.3+1375.9+1074.6</f>
        <v>4376.7999999999993</v>
      </c>
      <c r="M29" s="22">
        <v>1403.8</v>
      </c>
      <c r="N29" s="22">
        <v>2733.7</v>
      </c>
      <c r="O29" s="24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58"/>
      <c r="AE29" s="182">
        <f>SUM(Tabelle1[[#This Row],[bis Ende 2010
CHF inkl. MWST]:[2019
CHF inkl. MWST]])</f>
        <v>8514.2999999999993</v>
      </c>
      <c r="AF29" s="181"/>
      <c r="AG29" s="181">
        <f>Tabelle1[[#This Row],[Total Rechnungen]]</f>
        <v>8514.2999999999993</v>
      </c>
    </row>
    <row r="30" spans="1:33" s="2" customFormat="1" ht="12.6" hidden="1" customHeight="1" x14ac:dyDescent="0.15">
      <c r="A30" s="22" t="s">
        <v>595</v>
      </c>
      <c r="B30" s="337"/>
      <c r="C30" s="22" t="s">
        <v>349</v>
      </c>
      <c r="D30" s="3" t="s">
        <v>49</v>
      </c>
      <c r="E30" s="3" t="s">
        <v>71</v>
      </c>
      <c r="F30" s="32">
        <v>3334.35</v>
      </c>
      <c r="G30" s="3" t="s">
        <v>28</v>
      </c>
      <c r="H30" s="11" t="s">
        <v>100</v>
      </c>
      <c r="I30" s="15" t="s">
        <v>397</v>
      </c>
      <c r="J30" s="17" t="s">
        <v>475</v>
      </c>
      <c r="K30" s="21"/>
      <c r="L30" s="22">
        <v>3334.35</v>
      </c>
      <c r="M30" s="21"/>
      <c r="N30" s="21"/>
      <c r="O30" s="24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58"/>
      <c r="AE30" s="182">
        <f>SUM(Tabelle1[[#This Row],[bis Ende 2010
CHF inkl. MWST]:[2019
CHF inkl. MWST]])</f>
        <v>3334.35</v>
      </c>
      <c r="AF30" s="181"/>
      <c r="AG30" s="181">
        <f>Tabelle1[[#This Row],[Total Rechnungen]]</f>
        <v>3334.35</v>
      </c>
    </row>
    <row r="31" spans="1:33" s="2" customFormat="1" ht="12.6" hidden="1" customHeight="1" x14ac:dyDescent="0.15">
      <c r="A31" s="22" t="s">
        <v>595</v>
      </c>
      <c r="B31" s="337"/>
      <c r="C31" s="22" t="s">
        <v>349</v>
      </c>
      <c r="D31" s="3" t="s">
        <v>36</v>
      </c>
      <c r="E31" s="3" t="s">
        <v>51</v>
      </c>
      <c r="F31" s="32">
        <v>4223.05</v>
      </c>
      <c r="G31" s="3" t="s">
        <v>28</v>
      </c>
      <c r="H31" s="11" t="s">
        <v>99</v>
      </c>
      <c r="I31" s="15" t="s">
        <v>397</v>
      </c>
      <c r="J31" s="31" t="s">
        <v>480</v>
      </c>
      <c r="K31" s="21"/>
      <c r="L31" s="22">
        <v>3128.05</v>
      </c>
      <c r="M31" s="21"/>
      <c r="N31" s="21"/>
      <c r="O31" s="24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58"/>
      <c r="AE31" s="182">
        <f>SUM(Tabelle1[[#This Row],[bis Ende 2010
CHF inkl. MWST]:[2019
CHF inkl. MWST]])</f>
        <v>3128.05</v>
      </c>
      <c r="AF31" s="181"/>
      <c r="AG31" s="181">
        <f>Tabelle1[[#This Row],[Total Rechnungen]]</f>
        <v>3128.05</v>
      </c>
    </row>
    <row r="32" spans="1:33" s="2" customFormat="1" ht="12.6" hidden="1" customHeight="1" x14ac:dyDescent="0.15">
      <c r="A32" s="22" t="s">
        <v>596</v>
      </c>
      <c r="B32" s="337"/>
      <c r="C32" s="22" t="s">
        <v>349</v>
      </c>
      <c r="D32" s="4" t="s">
        <v>22</v>
      </c>
      <c r="E32" s="3" t="s">
        <v>50</v>
      </c>
      <c r="F32" s="32">
        <v>10750</v>
      </c>
      <c r="G32" s="3" t="s">
        <v>28</v>
      </c>
      <c r="H32" s="11" t="s">
        <v>99</v>
      </c>
      <c r="I32" s="15" t="s">
        <v>397</v>
      </c>
      <c r="J32" s="31" t="s">
        <v>480</v>
      </c>
      <c r="K32" s="21"/>
      <c r="L32" s="22">
        <v>5925.6</v>
      </c>
      <c r="M32" s="22">
        <f>914.15+3351.95+1083.65</f>
        <v>5349.75</v>
      </c>
      <c r="N32" s="33"/>
      <c r="O32" s="34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58"/>
      <c r="AE32" s="182">
        <f>SUM(Tabelle1[[#This Row],[bis Ende 2010
CHF inkl. MWST]:[2019
CHF inkl. MWST]])</f>
        <v>11275.35</v>
      </c>
      <c r="AF32" s="181"/>
      <c r="AG32" s="181">
        <f>Tabelle1[[#This Row],[Total Rechnungen]]</f>
        <v>11275.35</v>
      </c>
    </row>
    <row r="33" spans="1:34" s="2" customFormat="1" ht="12.6" hidden="1" customHeight="1" x14ac:dyDescent="0.15">
      <c r="A33" s="22" t="s">
        <v>595</v>
      </c>
      <c r="B33" s="337"/>
      <c r="C33" s="22" t="s">
        <v>349</v>
      </c>
      <c r="D33" s="4" t="s">
        <v>16</v>
      </c>
      <c r="E33" s="4" t="s">
        <v>38</v>
      </c>
      <c r="F33" s="14">
        <v>4800</v>
      </c>
      <c r="G33" s="4" t="s">
        <v>28</v>
      </c>
      <c r="H33" s="11" t="s">
        <v>100</v>
      </c>
      <c r="I33" s="15" t="s">
        <v>397</v>
      </c>
      <c r="J33" s="31" t="s">
        <v>475</v>
      </c>
      <c r="K33" s="22">
        <v>4800</v>
      </c>
      <c r="L33" s="21"/>
      <c r="M33" s="21"/>
      <c r="N33" s="21"/>
      <c r="O33" s="24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58"/>
      <c r="AE33" s="182">
        <f>SUM(Tabelle1[[#This Row],[bis Ende 2010
CHF inkl. MWST]:[2019
CHF inkl. MWST]])</f>
        <v>4800</v>
      </c>
      <c r="AF33" s="181"/>
      <c r="AG33" s="181">
        <f>Tabelle1[[#This Row],[Total Rechnungen]]</f>
        <v>4800</v>
      </c>
    </row>
    <row r="34" spans="1:34" s="2" customFormat="1" ht="12.6" hidden="1" customHeight="1" x14ac:dyDescent="0.15">
      <c r="A34" s="23" t="s">
        <v>597</v>
      </c>
      <c r="B34" s="337"/>
      <c r="C34" s="22" t="s">
        <v>349</v>
      </c>
      <c r="D34" s="9" t="s">
        <v>45</v>
      </c>
      <c r="E34" s="7" t="s">
        <v>78</v>
      </c>
      <c r="F34" s="23">
        <v>920</v>
      </c>
      <c r="G34" s="9" t="s">
        <v>28</v>
      </c>
      <c r="H34" s="13" t="s">
        <v>97</v>
      </c>
      <c r="I34" s="15" t="s">
        <v>397</v>
      </c>
      <c r="J34" s="35" t="s">
        <v>479</v>
      </c>
      <c r="K34" s="21"/>
      <c r="L34" s="21"/>
      <c r="M34" s="24"/>
      <c r="N34" s="24"/>
      <c r="O34" s="23">
        <v>894.25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58"/>
      <c r="AE34" s="182">
        <f>SUM(Tabelle1[[#This Row],[bis Ende 2010
CHF inkl. MWST]:[2019
CHF inkl. MWST]])</f>
        <v>894.25</v>
      </c>
      <c r="AF34" s="181"/>
      <c r="AG34" s="181">
        <f>Tabelle1[[#This Row],[Total Rechnungen]]</f>
        <v>894.25</v>
      </c>
    </row>
    <row r="35" spans="1:34" s="2" customFormat="1" ht="12.6" hidden="1" customHeight="1" x14ac:dyDescent="0.15">
      <c r="A35" s="23" t="s">
        <v>597</v>
      </c>
      <c r="B35" s="337"/>
      <c r="C35" s="22" t="s">
        <v>349</v>
      </c>
      <c r="D35" s="7" t="s">
        <v>79</v>
      </c>
      <c r="E35" s="9" t="s">
        <v>64</v>
      </c>
      <c r="F35" s="23">
        <v>6584.85</v>
      </c>
      <c r="G35" s="9" t="s">
        <v>28</v>
      </c>
      <c r="H35" s="13" t="s">
        <v>100</v>
      </c>
      <c r="I35" s="15" t="s">
        <v>397</v>
      </c>
      <c r="J35" s="31" t="s">
        <v>475</v>
      </c>
      <c r="K35" s="36"/>
      <c r="L35" s="38"/>
      <c r="M35" s="21"/>
      <c r="N35" s="23">
        <f>1173.05+5113.2</f>
        <v>6286.25</v>
      </c>
      <c r="O35" s="24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58"/>
      <c r="AE35" s="182">
        <f>SUM(Tabelle1[[#This Row],[bis Ende 2010
CHF inkl. MWST]:[2019
CHF inkl. MWST]])</f>
        <v>6286.25</v>
      </c>
      <c r="AF35" s="181"/>
      <c r="AG35" s="181">
        <f>Tabelle1[[#This Row],[Total Rechnungen]]</f>
        <v>6286.25</v>
      </c>
    </row>
    <row r="36" spans="1:34" s="2" customFormat="1" ht="12.6" hidden="1" customHeight="1" x14ac:dyDescent="0.15">
      <c r="A36" s="14" t="s">
        <v>597</v>
      </c>
      <c r="B36" s="337"/>
      <c r="C36" s="22" t="s">
        <v>349</v>
      </c>
      <c r="D36" s="3" t="s">
        <v>503</v>
      </c>
      <c r="E36" s="3" t="s">
        <v>63</v>
      </c>
      <c r="F36" s="22">
        <v>5177.25</v>
      </c>
      <c r="G36" s="4" t="s">
        <v>28</v>
      </c>
      <c r="H36" s="11" t="s">
        <v>100</v>
      </c>
      <c r="I36" s="15" t="s">
        <v>397</v>
      </c>
      <c r="J36" s="31" t="s">
        <v>475</v>
      </c>
      <c r="K36" s="21"/>
      <c r="L36" s="21"/>
      <c r="M36" s="21"/>
      <c r="N36" s="22">
        <v>5591.45</v>
      </c>
      <c r="O36" s="24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58"/>
      <c r="AE36" s="182">
        <f>SUM(Tabelle1[[#This Row],[bis Ende 2010
CHF inkl. MWST]:[2019
CHF inkl. MWST]])</f>
        <v>5591.45</v>
      </c>
      <c r="AF36" s="181"/>
      <c r="AG36" s="181">
        <f>Tabelle1[[#This Row],[Total Rechnungen]]</f>
        <v>5591.45</v>
      </c>
    </row>
    <row r="37" spans="1:34" s="2" customFormat="1" ht="12.6" hidden="1" customHeight="1" x14ac:dyDescent="0.15">
      <c r="A37" s="14" t="s">
        <v>597</v>
      </c>
      <c r="B37" s="337"/>
      <c r="C37" s="22" t="s">
        <v>349</v>
      </c>
      <c r="D37" s="3" t="s">
        <v>80</v>
      </c>
      <c r="E37" s="3" t="s">
        <v>81</v>
      </c>
      <c r="F37" s="22">
        <v>308.55</v>
      </c>
      <c r="G37" s="4" t="s">
        <v>28</v>
      </c>
      <c r="H37" s="11" t="s">
        <v>101</v>
      </c>
      <c r="I37" s="15" t="s">
        <v>397</v>
      </c>
      <c r="J37" s="31" t="s">
        <v>488</v>
      </c>
      <c r="K37" s="21"/>
      <c r="L37" s="21"/>
      <c r="M37" s="21"/>
      <c r="N37" s="23">
        <v>308.55</v>
      </c>
      <c r="O37" s="24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58"/>
      <c r="AE37" s="182">
        <f>SUM(Tabelle1[[#This Row],[bis Ende 2010
CHF inkl. MWST]:[2019
CHF inkl. MWST]])</f>
        <v>308.55</v>
      </c>
      <c r="AF37" s="181"/>
      <c r="AG37" s="181">
        <f>Tabelle1[[#This Row],[Total Rechnungen]]</f>
        <v>308.55</v>
      </c>
      <c r="AH37" s="29"/>
    </row>
    <row r="38" spans="1:34" s="2" customFormat="1" ht="12.6" hidden="1" customHeight="1" x14ac:dyDescent="0.15">
      <c r="A38" s="23" t="s">
        <v>598</v>
      </c>
      <c r="B38" s="337"/>
      <c r="C38" s="22" t="s">
        <v>349</v>
      </c>
      <c r="D38" s="9" t="s">
        <v>105</v>
      </c>
      <c r="E38" s="9" t="s">
        <v>106</v>
      </c>
      <c r="F38" s="23">
        <v>237.6</v>
      </c>
      <c r="G38" s="7" t="s">
        <v>28</v>
      </c>
      <c r="H38" s="13" t="s">
        <v>97</v>
      </c>
      <c r="I38" s="15" t="s">
        <v>397</v>
      </c>
      <c r="J38" s="35" t="s">
        <v>479</v>
      </c>
      <c r="K38" s="21"/>
      <c r="L38" s="21"/>
      <c r="M38" s="21"/>
      <c r="N38" s="24"/>
      <c r="O38" s="23">
        <v>237.6</v>
      </c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58"/>
      <c r="AE38" s="182">
        <f>SUM(Tabelle1[[#This Row],[bis Ende 2010
CHF inkl. MWST]:[2019
CHF inkl. MWST]])</f>
        <v>237.6</v>
      </c>
      <c r="AF38" s="181"/>
      <c r="AG38" s="181">
        <f>Tabelle1[[#This Row],[Total Rechnungen]]</f>
        <v>237.6</v>
      </c>
    </row>
    <row r="39" spans="1:34" s="2" customFormat="1" ht="12.6" hidden="1" customHeight="1" x14ac:dyDescent="0.15">
      <c r="A39" s="23" t="s">
        <v>598</v>
      </c>
      <c r="B39" s="337"/>
      <c r="C39" s="22" t="s">
        <v>349</v>
      </c>
      <c r="D39" s="9" t="s">
        <v>107</v>
      </c>
      <c r="E39" s="9" t="s">
        <v>95</v>
      </c>
      <c r="F39" s="23">
        <v>10000</v>
      </c>
      <c r="G39" s="9" t="s">
        <v>28</v>
      </c>
      <c r="H39" s="13" t="s">
        <v>101</v>
      </c>
      <c r="I39" s="15" t="s">
        <v>397</v>
      </c>
      <c r="J39" s="314" t="s">
        <v>485</v>
      </c>
      <c r="K39" s="21"/>
      <c r="L39" s="21"/>
      <c r="M39" s="21"/>
      <c r="N39" s="24"/>
      <c r="O39" s="23">
        <v>6539.83</v>
      </c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58"/>
      <c r="AE39" s="182">
        <f>SUM(Tabelle1[[#This Row],[bis Ende 2010
CHF inkl. MWST]:[2019
CHF inkl. MWST]])</f>
        <v>6539.83</v>
      </c>
      <c r="AF39" s="181"/>
      <c r="AG39" s="181">
        <f>Tabelle1[[#This Row],[Total Rechnungen]]</f>
        <v>6539.83</v>
      </c>
    </row>
    <row r="40" spans="1:34" s="2" customFormat="1" ht="12.6" hidden="1" customHeight="1" x14ac:dyDescent="0.15">
      <c r="A40" s="23" t="s">
        <v>598</v>
      </c>
      <c r="B40" s="337"/>
      <c r="C40" s="22" t="s">
        <v>349</v>
      </c>
      <c r="D40" s="7" t="s">
        <v>0</v>
      </c>
      <c r="E40" s="9" t="s">
        <v>127</v>
      </c>
      <c r="F40" s="23">
        <v>150</v>
      </c>
      <c r="G40" s="9" t="s">
        <v>28</v>
      </c>
      <c r="H40" s="13" t="s">
        <v>101</v>
      </c>
      <c r="I40" s="15" t="s">
        <v>397</v>
      </c>
      <c r="J40" s="314" t="s">
        <v>485</v>
      </c>
      <c r="K40" s="21"/>
      <c r="L40" s="21"/>
      <c r="M40" s="21"/>
      <c r="N40" s="24"/>
      <c r="O40" s="23">
        <v>150</v>
      </c>
      <c r="P40" s="37"/>
      <c r="Q40" s="37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8"/>
      <c r="AE40" s="182">
        <f>SUM(Tabelle1[[#This Row],[bis Ende 2010
CHF inkl. MWST]:[2019
CHF inkl. MWST]])</f>
        <v>150</v>
      </c>
      <c r="AF40" s="181"/>
      <c r="AG40" s="181">
        <f>Tabelle1[[#This Row],[Total Rechnungen]]</f>
        <v>150</v>
      </c>
    </row>
    <row r="41" spans="1:34" s="2" customFormat="1" ht="12.6" hidden="1" customHeight="1" x14ac:dyDescent="0.15">
      <c r="A41" s="23" t="s">
        <v>598</v>
      </c>
      <c r="B41" s="337"/>
      <c r="C41" s="22" t="s">
        <v>349</v>
      </c>
      <c r="D41" s="9" t="s">
        <v>108</v>
      </c>
      <c r="E41" s="9" t="s">
        <v>95</v>
      </c>
      <c r="F41" s="23">
        <v>3000</v>
      </c>
      <c r="G41" s="9" t="s">
        <v>28</v>
      </c>
      <c r="H41" s="13" t="s">
        <v>101</v>
      </c>
      <c r="I41" s="15" t="s">
        <v>397</v>
      </c>
      <c r="J41" s="314" t="s">
        <v>485</v>
      </c>
      <c r="K41" s="21"/>
      <c r="L41" s="21"/>
      <c r="M41" s="21"/>
      <c r="N41" s="24"/>
      <c r="O41" s="23">
        <v>915.2</v>
      </c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58"/>
      <c r="AE41" s="182">
        <f>SUM(Tabelle1[[#This Row],[bis Ende 2010
CHF inkl. MWST]:[2019
CHF inkl. MWST]])</f>
        <v>915.2</v>
      </c>
      <c r="AF41" s="181"/>
      <c r="AG41" s="181">
        <f>Tabelle1[[#This Row],[Total Rechnungen]]</f>
        <v>915.2</v>
      </c>
    </row>
    <row r="42" spans="1:34" s="2" customFormat="1" ht="12.6" hidden="1" customHeight="1" x14ac:dyDescent="0.15">
      <c r="A42" s="23" t="s">
        <v>599</v>
      </c>
      <c r="B42" s="337"/>
      <c r="C42" s="22" t="s">
        <v>349</v>
      </c>
      <c r="D42" s="7" t="s">
        <v>117</v>
      </c>
      <c r="E42" s="9" t="s">
        <v>118</v>
      </c>
      <c r="F42" s="23">
        <v>3034.25</v>
      </c>
      <c r="G42" s="9" t="s">
        <v>28</v>
      </c>
      <c r="H42" s="13" t="s">
        <v>97</v>
      </c>
      <c r="I42" s="15" t="s">
        <v>397</v>
      </c>
      <c r="J42" s="35" t="s">
        <v>479</v>
      </c>
      <c r="K42" s="21"/>
      <c r="L42" s="21"/>
      <c r="M42" s="21"/>
      <c r="N42" s="24"/>
      <c r="O42" s="45"/>
      <c r="P42" s="23">
        <v>3034.25</v>
      </c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58"/>
      <c r="AE42" s="182">
        <f>SUM(Tabelle1[[#This Row],[bis Ende 2010
CHF inkl. MWST]:[2019
CHF inkl. MWST]])</f>
        <v>3034.25</v>
      </c>
      <c r="AF42" s="181"/>
      <c r="AG42" s="181">
        <f>Tabelle1[[#This Row],[Total Rechnungen]]</f>
        <v>3034.25</v>
      </c>
    </row>
    <row r="43" spans="1:34" s="2" customFormat="1" ht="12.6" hidden="1" customHeight="1" x14ac:dyDescent="0.15">
      <c r="A43" s="23" t="s">
        <v>598</v>
      </c>
      <c r="B43" s="337"/>
      <c r="C43" s="22" t="s">
        <v>349</v>
      </c>
      <c r="D43" s="7" t="s">
        <v>22</v>
      </c>
      <c r="E43" s="9" t="s">
        <v>113</v>
      </c>
      <c r="F43" s="23">
        <v>4671.1499999999996</v>
      </c>
      <c r="G43" s="9" t="s">
        <v>28</v>
      </c>
      <c r="H43" s="13" t="s">
        <v>101</v>
      </c>
      <c r="I43" s="15" t="s">
        <v>397</v>
      </c>
      <c r="J43" s="35" t="s">
        <v>489</v>
      </c>
      <c r="K43" s="21"/>
      <c r="L43" s="21"/>
      <c r="M43" s="21"/>
      <c r="N43" s="24"/>
      <c r="O43" s="45"/>
      <c r="P43" s="23">
        <v>2986.8</v>
      </c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58"/>
      <c r="AE43" s="182">
        <f>SUM(Tabelle1[[#This Row],[bis Ende 2010
CHF inkl. MWST]:[2019
CHF inkl. MWST]])</f>
        <v>2986.8</v>
      </c>
      <c r="AF43" s="181"/>
      <c r="AG43" s="181">
        <f>Tabelle1[[#This Row],[Total Rechnungen]]</f>
        <v>2986.8</v>
      </c>
    </row>
    <row r="44" spans="1:34" s="2" customFormat="1" ht="12.6" hidden="1" customHeight="1" x14ac:dyDescent="0.15">
      <c r="A44" s="23" t="s">
        <v>599</v>
      </c>
      <c r="B44" s="337"/>
      <c r="C44" s="22" t="s">
        <v>349</v>
      </c>
      <c r="D44" s="9" t="s">
        <v>16</v>
      </c>
      <c r="E44" s="9" t="s">
        <v>119</v>
      </c>
      <c r="F44" s="23">
        <v>5605.2</v>
      </c>
      <c r="G44" s="9" t="s">
        <v>27</v>
      </c>
      <c r="H44" s="13" t="s">
        <v>101</v>
      </c>
      <c r="I44" s="15" t="s">
        <v>397</v>
      </c>
      <c r="J44" s="102" t="s">
        <v>477</v>
      </c>
      <c r="K44" s="21"/>
      <c r="L44" s="21"/>
      <c r="M44" s="21"/>
      <c r="N44" s="24"/>
      <c r="O44" s="45"/>
      <c r="P44" s="23">
        <v>2948.4</v>
      </c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58"/>
      <c r="AE44" s="182">
        <f>SUM(Tabelle1[[#This Row],[bis Ende 2010
CHF inkl. MWST]:[2019
CHF inkl. MWST]])</f>
        <v>2948.4</v>
      </c>
      <c r="AF44" s="181"/>
      <c r="AG44" s="181">
        <f>Tabelle1[[#This Row],[Total Rechnungen]]</f>
        <v>2948.4</v>
      </c>
    </row>
    <row r="45" spans="1:34" s="2" customFormat="1" ht="12.6" hidden="1" customHeight="1" x14ac:dyDescent="0.15">
      <c r="A45" s="23" t="s">
        <v>599</v>
      </c>
      <c r="B45" s="337"/>
      <c r="C45" s="22" t="s">
        <v>349</v>
      </c>
      <c r="D45" s="9" t="s">
        <v>16</v>
      </c>
      <c r="E45" s="9" t="s">
        <v>125</v>
      </c>
      <c r="F45" s="23">
        <v>4341.6000000000004</v>
      </c>
      <c r="G45" s="9" t="s">
        <v>28</v>
      </c>
      <c r="H45" s="13" t="s">
        <v>97</v>
      </c>
      <c r="I45" s="15" t="s">
        <v>397</v>
      </c>
      <c r="J45" s="35" t="s">
        <v>479</v>
      </c>
      <c r="K45" s="21"/>
      <c r="L45" s="21"/>
      <c r="M45" s="21"/>
      <c r="N45" s="24"/>
      <c r="O45" s="45"/>
      <c r="P45" s="23">
        <v>4341.6000000000004</v>
      </c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58"/>
      <c r="AE45" s="182">
        <f>SUM(Tabelle1[[#This Row],[bis Ende 2010
CHF inkl. MWST]:[2019
CHF inkl. MWST]])</f>
        <v>4341.6000000000004</v>
      </c>
      <c r="AF45" s="181"/>
      <c r="AG45" s="181">
        <f>Tabelle1[[#This Row],[Total Rechnungen]]</f>
        <v>4341.6000000000004</v>
      </c>
    </row>
    <row r="46" spans="1:34" s="2" customFormat="1" ht="12.6" hidden="1" customHeight="1" x14ac:dyDescent="0.15">
      <c r="A46" s="23" t="s">
        <v>599</v>
      </c>
      <c r="B46" s="337"/>
      <c r="C46" s="22" t="s">
        <v>349</v>
      </c>
      <c r="D46" s="9" t="s">
        <v>120</v>
      </c>
      <c r="E46" s="9" t="s">
        <v>93</v>
      </c>
      <c r="F46" s="23">
        <v>1200</v>
      </c>
      <c r="G46" s="9" t="s">
        <v>27</v>
      </c>
      <c r="H46" s="13" t="s">
        <v>101</v>
      </c>
      <c r="I46" s="15" t="s">
        <v>397</v>
      </c>
      <c r="J46" s="102" t="s">
        <v>477</v>
      </c>
      <c r="K46" s="21"/>
      <c r="L46" s="21"/>
      <c r="M46" s="21"/>
      <c r="N46" s="24"/>
      <c r="O46" s="45"/>
      <c r="P46" s="23">
        <v>1130.75</v>
      </c>
      <c r="Q46" s="37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58"/>
      <c r="AE46" s="182">
        <f>SUM(Tabelle1[[#This Row],[bis Ende 2010
CHF inkl. MWST]:[2019
CHF inkl. MWST]])</f>
        <v>1130.75</v>
      </c>
      <c r="AF46" s="181"/>
      <c r="AG46" s="181">
        <f>Tabelle1[[#This Row],[Total Rechnungen]]</f>
        <v>1130.75</v>
      </c>
    </row>
    <row r="47" spans="1:34" s="2" customFormat="1" ht="12.6" hidden="1" customHeight="1" x14ac:dyDescent="0.15">
      <c r="A47" s="23" t="s">
        <v>599</v>
      </c>
      <c r="B47" s="337"/>
      <c r="C47" s="22" t="s">
        <v>349</v>
      </c>
      <c r="D47" s="48" t="s">
        <v>34</v>
      </c>
      <c r="E47" s="48" t="s">
        <v>68</v>
      </c>
      <c r="F47" s="23">
        <v>1306.7</v>
      </c>
      <c r="G47" s="9" t="s">
        <v>28</v>
      </c>
      <c r="H47" s="13" t="s">
        <v>100</v>
      </c>
      <c r="I47" s="15" t="s">
        <v>397</v>
      </c>
      <c r="J47" s="17" t="s">
        <v>475</v>
      </c>
      <c r="K47" s="21"/>
      <c r="L47" s="21"/>
      <c r="M47" s="21"/>
      <c r="N47" s="24"/>
      <c r="O47" s="45"/>
      <c r="P47" s="23">
        <v>1158</v>
      </c>
      <c r="Q47" s="37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58"/>
      <c r="AE47" s="182">
        <f>SUM(Tabelle1[[#This Row],[bis Ende 2010
CHF inkl. MWST]:[2019
CHF inkl. MWST]])</f>
        <v>1158</v>
      </c>
      <c r="AF47" s="181"/>
      <c r="AG47" s="181">
        <f>Tabelle1[[#This Row],[Total Rechnungen]]</f>
        <v>1158</v>
      </c>
    </row>
    <row r="48" spans="1:34" s="2" customFormat="1" ht="12.6" hidden="1" customHeight="1" x14ac:dyDescent="0.15">
      <c r="A48" s="23" t="s">
        <v>594</v>
      </c>
      <c r="B48" s="337"/>
      <c r="C48" s="22" t="s">
        <v>349</v>
      </c>
      <c r="D48" s="9" t="s">
        <v>108</v>
      </c>
      <c r="E48" s="9" t="s">
        <v>143</v>
      </c>
      <c r="F48" s="23">
        <v>1374.85</v>
      </c>
      <c r="G48" s="9" t="s">
        <v>28</v>
      </c>
      <c r="H48" s="13" t="s">
        <v>101</v>
      </c>
      <c r="I48" s="15" t="s">
        <v>397</v>
      </c>
      <c r="J48" s="35" t="s">
        <v>490</v>
      </c>
      <c r="K48" s="21"/>
      <c r="L48" s="21"/>
      <c r="M48" s="21"/>
      <c r="N48" s="24"/>
      <c r="O48" s="45"/>
      <c r="P48" s="37"/>
      <c r="Q48" s="23">
        <v>1374.85</v>
      </c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58"/>
      <c r="AE48" s="182">
        <f>SUM(Tabelle1[[#This Row],[bis Ende 2010
CHF inkl. MWST]:[2019
CHF inkl. MWST]])</f>
        <v>1374.85</v>
      </c>
      <c r="AF48" s="181"/>
      <c r="AG48" s="181">
        <f>Tabelle1[[#This Row],[Total Rechnungen]]</f>
        <v>1374.85</v>
      </c>
    </row>
    <row r="49" spans="1:35" s="2" customFormat="1" ht="12.6" hidden="1" customHeight="1" x14ac:dyDescent="0.15">
      <c r="A49" s="100" t="s">
        <v>594</v>
      </c>
      <c r="B49" s="337"/>
      <c r="C49" s="22" t="s">
        <v>349</v>
      </c>
      <c r="D49" s="99" t="s">
        <v>165</v>
      </c>
      <c r="E49" s="99" t="s">
        <v>166</v>
      </c>
      <c r="F49" s="100">
        <v>9122.15</v>
      </c>
      <c r="G49" s="99" t="s">
        <v>28</v>
      </c>
      <c r="H49" s="101" t="s">
        <v>97</v>
      </c>
      <c r="I49" s="15" t="s">
        <v>397</v>
      </c>
      <c r="J49" s="35" t="s">
        <v>479</v>
      </c>
      <c r="K49" s="95"/>
      <c r="L49" s="95"/>
      <c r="M49" s="95"/>
      <c r="N49" s="96"/>
      <c r="O49" s="97"/>
      <c r="P49" s="98"/>
      <c r="Q49" s="100">
        <v>6449.45</v>
      </c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110"/>
      <c r="AE49" s="182">
        <f>SUM(Tabelle1[[#This Row],[bis Ende 2010
CHF inkl. MWST]:[2019
CHF inkl. MWST]])</f>
        <v>6449.45</v>
      </c>
      <c r="AF49" s="181"/>
      <c r="AG49" s="181">
        <f>Tabelle1[[#This Row],[Total Rechnungen]]</f>
        <v>6449.45</v>
      </c>
    </row>
    <row r="50" spans="1:35" s="2" customFormat="1" hidden="1" x14ac:dyDescent="0.15">
      <c r="A50" s="100" t="s">
        <v>594</v>
      </c>
      <c r="B50" s="337"/>
      <c r="C50" s="22" t="s">
        <v>349</v>
      </c>
      <c r="D50" s="99" t="s">
        <v>179</v>
      </c>
      <c r="E50" s="99" t="s">
        <v>180</v>
      </c>
      <c r="F50" s="100">
        <v>697.45</v>
      </c>
      <c r="G50" s="99" t="s">
        <v>27</v>
      </c>
      <c r="H50" s="101" t="s">
        <v>100</v>
      </c>
      <c r="I50" s="15" t="s">
        <v>397</v>
      </c>
      <c r="J50" s="102" t="s">
        <v>475</v>
      </c>
      <c r="K50" s="75"/>
      <c r="L50" s="75"/>
      <c r="M50" s="75"/>
      <c r="N50" s="103"/>
      <c r="O50" s="104"/>
      <c r="P50" s="106"/>
      <c r="Q50" s="122">
        <v>318.60000000000002</v>
      </c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110"/>
      <c r="AE50" s="182">
        <f>SUM(Tabelle1[[#This Row],[bis Ende 2010
CHF inkl. MWST]:[2019
CHF inkl. MWST]])</f>
        <v>318.60000000000002</v>
      </c>
      <c r="AF50" s="181"/>
      <c r="AG50" s="181">
        <f>Tabelle1[[#This Row],[Total Rechnungen]]</f>
        <v>318.60000000000002</v>
      </c>
    </row>
    <row r="51" spans="1:35" s="2" customFormat="1" ht="12.6" hidden="1" customHeight="1" x14ac:dyDescent="0.15">
      <c r="A51" s="22" t="s">
        <v>600</v>
      </c>
      <c r="B51" s="337">
        <v>1355019701</v>
      </c>
      <c r="C51" s="22" t="s">
        <v>349</v>
      </c>
      <c r="D51" s="3" t="s">
        <v>36</v>
      </c>
      <c r="E51" s="3" t="s">
        <v>37</v>
      </c>
      <c r="F51" s="23">
        <f>28854.8+7033.95</f>
        <v>35888.75</v>
      </c>
      <c r="G51" s="3" t="s">
        <v>28</v>
      </c>
      <c r="H51" s="11" t="s">
        <v>99</v>
      </c>
      <c r="I51" s="15" t="s">
        <v>397</v>
      </c>
      <c r="J51" s="31" t="s">
        <v>480</v>
      </c>
      <c r="K51" s="21"/>
      <c r="L51" s="22">
        <f>14094.15+14083.7+1325.2</f>
        <v>29503.05</v>
      </c>
      <c r="M51" s="22">
        <f>5491.05+1011.35</f>
        <v>6502.4000000000005</v>
      </c>
      <c r="N51" s="21"/>
      <c r="O51" s="24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58"/>
      <c r="AE51" s="182">
        <f>SUM(Tabelle1[[#This Row],[bis Ende 2010
CHF inkl. MWST]:[2019
CHF inkl. MWST]])</f>
        <v>36005.449999999997</v>
      </c>
      <c r="AF51" s="181"/>
      <c r="AG51" s="181">
        <f>Tabelle1[[#This Row],[Total Rechnungen]]</f>
        <v>36005.449999999997</v>
      </c>
    </row>
    <row r="52" spans="1:35" s="2" customFormat="1" ht="12.6" hidden="1" customHeight="1" x14ac:dyDescent="0.15">
      <c r="A52" s="22" t="s">
        <v>601</v>
      </c>
      <c r="B52" s="337">
        <v>1355023964</v>
      </c>
      <c r="C52" s="22" t="s">
        <v>349</v>
      </c>
      <c r="D52" s="3" t="s">
        <v>34</v>
      </c>
      <c r="E52" s="3" t="s">
        <v>35</v>
      </c>
      <c r="F52" s="23">
        <v>23408.55</v>
      </c>
      <c r="G52" s="3" t="s">
        <v>28</v>
      </c>
      <c r="H52" s="11" t="s">
        <v>100</v>
      </c>
      <c r="I52" s="15" t="s">
        <v>397</v>
      </c>
      <c r="J52" s="17" t="s">
        <v>475</v>
      </c>
      <c r="K52" s="21"/>
      <c r="L52" s="21"/>
      <c r="M52" s="22">
        <v>21552.05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58"/>
      <c r="AE52" s="182">
        <f>SUM(Tabelle1[[#This Row],[bis Ende 2010
CHF inkl. MWST]:[2019
CHF inkl. MWST]])</f>
        <v>21552.05</v>
      </c>
      <c r="AF52" s="181"/>
      <c r="AG52" s="181">
        <f>Tabelle1[[#This Row],[Total Rechnungen]]</f>
        <v>21552.05</v>
      </c>
    </row>
    <row r="53" spans="1:35" s="2" customFormat="1" ht="12.6" hidden="1" customHeight="1" x14ac:dyDescent="0.15">
      <c r="A53" s="27" t="s">
        <v>602</v>
      </c>
      <c r="B53" s="337">
        <v>1355031217</v>
      </c>
      <c r="C53" s="22" t="s">
        <v>349</v>
      </c>
      <c r="D53" s="9" t="s">
        <v>45</v>
      </c>
      <c r="E53" s="9" t="s">
        <v>44</v>
      </c>
      <c r="F53" s="115">
        <v>151293.95000000001</v>
      </c>
      <c r="G53" s="9" t="s">
        <v>28</v>
      </c>
      <c r="H53" s="13" t="s">
        <v>101</v>
      </c>
      <c r="I53" s="15" t="s">
        <v>397</v>
      </c>
      <c r="J53" s="35" t="s">
        <v>487</v>
      </c>
      <c r="K53" s="21"/>
      <c r="L53" s="21"/>
      <c r="M53" s="37"/>
      <c r="N53" s="23">
        <v>145158.94</v>
      </c>
      <c r="O53" s="37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58"/>
      <c r="AE53" s="182">
        <f>SUM(Tabelle1[[#This Row],[bis Ende 2010
CHF inkl. MWST]:[2019
CHF inkl. MWST]])</f>
        <v>145158.94</v>
      </c>
      <c r="AF53" s="181"/>
      <c r="AG53" s="181">
        <f>Tabelle1[[#This Row],[Total Rechnungen]]</f>
        <v>145158.94</v>
      </c>
    </row>
    <row r="54" spans="1:35" s="2" customFormat="1" ht="12.6" hidden="1" customHeight="1" x14ac:dyDescent="0.15">
      <c r="A54" s="27" t="s">
        <v>602</v>
      </c>
      <c r="B54" s="337">
        <v>1355031217</v>
      </c>
      <c r="C54" s="22" t="s">
        <v>349</v>
      </c>
      <c r="D54" s="9" t="s">
        <v>45</v>
      </c>
      <c r="E54" s="9" t="s">
        <v>44</v>
      </c>
      <c r="F54" s="115">
        <v>129085.91</v>
      </c>
      <c r="G54" s="9" t="s">
        <v>28</v>
      </c>
      <c r="H54" s="13" t="s">
        <v>101</v>
      </c>
      <c r="I54" s="15" t="s">
        <v>397</v>
      </c>
      <c r="J54" s="35" t="s">
        <v>488</v>
      </c>
      <c r="K54" s="21"/>
      <c r="L54" s="21"/>
      <c r="M54" s="22">
        <v>112736.18</v>
      </c>
      <c r="N54" s="37"/>
      <c r="O54" s="37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58"/>
      <c r="AE54" s="182">
        <f>SUM(Tabelle1[[#This Row],[bis Ende 2010
CHF inkl. MWST]:[2019
CHF inkl. MWST]])</f>
        <v>112736.18</v>
      </c>
      <c r="AF54" s="181"/>
      <c r="AG54" s="181">
        <f>Tabelle1[[#This Row],[Total Rechnungen]]</f>
        <v>112736.18</v>
      </c>
    </row>
    <row r="55" spans="1:35" s="2" customFormat="1" ht="12.6" hidden="1" customHeight="1" x14ac:dyDescent="0.15">
      <c r="A55" s="27" t="s">
        <v>602</v>
      </c>
      <c r="B55" s="337">
        <v>1355031217</v>
      </c>
      <c r="C55" s="22" t="s">
        <v>349</v>
      </c>
      <c r="D55" s="9" t="s">
        <v>45</v>
      </c>
      <c r="E55" s="9" t="s">
        <v>44</v>
      </c>
      <c r="F55" s="115">
        <v>74863.44</v>
      </c>
      <c r="G55" s="9" t="s">
        <v>28</v>
      </c>
      <c r="H55" s="13" t="s">
        <v>101</v>
      </c>
      <c r="I55" s="15" t="s">
        <v>397</v>
      </c>
      <c r="J55" s="35" t="s">
        <v>486</v>
      </c>
      <c r="K55" s="21"/>
      <c r="L55" s="21"/>
      <c r="M55" s="22">
        <v>64516.18</v>
      </c>
      <c r="N55" s="45"/>
      <c r="O55" s="37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58"/>
      <c r="AE55" s="182">
        <f>SUM(Tabelle1[[#This Row],[bis Ende 2010
CHF inkl. MWST]:[2019
CHF inkl. MWST]])</f>
        <v>64516.18</v>
      </c>
      <c r="AF55" s="181"/>
      <c r="AG55" s="181">
        <f>Tabelle1[[#This Row],[Total Rechnungen]]</f>
        <v>64516.18</v>
      </c>
    </row>
    <row r="56" spans="1:35" s="2" customFormat="1" ht="12.6" hidden="1" customHeight="1" x14ac:dyDescent="0.15">
      <c r="A56" s="27" t="s">
        <v>603</v>
      </c>
      <c r="B56" s="337">
        <v>1355031221</v>
      </c>
      <c r="C56" s="22" t="s">
        <v>349</v>
      </c>
      <c r="D56" s="9" t="s">
        <v>45</v>
      </c>
      <c r="E56" s="9" t="s">
        <v>42</v>
      </c>
      <c r="F56" s="23">
        <v>258114.6</v>
      </c>
      <c r="G56" s="9" t="s">
        <v>28</v>
      </c>
      <c r="H56" s="13" t="s">
        <v>101</v>
      </c>
      <c r="I56" s="15" t="s">
        <v>397</v>
      </c>
      <c r="J56" s="314" t="s">
        <v>485</v>
      </c>
      <c r="K56" s="21"/>
      <c r="L56" s="21"/>
      <c r="M56" s="22">
        <f>112935.75+31573.3+14482.05</f>
        <v>158991.09999999998</v>
      </c>
      <c r="N56" s="23">
        <v>86132.800000000003</v>
      </c>
      <c r="O56" s="37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58"/>
      <c r="AE56" s="182">
        <f>SUM(Tabelle1[[#This Row],[bis Ende 2010
CHF inkl. MWST]:[2019
CHF inkl. MWST]])</f>
        <v>245123.89999999997</v>
      </c>
      <c r="AF56" s="181"/>
      <c r="AG56" s="181">
        <f>Tabelle1[[#This Row],[Total Rechnungen]]</f>
        <v>245123.89999999997</v>
      </c>
    </row>
    <row r="57" spans="1:35" s="2" customFormat="1" ht="12.6" hidden="1" customHeight="1" x14ac:dyDescent="0.15">
      <c r="A57" s="27" t="s">
        <v>604</v>
      </c>
      <c r="B57" s="337">
        <v>1355031224</v>
      </c>
      <c r="C57" s="22" t="s">
        <v>349</v>
      </c>
      <c r="D57" s="9" t="s">
        <v>45</v>
      </c>
      <c r="E57" s="9" t="s">
        <v>43</v>
      </c>
      <c r="F57" s="115">
        <f>36926.29</f>
        <v>36926.29</v>
      </c>
      <c r="G57" s="9" t="s">
        <v>28</v>
      </c>
      <c r="H57" s="13" t="s">
        <v>97</v>
      </c>
      <c r="I57" s="15" t="s">
        <v>397</v>
      </c>
      <c r="J57" s="35" t="s">
        <v>479</v>
      </c>
      <c r="K57" s="21"/>
      <c r="L57" s="21"/>
      <c r="M57" s="45"/>
      <c r="N57" s="23">
        <v>41495.589999999997</v>
      </c>
      <c r="O57" s="24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58"/>
      <c r="AE57" s="182">
        <f>SUM(Tabelle1[[#This Row],[bis Ende 2010
CHF inkl. MWST]:[2019
CHF inkl. MWST]])</f>
        <v>41495.589999999997</v>
      </c>
      <c r="AF57" s="181"/>
      <c r="AG57" s="181">
        <f>Tabelle1[[#This Row],[Total Rechnungen]]</f>
        <v>41495.589999999997</v>
      </c>
    </row>
    <row r="58" spans="1:35" s="2" customFormat="1" ht="12.6" hidden="1" customHeight="1" x14ac:dyDescent="0.15">
      <c r="A58" s="27" t="s">
        <v>604</v>
      </c>
      <c r="B58" s="337">
        <v>1355031224</v>
      </c>
      <c r="C58" s="22" t="s">
        <v>349</v>
      </c>
      <c r="D58" s="9" t="s">
        <v>45</v>
      </c>
      <c r="E58" s="9" t="s">
        <v>43</v>
      </c>
      <c r="F58" s="115">
        <v>42244.21</v>
      </c>
      <c r="G58" s="9" t="s">
        <v>28</v>
      </c>
      <c r="H58" s="13" t="s">
        <v>97</v>
      </c>
      <c r="I58" s="15" t="s">
        <v>397</v>
      </c>
      <c r="J58" s="35" t="s">
        <v>481</v>
      </c>
      <c r="K58" s="21"/>
      <c r="L58" s="21"/>
      <c r="M58" s="45"/>
      <c r="N58" s="23">
        <v>47710.82</v>
      </c>
      <c r="O58" s="24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58"/>
      <c r="AE58" s="182">
        <f>SUM(Tabelle1[[#This Row],[bis Ende 2010
CHF inkl. MWST]:[2019
CHF inkl. MWST]])</f>
        <v>47710.82</v>
      </c>
      <c r="AF58" s="181"/>
      <c r="AG58" s="181">
        <f>Tabelle1[[#This Row],[Total Rechnungen]]</f>
        <v>47710.82</v>
      </c>
    </row>
    <row r="59" spans="1:35" s="2" customFormat="1" ht="12.6" hidden="1" customHeight="1" x14ac:dyDescent="0.15">
      <c r="A59" s="27" t="s">
        <v>604</v>
      </c>
      <c r="B59" s="337">
        <v>1355031224</v>
      </c>
      <c r="C59" s="22" t="s">
        <v>349</v>
      </c>
      <c r="D59" s="9" t="s">
        <v>45</v>
      </c>
      <c r="E59" s="9" t="s">
        <v>43</v>
      </c>
      <c r="F59" s="115">
        <v>26287.200000000001</v>
      </c>
      <c r="G59" s="9" t="s">
        <v>28</v>
      </c>
      <c r="H59" s="13" t="s">
        <v>97</v>
      </c>
      <c r="I59" s="15" t="s">
        <v>397</v>
      </c>
      <c r="J59" s="35" t="s">
        <v>482</v>
      </c>
      <c r="K59" s="21"/>
      <c r="L59" s="21"/>
      <c r="M59" s="22">
        <f>576.2+14626.45+3855.15</f>
        <v>19057.800000000003</v>
      </c>
      <c r="N59" s="23">
        <v>6782.94</v>
      </c>
      <c r="O59" s="37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58"/>
      <c r="AE59" s="182">
        <f>SUM(Tabelle1[[#This Row],[bis Ende 2010
CHF inkl. MWST]:[2019
CHF inkl. MWST]])</f>
        <v>25840.74</v>
      </c>
      <c r="AF59" s="181"/>
      <c r="AG59" s="181">
        <f>Tabelle1[[#This Row],[Total Rechnungen]]</f>
        <v>25840.74</v>
      </c>
    </row>
    <row r="60" spans="1:35" s="2" customFormat="1" ht="12.6" hidden="1" customHeight="1" x14ac:dyDescent="0.15">
      <c r="A60" s="22" t="s">
        <v>605</v>
      </c>
      <c r="B60" s="337">
        <v>1355042999</v>
      </c>
      <c r="C60" s="22" t="s">
        <v>349</v>
      </c>
      <c r="D60" s="3" t="s">
        <v>16</v>
      </c>
      <c r="E60" s="9" t="s">
        <v>54</v>
      </c>
      <c r="F60" s="22">
        <f>20558.45+538.85</f>
        <v>21097.3</v>
      </c>
      <c r="G60" s="3" t="s">
        <v>28</v>
      </c>
      <c r="H60" s="11" t="s">
        <v>101</v>
      </c>
      <c r="I60" s="15" t="s">
        <v>397</v>
      </c>
      <c r="J60" s="314" t="s">
        <v>485</v>
      </c>
      <c r="K60" s="36"/>
      <c r="L60" s="36"/>
      <c r="M60" s="22">
        <v>14022.95</v>
      </c>
      <c r="N60" s="21"/>
      <c r="O60" s="24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58"/>
      <c r="AE60" s="182">
        <f>SUM(Tabelle1[[#This Row],[bis Ende 2010
CHF inkl. MWST]:[2019
CHF inkl. MWST]])</f>
        <v>14022.95</v>
      </c>
      <c r="AF60" s="181"/>
      <c r="AG60" s="181">
        <f>Tabelle1[[#This Row],[Total Rechnungen]]</f>
        <v>14022.95</v>
      </c>
    </row>
    <row r="61" spans="1:35" s="2" customFormat="1" ht="12.6" hidden="1" customHeight="1" x14ac:dyDescent="0.15">
      <c r="A61" s="23" t="s">
        <v>606</v>
      </c>
      <c r="B61" s="337">
        <v>1355043804</v>
      </c>
      <c r="C61" s="22" t="s">
        <v>349</v>
      </c>
      <c r="D61" s="9" t="s">
        <v>60</v>
      </c>
      <c r="E61" s="48" t="s">
        <v>74</v>
      </c>
      <c r="F61" s="26">
        <f>((352440+6400)+(222900+254830+16400))*1.08</f>
        <v>921207.60000000009</v>
      </c>
      <c r="G61" s="48" t="s">
        <v>29</v>
      </c>
      <c r="H61" s="13" t="s">
        <v>102</v>
      </c>
      <c r="I61" s="15" t="s">
        <v>397</v>
      </c>
      <c r="J61" s="111" t="s">
        <v>194</v>
      </c>
      <c r="K61" s="30"/>
      <c r="L61" s="30"/>
      <c r="M61" s="30"/>
      <c r="N61" s="26">
        <f>58128.3+33070.7+36734.05+59032+56600.65+100999.15+96490.15</f>
        <v>441055</v>
      </c>
      <c r="O61" s="26">
        <f>68911+42948.35+61611.85+120194.55+134126.55+156909.15+152705.5+99769.3+136329.2+144791.3+110370.35</f>
        <v>1228667.1000000001</v>
      </c>
      <c r="P61" s="23">
        <f>88068.05+112097.5+16617.4+7281.35+4608.9+8357.6+7337+43668.2+30036.15</f>
        <v>318072.15000000002</v>
      </c>
      <c r="Q61" s="23">
        <f>5269.75+28383.5+37471.15+17280+43193.52+18625.68+13835.36+7761.15+3367.45+7331.85+1129.95+1836+3134.15+5687.55</f>
        <v>194307.05999999997</v>
      </c>
      <c r="R61" s="23">
        <f>1047.6+626.4</f>
        <v>1674</v>
      </c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148"/>
      <c r="AE61" s="182">
        <f>SUM(Tabelle1[[#This Row],[bis Ende 2010
CHF inkl. MWST]:[2019
CHF inkl. MWST]])</f>
        <v>2183775.31</v>
      </c>
      <c r="AF61" s="181"/>
      <c r="AG61" s="181">
        <f>Tabelle1[[#This Row],[Total Rechnungen]]</f>
        <v>2183775.31</v>
      </c>
      <c r="AH61" s="51"/>
    </row>
    <row r="62" spans="1:35" s="2" customFormat="1" ht="12.6" hidden="1" customHeight="1" x14ac:dyDescent="0.15">
      <c r="A62" s="23" t="s">
        <v>606</v>
      </c>
      <c r="B62" s="337">
        <v>1355043804</v>
      </c>
      <c r="C62" s="22" t="s">
        <v>349</v>
      </c>
      <c r="D62" s="146" t="s">
        <v>60</v>
      </c>
      <c r="E62" s="146" t="s">
        <v>74</v>
      </c>
      <c r="F62" s="132" t="s">
        <v>229</v>
      </c>
      <c r="G62" s="48" t="s">
        <v>29</v>
      </c>
      <c r="H62" s="13" t="s">
        <v>102</v>
      </c>
      <c r="I62" s="15" t="s">
        <v>397</v>
      </c>
      <c r="J62" s="111" t="s">
        <v>194</v>
      </c>
      <c r="K62" s="119"/>
      <c r="L62" s="119"/>
      <c r="M62" s="119"/>
      <c r="N62" s="133"/>
      <c r="O62" s="133"/>
      <c r="P62" s="60"/>
      <c r="Q62" s="132">
        <v>7445</v>
      </c>
      <c r="R62" s="132">
        <v>2295.2399999999998</v>
      </c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60"/>
      <c r="AE62" s="182">
        <f>SUM(Tabelle1[[#This Row],[bis Ende 2010
CHF inkl. MWST]:[2019
CHF inkl. MWST]])</f>
        <v>9740.24</v>
      </c>
      <c r="AF62" s="181"/>
      <c r="AG62" s="45">
        <f>Tabelle1[[#This Row],[Total Rechnungen]]</f>
        <v>9740.24</v>
      </c>
      <c r="AH62" s="51"/>
    </row>
    <row r="63" spans="1:35" s="2" customFormat="1" ht="12.6" hidden="1" customHeight="1" x14ac:dyDescent="0.15">
      <c r="A63" s="132" t="s">
        <v>607</v>
      </c>
      <c r="B63" s="337">
        <v>1355043804</v>
      </c>
      <c r="C63" s="132" t="s">
        <v>349</v>
      </c>
      <c r="D63" s="146" t="s">
        <v>60</v>
      </c>
      <c r="E63" s="146" t="s">
        <v>205</v>
      </c>
      <c r="F63" s="147">
        <f>(391860+6400)*1.08+(246670+308260+12800)*1.08</f>
        <v>1043269.2000000001</v>
      </c>
      <c r="G63" s="239" t="s">
        <v>29</v>
      </c>
      <c r="H63" s="141" t="s">
        <v>102</v>
      </c>
      <c r="I63" s="15" t="s">
        <v>397</v>
      </c>
      <c r="J63" s="225" t="s">
        <v>194</v>
      </c>
      <c r="K63" s="119"/>
      <c r="L63" s="119"/>
      <c r="M63" s="119"/>
      <c r="N63" s="119"/>
      <c r="O63" s="119"/>
      <c r="P63" s="119"/>
      <c r="Q63" s="124">
        <f>29093.04+31274.4+28369.71+28324.35+44401.5+61619.4+82303.3+100617.1+142449.85+126005.75</f>
        <v>674458.4</v>
      </c>
      <c r="R63" s="124">
        <f>107058.5+80165.4+62358.12+103494.24+27533.25+4154.75+15149.95+13832.65+13671.7+5328.2+6161.4</f>
        <v>438908.16000000009</v>
      </c>
      <c r="S63" s="124">
        <f>22530.4+24887.8+8631.1+6048+9072+17426.95+4939.65+2022.6+1098+1302.35</f>
        <v>97958.849999999991</v>
      </c>
      <c r="T63" s="124">
        <f>18667.1+4226.15+6839.25+226.17+269.25</f>
        <v>30227.919999999998</v>
      </c>
      <c r="U63" s="124">
        <f>560.04+2024.76</f>
        <v>2584.8000000000002</v>
      </c>
      <c r="V63" s="86"/>
      <c r="W63" s="226"/>
      <c r="X63" s="226"/>
      <c r="Y63" s="226"/>
      <c r="Z63" s="226"/>
      <c r="AA63" s="226"/>
      <c r="AB63" s="226"/>
      <c r="AC63" s="226"/>
      <c r="AD63" s="160"/>
      <c r="AE63" s="37">
        <f>SUM(Tabelle1[[#This Row],[bis Ende 2010
CHF inkl. MWST]:[2020
CHF inkl. MWST]])</f>
        <v>1244138.1300000001</v>
      </c>
      <c r="AF63" s="60"/>
      <c r="AG63" s="60">
        <f>Tabelle1[[#This Row],[Total Rechnungen]]</f>
        <v>1244138.1300000001</v>
      </c>
      <c r="AI63" s="29"/>
    </row>
    <row r="64" spans="1:35" s="2" customFormat="1" ht="12.6" customHeight="1" x14ac:dyDescent="0.15">
      <c r="A64" s="19" t="s">
        <v>607</v>
      </c>
      <c r="B64" s="335">
        <v>1355043804</v>
      </c>
      <c r="C64" s="19" t="s">
        <v>350</v>
      </c>
      <c r="D64" s="8" t="s">
        <v>60</v>
      </c>
      <c r="E64" s="8" t="s">
        <v>205</v>
      </c>
      <c r="F64" s="19" t="s">
        <v>229</v>
      </c>
      <c r="G64" s="8" t="s">
        <v>28</v>
      </c>
      <c r="H64" s="12" t="s">
        <v>102</v>
      </c>
      <c r="I64" s="56" t="s">
        <v>397</v>
      </c>
      <c r="J64" s="111" t="s">
        <v>194</v>
      </c>
      <c r="K64" s="119"/>
      <c r="L64" s="119"/>
      <c r="M64" s="119"/>
      <c r="N64" s="119"/>
      <c r="O64" s="119"/>
      <c r="P64" s="119"/>
      <c r="Q64" s="121"/>
      <c r="R64" s="124">
        <v>31020.560000000001</v>
      </c>
      <c r="S64" s="124">
        <v>34329.449999999997</v>
      </c>
      <c r="T64" s="217">
        <v>6760.26</v>
      </c>
      <c r="U64" s="124">
        <v>3626.05</v>
      </c>
      <c r="V64" s="124">
        <v>8771.7199999999993</v>
      </c>
      <c r="W64" s="378">
        <v>38277.46</v>
      </c>
      <c r="X64" s="294"/>
      <c r="Y64" s="382"/>
      <c r="Z64" s="154"/>
      <c r="AA64" s="154"/>
      <c r="AB64" s="154"/>
      <c r="AC64" s="154"/>
      <c r="AD64" s="149" t="s">
        <v>229</v>
      </c>
      <c r="AE64" s="180">
        <f>SUM(Tabelle1[[#This Row],[bis Ende 2010
CHF inkl. MWST]:[Aufgelaufene Kosten 2022
CHF inkl. MWST]])</f>
        <v>122785.5</v>
      </c>
      <c r="AF64" s="180"/>
      <c r="AG64" s="170">
        <f>Tabelle1[[#This Row],[Total Rechnungen]]+Tabelle1[[#This Row],[Restbudget Vertrag]]</f>
        <v>122785.5</v>
      </c>
    </row>
    <row r="65" spans="1:34" s="2" customFormat="1" ht="12.6" hidden="1" customHeight="1" x14ac:dyDescent="0.15">
      <c r="A65" s="132" t="s">
        <v>607</v>
      </c>
      <c r="B65" s="337">
        <v>1355043804</v>
      </c>
      <c r="C65" s="22" t="s">
        <v>349</v>
      </c>
      <c r="D65" s="146" t="s">
        <v>60</v>
      </c>
      <c r="E65" s="146" t="s">
        <v>204</v>
      </c>
      <c r="F65" s="147">
        <f>(25875)*1.08</f>
        <v>27945.000000000004</v>
      </c>
      <c r="G65" s="146" t="s">
        <v>27</v>
      </c>
      <c r="H65" s="141" t="s">
        <v>100</v>
      </c>
      <c r="I65" s="135" t="s">
        <v>397</v>
      </c>
      <c r="J65" s="102" t="s">
        <v>475</v>
      </c>
      <c r="K65" s="119"/>
      <c r="L65" s="119"/>
      <c r="M65" s="119"/>
      <c r="N65" s="119"/>
      <c r="O65" s="119"/>
      <c r="P65" s="119"/>
      <c r="Q65" s="124">
        <f>2845.8</f>
        <v>2845.8</v>
      </c>
      <c r="R65" s="124">
        <f>5832+1398.6+6350.4+453.6+486+1313.55</f>
        <v>15834.15</v>
      </c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153"/>
      <c r="AE65" s="182">
        <f>SUM(Tabelle1[[#This Row],[bis Ende 2010
CHF inkl. MWST]:[2019
CHF inkl. MWST]])</f>
        <v>18679.95</v>
      </c>
      <c r="AF65" s="181"/>
      <c r="AG65" s="181">
        <f>Tabelle1[[#This Row],[Total Rechnungen]]</f>
        <v>18679.95</v>
      </c>
    </row>
    <row r="66" spans="1:34" s="2" customFormat="1" ht="12.6" hidden="1" customHeight="1" x14ac:dyDescent="0.15">
      <c r="A66" s="132" t="s">
        <v>607</v>
      </c>
      <c r="B66" s="337">
        <v>1355043804</v>
      </c>
      <c r="C66" s="22" t="s">
        <v>349</v>
      </c>
      <c r="D66" s="146" t="s">
        <v>60</v>
      </c>
      <c r="E66" s="146" t="s">
        <v>204</v>
      </c>
      <c r="F66" s="132" t="s">
        <v>229</v>
      </c>
      <c r="G66" s="146" t="s">
        <v>27</v>
      </c>
      <c r="H66" s="141" t="s">
        <v>100</v>
      </c>
      <c r="I66" s="135" t="s">
        <v>397</v>
      </c>
      <c r="J66" s="102" t="s">
        <v>475</v>
      </c>
      <c r="K66" s="119"/>
      <c r="L66" s="119"/>
      <c r="M66" s="119"/>
      <c r="N66" s="119"/>
      <c r="O66" s="119"/>
      <c r="P66" s="119"/>
      <c r="Q66" s="121"/>
      <c r="R66" s="124">
        <f>312.4</f>
        <v>312.39999999999998</v>
      </c>
      <c r="S66" s="121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160"/>
      <c r="AE66" s="182">
        <f>SUM(Tabelle1[[#This Row],[bis Ende 2010
CHF inkl. MWST]:[2019
CHF inkl. MWST]])</f>
        <v>312.39999999999998</v>
      </c>
      <c r="AF66" s="181"/>
      <c r="AG66" s="45">
        <f>Tabelle1[[#This Row],[Total Rechnungen]]+Tabelle1[[#This Row],[Restbudget Vertrag]]</f>
        <v>312.39999999999998</v>
      </c>
    </row>
    <row r="67" spans="1:34" s="2" customFormat="1" ht="12.6" hidden="1" customHeight="1" x14ac:dyDescent="0.15">
      <c r="A67" s="132" t="s">
        <v>607</v>
      </c>
      <c r="B67" s="337">
        <v>1355043804</v>
      </c>
      <c r="C67" s="22" t="s">
        <v>349</v>
      </c>
      <c r="D67" s="146" t="s">
        <v>60</v>
      </c>
      <c r="E67" s="146" t="s">
        <v>204</v>
      </c>
      <c r="F67" s="147">
        <f>(30500)*1.08</f>
        <v>32940</v>
      </c>
      <c r="G67" s="146" t="s">
        <v>27</v>
      </c>
      <c r="H67" s="141" t="s">
        <v>101</v>
      </c>
      <c r="I67" s="135" t="s">
        <v>397</v>
      </c>
      <c r="J67" s="102" t="s">
        <v>477</v>
      </c>
      <c r="K67" s="119"/>
      <c r="L67" s="119"/>
      <c r="M67" s="119"/>
      <c r="N67" s="119"/>
      <c r="O67" s="119"/>
      <c r="P67" s="119"/>
      <c r="Q67" s="121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7"/>
      <c r="AE67" s="182">
        <f>SUM(Tabelle1[[#This Row],[bis Ende 2010
CHF inkl. MWST]:[2019
CHF inkl. MWST]])</f>
        <v>0</v>
      </c>
      <c r="AF67" s="181"/>
      <c r="AG67" s="181">
        <f>Tabelle1[[#This Row],[Total Rechnungen]]</f>
        <v>0</v>
      </c>
    </row>
    <row r="68" spans="1:34" s="2" customFormat="1" ht="12.6" hidden="1" customHeight="1" x14ac:dyDescent="0.15">
      <c r="A68" s="23" t="s">
        <v>608</v>
      </c>
      <c r="B68" s="337">
        <v>1355043804</v>
      </c>
      <c r="C68" s="23" t="s">
        <v>349</v>
      </c>
      <c r="D68" s="9" t="s">
        <v>60</v>
      </c>
      <c r="E68" s="9" t="s">
        <v>190</v>
      </c>
      <c r="F68" s="26">
        <f>(284730+4000)*1.08+(221070+2400)*1.08</f>
        <v>553176</v>
      </c>
      <c r="G68" s="48" t="s">
        <v>29</v>
      </c>
      <c r="H68" s="13" t="s">
        <v>102</v>
      </c>
      <c r="I68" s="135" t="s">
        <v>397</v>
      </c>
      <c r="J68" s="111" t="s">
        <v>194</v>
      </c>
      <c r="K68" s="30"/>
      <c r="L68" s="30"/>
      <c r="M68" s="30"/>
      <c r="N68" s="30"/>
      <c r="O68" s="30"/>
      <c r="P68" s="30"/>
      <c r="Q68" s="30"/>
      <c r="R68" s="23">
        <f>17473.86+65159.65+138833.75+128319.4+141473.25+38085.65+39570.65+14548.4</f>
        <v>583464.6100000001</v>
      </c>
      <c r="S68" s="23">
        <f>22683.5+13553.45+1198.8+1541.2+1140.8+11010.7+4348.65+4078.05+1436.7+2864.8+18241.15</f>
        <v>82097.8</v>
      </c>
      <c r="T68" s="23">
        <f>11647.5+16636.15+12489.7+6977.88+7285.37+190.9+1666.12+5215.37+15859.09+8550.3+380.45</f>
        <v>86898.830000000016</v>
      </c>
      <c r="U68" s="23">
        <f>8431.56+15458.45+904.68+25113.22+34645.21+30065.53+4140.8+4238+6208.91+26616.71+9693.27+6603.1+6492.16</f>
        <v>178611.6</v>
      </c>
      <c r="V68" s="86"/>
      <c r="W68" s="113"/>
      <c r="X68" s="113"/>
      <c r="Y68" s="113"/>
      <c r="Z68" s="113"/>
      <c r="AA68" s="113"/>
      <c r="AB68" s="113"/>
      <c r="AC68" s="113"/>
      <c r="AD68" s="57"/>
      <c r="AE68" s="37">
        <f>SUM(Tabelle1[[#This Row],[bis Ende 2010
CHF inkl. MWST]:[2020
CHF inkl. MWST]])</f>
        <v>931072.8400000002</v>
      </c>
      <c r="AF68" s="37"/>
      <c r="AG68" s="37">
        <f>Tabelle1[[#This Row],[Total Rechnungen]]</f>
        <v>931072.8400000002</v>
      </c>
    </row>
    <row r="69" spans="1:34" s="2" customFormat="1" ht="12.6" customHeight="1" x14ac:dyDescent="0.15">
      <c r="A69" s="19" t="s">
        <v>608</v>
      </c>
      <c r="B69" s="335">
        <v>1355043804</v>
      </c>
      <c r="C69" s="19" t="s">
        <v>350</v>
      </c>
      <c r="D69" s="8" t="s">
        <v>60</v>
      </c>
      <c r="E69" s="8" t="s">
        <v>259</v>
      </c>
      <c r="F69" s="227">
        <f>(655110)*1.08+(701360)*1.08</f>
        <v>1464987.6</v>
      </c>
      <c r="G69" s="8" t="s">
        <v>28</v>
      </c>
      <c r="H69" s="12" t="s">
        <v>102</v>
      </c>
      <c r="I69" s="56" t="s">
        <v>397</v>
      </c>
      <c r="J69" s="111" t="s">
        <v>194</v>
      </c>
      <c r="K69" s="30"/>
      <c r="L69" s="30"/>
      <c r="M69" s="30"/>
      <c r="N69" s="30"/>
      <c r="O69" s="30"/>
      <c r="P69" s="30"/>
      <c r="Q69" s="30"/>
      <c r="R69" s="23">
        <f>4116.4+28643.5+11887+2897.65+4411.25+659.35</f>
        <v>52615.15</v>
      </c>
      <c r="S69" s="23">
        <f>1329.5+450.9+54+1462.05+468.5+341.95</f>
        <v>4106.8999999999996</v>
      </c>
      <c r="T69" s="23">
        <f>8189+921.4+301.55</f>
        <v>9411.9499999999989</v>
      </c>
      <c r="U69" s="23">
        <f>1884.75</f>
        <v>1884.75</v>
      </c>
      <c r="V69" s="54">
        <f>19268.07+7774.59+45254.46+72945.75+83969.38+46270.07+39257.73+25334.54+23602.99+18660.37+15508.8</f>
        <v>397846.74999999994</v>
      </c>
      <c r="W69" s="299">
        <f>34097.28+52266.27+3633.53+18960.32+15556.73+9552.72+9970.33+14183.28+7673.63+21188.09+42465.3+29334.25+31385.13+31354.43+43945.64+41180.73</f>
        <v>406747.66</v>
      </c>
      <c r="X69" s="84"/>
      <c r="Y69" s="279"/>
      <c r="Z69" s="195">
        <v>200000</v>
      </c>
      <c r="AA69" s="195">
        <v>200000</v>
      </c>
      <c r="AB69" s="195">
        <v>150000</v>
      </c>
      <c r="AC69" s="196"/>
      <c r="AD69" s="40" t="s">
        <v>201</v>
      </c>
      <c r="AE69" s="180">
        <f>SUM(Tabelle1[[#This Row],[bis Ende 2010
CHF inkl. MWST]:[Aufgelaufene Kosten 2022
CHF inkl. MWST]])</f>
        <v>872613.15999999992</v>
      </c>
      <c r="AF69" s="180">
        <f>Tabelle1[[#This Row],[Summe Vertrag
CHF inkl. MWST]]+F88-Tabelle1[[#This Row],[Total Rechnungen]]</f>
        <v>896088.44000000018</v>
      </c>
      <c r="AG69" s="180">
        <f>Tabelle1[[#This Row],[Total Rechnungen]]+Tabelle1[[#This Row],[Restbudget Vertrag]]</f>
        <v>1768701.6</v>
      </c>
    </row>
    <row r="70" spans="1:34" s="2" customFormat="1" ht="12.6" customHeight="1" x14ac:dyDescent="0.15">
      <c r="A70" s="19" t="s">
        <v>608</v>
      </c>
      <c r="B70" s="335">
        <v>1355043804</v>
      </c>
      <c r="C70" s="19" t="s">
        <v>350</v>
      </c>
      <c r="D70" s="8" t="s">
        <v>60</v>
      </c>
      <c r="E70" s="8" t="s">
        <v>260</v>
      </c>
      <c r="F70" s="227">
        <f>(925290+155395+92100+3000)*1.08+(693160+45000+114690+92100)*1.08</f>
        <v>2290393.8000000003</v>
      </c>
      <c r="G70" s="8" t="s">
        <v>28</v>
      </c>
      <c r="H70" s="12" t="s">
        <v>102</v>
      </c>
      <c r="I70" s="56" t="s">
        <v>397</v>
      </c>
      <c r="J70" s="111" t="s">
        <v>194</v>
      </c>
      <c r="K70" s="30"/>
      <c r="L70" s="30"/>
      <c r="M70" s="30"/>
      <c r="N70" s="30"/>
      <c r="O70" s="30"/>
      <c r="P70" s="30"/>
      <c r="Q70" s="30"/>
      <c r="R70" s="30"/>
      <c r="S70" s="55"/>
      <c r="T70" s="55"/>
      <c r="U70" s="55"/>
      <c r="V70" s="23">
        <f>13528.2+5425.93+12388.19+7688.16+12987.54+9342.44+13348.34</f>
        <v>74708.800000000003</v>
      </c>
      <c r="W70" s="299">
        <f>17139.92+22192.66+14395.18+30185.62+51504.29+63422.38+41176.67+42217.05+36131.47+24581.45+48613.35+45787.3+28999.03+752.82+7421.07+35668.36+24301.98+752.82</f>
        <v>535243.41999999993</v>
      </c>
      <c r="X70" s="84"/>
      <c r="Y70" s="279"/>
      <c r="Z70" s="195">
        <v>600000</v>
      </c>
      <c r="AA70" s="195">
        <v>600000</v>
      </c>
      <c r="AB70" s="195">
        <v>600000</v>
      </c>
      <c r="AC70" s="195">
        <v>509518.85</v>
      </c>
      <c r="AD70" s="40" t="s">
        <v>201</v>
      </c>
      <c r="AE70" s="180">
        <f>SUM(Tabelle1[[#This Row],[bis Ende 2010
CHF inkl. MWST]:[Aufgelaufene Kosten 2022
CHF inkl. MWST]])</f>
        <v>609952.22</v>
      </c>
      <c r="AF70" s="180">
        <f>Tabelle1[[#This Row],[Summe Vertrag
CHF inkl. MWST]]+F87-Tabelle1[[#This Row],[Total Rechnungen]]</f>
        <v>2045279.638</v>
      </c>
      <c r="AG70" s="180">
        <f>Tabelle1[[#This Row],[Total Rechnungen]]+Tabelle1[[#This Row],[Restbudget Vertrag]]</f>
        <v>2655231.858</v>
      </c>
    </row>
    <row r="71" spans="1:34" s="2" customFormat="1" ht="12.6" hidden="1" customHeight="1" x14ac:dyDescent="0.15">
      <c r="A71" s="23" t="s">
        <v>527</v>
      </c>
      <c r="B71" s="337">
        <v>1355043804</v>
      </c>
      <c r="C71" s="22" t="s">
        <v>349</v>
      </c>
      <c r="D71" s="9" t="s">
        <v>60</v>
      </c>
      <c r="E71" s="9" t="s">
        <v>59</v>
      </c>
      <c r="F71" s="23">
        <v>106828.45</v>
      </c>
      <c r="G71" s="9" t="s">
        <v>28</v>
      </c>
      <c r="H71" s="13" t="s">
        <v>97</v>
      </c>
      <c r="I71" s="35" t="s">
        <v>397</v>
      </c>
      <c r="J71" s="120" t="s">
        <v>194</v>
      </c>
      <c r="K71" s="36"/>
      <c r="L71" s="36"/>
      <c r="M71" s="21"/>
      <c r="N71" s="23">
        <f>9527.6+29258.35+12863.25+16797.4+15673+2470.4+408.25</f>
        <v>86998.25</v>
      </c>
      <c r="O71" s="37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58"/>
      <c r="AE71" s="182">
        <f>SUM(Tabelle1[[#This Row],[bis Ende 2010
CHF inkl. MWST]:[2019
CHF inkl. MWST]])</f>
        <v>86998.25</v>
      </c>
      <c r="AF71" s="181"/>
      <c r="AG71" s="181">
        <f>Tabelle1[[#This Row],[Total Rechnungen]]</f>
        <v>86998.25</v>
      </c>
    </row>
    <row r="72" spans="1:34" s="2" customFormat="1" ht="12.6" hidden="1" customHeight="1" x14ac:dyDescent="0.15">
      <c r="A72" s="23" t="s">
        <v>528</v>
      </c>
      <c r="B72" s="337">
        <v>1355043804</v>
      </c>
      <c r="C72" s="22" t="s">
        <v>349</v>
      </c>
      <c r="D72" s="9" t="s">
        <v>60</v>
      </c>
      <c r="E72" s="48" t="s">
        <v>65</v>
      </c>
      <c r="F72" s="26">
        <f>98344.75+5040</f>
        <v>103384.75</v>
      </c>
      <c r="G72" s="9" t="s">
        <v>28</v>
      </c>
      <c r="H72" s="13" t="s">
        <v>100</v>
      </c>
      <c r="I72" s="35" t="s">
        <v>397</v>
      </c>
      <c r="J72" s="31" t="s">
        <v>475</v>
      </c>
      <c r="K72" s="30"/>
      <c r="L72" s="30"/>
      <c r="M72" s="30"/>
      <c r="N72" s="26">
        <f>1168+4088.05</f>
        <v>5256.05</v>
      </c>
      <c r="O72" s="26">
        <f>5528.6+6969.15+8744.85+8110.8+934.4+13042.9+15573.6+9038.25+16202.1+18307.3</f>
        <v>102451.95</v>
      </c>
      <c r="P72" s="23">
        <f>8231.75+19322.1+1129.1+233.6+4127+6073.7</f>
        <v>39117.249999999993</v>
      </c>
      <c r="Q72" s="23">
        <f>1401.6+233.6+545.08+3818.32+3402+155.74+311.45+1557.35+934.4</f>
        <v>12359.54</v>
      </c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57"/>
      <c r="AE72" s="182">
        <f>SUM(Tabelle1[[#This Row],[bis Ende 2010
CHF inkl. MWST]:[2019
CHF inkl. MWST]])</f>
        <v>159184.79</v>
      </c>
      <c r="AF72" s="181"/>
      <c r="AG72" s="181">
        <f>Tabelle1[[#This Row],[Total Rechnungen]]</f>
        <v>159184.79</v>
      </c>
      <c r="AH72" s="51"/>
    </row>
    <row r="73" spans="1:34" s="2" customFormat="1" ht="12.6" hidden="1" customHeight="1" x14ac:dyDescent="0.15">
      <c r="A73" s="23" t="s">
        <v>528</v>
      </c>
      <c r="B73" s="337">
        <v>1355043804</v>
      </c>
      <c r="C73" s="22" t="s">
        <v>349</v>
      </c>
      <c r="D73" s="9" t="s">
        <v>60</v>
      </c>
      <c r="E73" s="48" t="s">
        <v>65</v>
      </c>
      <c r="F73" s="23" t="s">
        <v>229</v>
      </c>
      <c r="G73" s="9" t="s">
        <v>28</v>
      </c>
      <c r="H73" s="13" t="s">
        <v>100</v>
      </c>
      <c r="I73" s="35" t="s">
        <v>397</v>
      </c>
      <c r="J73" s="31" t="s">
        <v>475</v>
      </c>
      <c r="K73" s="30"/>
      <c r="L73" s="30"/>
      <c r="M73" s="30"/>
      <c r="N73" s="44"/>
      <c r="O73" s="44"/>
      <c r="P73" s="37"/>
      <c r="Q73" s="23">
        <f>416.28+112.27</f>
        <v>528.54999999999995</v>
      </c>
      <c r="R73" s="23">
        <v>243.98</v>
      </c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57"/>
      <c r="AE73" s="182">
        <f>SUM(Tabelle1[[#This Row],[bis Ende 2010
CHF inkl. MWST]:[2019
CHF inkl. MWST]])</f>
        <v>772.53</v>
      </c>
      <c r="AF73" s="181"/>
      <c r="AG73" s="45">
        <f>Tabelle1[[#This Row],[Total Rechnungen]]</f>
        <v>772.53</v>
      </c>
      <c r="AH73" s="51"/>
    </row>
    <row r="74" spans="1:34" s="2" customFormat="1" ht="12.6" hidden="1" customHeight="1" x14ac:dyDescent="0.15">
      <c r="A74" s="23" t="s">
        <v>529</v>
      </c>
      <c r="B74" s="337">
        <v>1355043804</v>
      </c>
      <c r="C74" s="22" t="s">
        <v>349</v>
      </c>
      <c r="D74" s="48" t="s">
        <v>60</v>
      </c>
      <c r="E74" s="48" t="s">
        <v>75</v>
      </c>
      <c r="F74" s="26">
        <f>50666</f>
        <v>50666</v>
      </c>
      <c r="G74" s="9" t="s">
        <v>28</v>
      </c>
      <c r="H74" s="13" t="s">
        <v>102</v>
      </c>
      <c r="I74" s="35" t="s">
        <v>397</v>
      </c>
      <c r="J74" s="111" t="s">
        <v>194</v>
      </c>
      <c r="K74" s="30"/>
      <c r="L74" s="30"/>
      <c r="M74" s="30"/>
      <c r="N74" s="26">
        <f>4581.35+23007.4+11309.9+7311.5</f>
        <v>46210.15</v>
      </c>
      <c r="O74" s="26">
        <f>1233.25</f>
        <v>1233.25</v>
      </c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58"/>
      <c r="AE74" s="182">
        <f>SUM(Tabelle1[[#This Row],[bis Ende 2010
CHF inkl. MWST]:[2019
CHF inkl. MWST]])</f>
        <v>47443.4</v>
      </c>
      <c r="AF74" s="181"/>
      <c r="AG74" s="181">
        <f>Tabelle1[[#This Row],[Total Rechnungen]]</f>
        <v>47443.4</v>
      </c>
    </row>
    <row r="75" spans="1:34" s="2" customFormat="1" ht="12.6" hidden="1" customHeight="1" x14ac:dyDescent="0.15">
      <c r="A75" s="23" t="s">
        <v>530</v>
      </c>
      <c r="B75" s="337">
        <v>1355043804</v>
      </c>
      <c r="C75" s="22" t="s">
        <v>349</v>
      </c>
      <c r="D75" s="9" t="s">
        <v>60</v>
      </c>
      <c r="E75" s="7" t="s">
        <v>77</v>
      </c>
      <c r="F75" s="23">
        <v>13755.42</v>
      </c>
      <c r="G75" s="9" t="s">
        <v>28</v>
      </c>
      <c r="H75" s="13" t="s">
        <v>97</v>
      </c>
      <c r="I75" s="35" t="s">
        <v>397</v>
      </c>
      <c r="J75" s="120" t="s">
        <v>194</v>
      </c>
      <c r="K75" s="36"/>
      <c r="L75" s="36"/>
      <c r="M75" s="21"/>
      <c r="N75" s="23">
        <f>1710.05</f>
        <v>1710.05</v>
      </c>
      <c r="O75" s="23">
        <f>9351.5+669.05+535.25</f>
        <v>10555.8</v>
      </c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58"/>
      <c r="AE75" s="182">
        <f>SUM(Tabelle1[[#This Row],[bis Ende 2010
CHF inkl. MWST]:[2019
CHF inkl. MWST]])</f>
        <v>12265.849999999999</v>
      </c>
      <c r="AF75" s="181"/>
      <c r="AG75" s="181">
        <f>Tabelle1[[#This Row],[Total Rechnungen]]</f>
        <v>12265.849999999999</v>
      </c>
    </row>
    <row r="76" spans="1:34" s="2" customFormat="1" ht="12.6" hidden="1" customHeight="1" x14ac:dyDescent="0.15">
      <c r="A76" s="23" t="s">
        <v>531</v>
      </c>
      <c r="B76" s="337">
        <v>1355043804</v>
      </c>
      <c r="C76" s="22" t="s">
        <v>349</v>
      </c>
      <c r="D76" s="9" t="s">
        <v>60</v>
      </c>
      <c r="E76" s="9" t="s">
        <v>86</v>
      </c>
      <c r="F76" s="23">
        <f>ROUND((20960+156959+279340)*1.08,1)</f>
        <v>493839.7</v>
      </c>
      <c r="G76" s="48" t="s">
        <v>29</v>
      </c>
      <c r="H76" s="13" t="s">
        <v>102</v>
      </c>
      <c r="I76" s="35" t="s">
        <v>397</v>
      </c>
      <c r="J76" s="111" t="s">
        <v>194</v>
      </c>
      <c r="K76" s="30"/>
      <c r="L76" s="30"/>
      <c r="M76" s="30"/>
      <c r="N76" s="43"/>
      <c r="O76" s="44"/>
      <c r="P76" s="37"/>
      <c r="Q76" s="37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58"/>
      <c r="AE76" s="182">
        <f>SUM(Tabelle1[[#This Row],[bis Ende 2010
CHF inkl. MWST]:[2019
CHF inkl. MWST]])</f>
        <v>0</v>
      </c>
      <c r="AF76" s="181"/>
      <c r="AG76" s="181">
        <f>Tabelle1[[#This Row],[Total Rechnungen]]</f>
        <v>0</v>
      </c>
      <c r="AH76" s="51"/>
    </row>
    <row r="77" spans="1:34" s="2" customFormat="1" ht="12.6" hidden="1" customHeight="1" x14ac:dyDescent="0.15">
      <c r="A77" s="23" t="s">
        <v>531</v>
      </c>
      <c r="B77" s="337">
        <v>1355043804</v>
      </c>
      <c r="C77" s="22" t="s">
        <v>349</v>
      </c>
      <c r="D77" s="9" t="s">
        <v>60</v>
      </c>
      <c r="E77" s="9" t="s">
        <v>109</v>
      </c>
      <c r="F77" s="23">
        <v>41196</v>
      </c>
      <c r="G77" s="48" t="s">
        <v>29</v>
      </c>
      <c r="H77" s="13" t="s">
        <v>102</v>
      </c>
      <c r="I77" s="35" t="s">
        <v>397</v>
      </c>
      <c r="J77" s="111" t="s">
        <v>194</v>
      </c>
      <c r="K77" s="30"/>
      <c r="L77" s="30"/>
      <c r="M77" s="30"/>
      <c r="N77" s="43"/>
      <c r="O77" s="44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58"/>
      <c r="AE77" s="182">
        <f>SUM(Tabelle1[[#This Row],[bis Ende 2010
CHF inkl. MWST]:[2019
CHF inkl. MWST]])</f>
        <v>0</v>
      </c>
      <c r="AF77" s="181"/>
      <c r="AG77" s="181">
        <f>Tabelle1[[#This Row],[Total Rechnungen]]</f>
        <v>0</v>
      </c>
      <c r="AH77" s="51"/>
    </row>
    <row r="78" spans="1:34" s="2" customFormat="1" ht="12.6" hidden="1" customHeight="1" x14ac:dyDescent="0.15">
      <c r="A78" s="23" t="s">
        <v>531</v>
      </c>
      <c r="B78" s="337">
        <v>1355043804</v>
      </c>
      <c r="C78" s="22" t="s">
        <v>349</v>
      </c>
      <c r="D78" s="9" t="s">
        <v>60</v>
      </c>
      <c r="E78" s="9" t="s">
        <v>110</v>
      </c>
      <c r="F78" s="23">
        <f>-41196*1.08</f>
        <v>-44491.68</v>
      </c>
      <c r="G78" s="48" t="s">
        <v>29</v>
      </c>
      <c r="H78" s="13" t="s">
        <v>102</v>
      </c>
      <c r="I78" s="35" t="s">
        <v>397</v>
      </c>
      <c r="J78" s="111" t="s">
        <v>194</v>
      </c>
      <c r="K78" s="30"/>
      <c r="L78" s="30"/>
      <c r="M78" s="30"/>
      <c r="N78" s="43"/>
      <c r="O78" s="44"/>
      <c r="P78" s="44"/>
      <c r="Q78" s="49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3"/>
      <c r="AE78" s="182">
        <f>SUM(Tabelle1[[#This Row],[bis Ende 2010
CHF inkl. MWST]:[2019
CHF inkl. MWST]])</f>
        <v>0</v>
      </c>
      <c r="AF78" s="181"/>
      <c r="AG78" s="181">
        <f>Tabelle1[[#This Row],[Total Rechnungen]]</f>
        <v>0</v>
      </c>
    </row>
    <row r="79" spans="1:34" s="2" customFormat="1" ht="12.6" hidden="1" customHeight="1" x14ac:dyDescent="0.15">
      <c r="A79" s="23" t="s">
        <v>532</v>
      </c>
      <c r="B79" s="337">
        <v>1355043804</v>
      </c>
      <c r="C79" s="22" t="s">
        <v>349</v>
      </c>
      <c r="D79" s="9" t="s">
        <v>60</v>
      </c>
      <c r="E79" s="9" t="s">
        <v>116</v>
      </c>
      <c r="F79" s="23">
        <f>ROUND(24643.5*1.08,1)</f>
        <v>26615</v>
      </c>
      <c r="G79" s="9" t="s">
        <v>28</v>
      </c>
      <c r="H79" s="13" t="s">
        <v>101</v>
      </c>
      <c r="I79" s="35" t="s">
        <v>397</v>
      </c>
      <c r="J79" s="111" t="s">
        <v>194</v>
      </c>
      <c r="K79" s="30"/>
      <c r="L79" s="30"/>
      <c r="M79" s="30"/>
      <c r="N79" s="43"/>
      <c r="O79" s="44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58"/>
      <c r="AE79" s="182">
        <f>SUM(Tabelle1[[#This Row],[bis Ende 2010
CHF inkl. MWST]:[2019
CHF inkl. MWST]])</f>
        <v>0</v>
      </c>
      <c r="AF79" s="181"/>
      <c r="AG79" s="181">
        <f>Tabelle1[[#This Row],[Total Rechnungen]]</f>
        <v>0</v>
      </c>
    </row>
    <row r="80" spans="1:34" s="2" customFormat="1" ht="12.6" hidden="1" customHeight="1" x14ac:dyDescent="0.15">
      <c r="A80" s="23" t="s">
        <v>533</v>
      </c>
      <c r="B80" s="337">
        <v>1355043804</v>
      </c>
      <c r="C80" s="22" t="s">
        <v>349</v>
      </c>
      <c r="D80" s="9" t="s">
        <v>60</v>
      </c>
      <c r="E80" s="9" t="s">
        <v>112</v>
      </c>
      <c r="F80" s="23">
        <f>ROUND(428206*1.08,1)</f>
        <v>462462.5</v>
      </c>
      <c r="G80" s="9" t="s">
        <v>29</v>
      </c>
      <c r="H80" s="13" t="s">
        <v>102</v>
      </c>
      <c r="I80" s="35" t="s">
        <v>397</v>
      </c>
      <c r="J80" s="111" t="s">
        <v>194</v>
      </c>
      <c r="K80" s="30"/>
      <c r="L80" s="30"/>
      <c r="M80" s="30"/>
      <c r="N80" s="43"/>
      <c r="O80" s="44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58"/>
      <c r="AE80" s="182">
        <f>SUM(Tabelle1[[#This Row],[bis Ende 2010
CHF inkl. MWST]:[2019
CHF inkl. MWST]])</f>
        <v>0</v>
      </c>
      <c r="AF80" s="181"/>
      <c r="AG80" s="181">
        <f>Tabelle1[[#This Row],[Total Rechnungen]]</f>
        <v>0</v>
      </c>
    </row>
    <row r="81" spans="1:34" s="2" customFormat="1" ht="12.6" hidden="1" customHeight="1" x14ac:dyDescent="0.15">
      <c r="A81" s="23" t="s">
        <v>534</v>
      </c>
      <c r="B81" s="337">
        <v>1355043804</v>
      </c>
      <c r="C81" s="22" t="s">
        <v>349</v>
      </c>
      <c r="D81" s="9" t="s">
        <v>60</v>
      </c>
      <c r="E81" s="9" t="s">
        <v>122</v>
      </c>
      <c r="F81" s="54">
        <f>54210*1.08</f>
        <v>58546.8</v>
      </c>
      <c r="G81" s="9" t="s">
        <v>27</v>
      </c>
      <c r="H81" s="13" t="s">
        <v>101</v>
      </c>
      <c r="I81" s="35" t="s">
        <v>397</v>
      </c>
      <c r="J81" s="111" t="s">
        <v>194</v>
      </c>
      <c r="K81" s="30"/>
      <c r="L81" s="30"/>
      <c r="M81" s="30"/>
      <c r="N81" s="43"/>
      <c r="O81" s="44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58"/>
      <c r="AE81" s="182">
        <f>SUM(Tabelle1[[#This Row],[bis Ende 2010
CHF inkl. MWST]:[2019
CHF inkl. MWST]])</f>
        <v>0</v>
      </c>
      <c r="AF81" s="181"/>
      <c r="AG81" s="181">
        <f>Tabelle1[[#This Row],[Total Rechnungen]]</f>
        <v>0</v>
      </c>
    </row>
    <row r="82" spans="1:34" s="2" customFormat="1" ht="12.6" hidden="1" customHeight="1" x14ac:dyDescent="0.15">
      <c r="A82" s="23" t="s">
        <v>535</v>
      </c>
      <c r="B82" s="337">
        <v>1355043804</v>
      </c>
      <c r="C82" s="22" t="s">
        <v>349</v>
      </c>
      <c r="D82" s="9" t="s">
        <v>60</v>
      </c>
      <c r="E82" s="9" t="s">
        <v>144</v>
      </c>
      <c r="F82" s="54">
        <f>187670*1.08</f>
        <v>202683.6</v>
      </c>
      <c r="G82" s="9" t="s">
        <v>29</v>
      </c>
      <c r="H82" s="13" t="s">
        <v>102</v>
      </c>
      <c r="I82" s="35" t="s">
        <v>397</v>
      </c>
      <c r="J82" s="111" t="s">
        <v>194</v>
      </c>
      <c r="K82" s="30"/>
      <c r="L82" s="30"/>
      <c r="M82" s="30"/>
      <c r="N82" s="43"/>
      <c r="O82" s="44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58"/>
      <c r="AE82" s="182">
        <f>SUM(Tabelle1[[#This Row],[bis Ende 2010
CHF inkl. MWST]:[2019
CHF inkl. MWST]])</f>
        <v>0</v>
      </c>
      <c r="AF82" s="181"/>
      <c r="AG82" s="181">
        <f>Tabelle1[[#This Row],[Total Rechnungen]]</f>
        <v>0</v>
      </c>
    </row>
    <row r="83" spans="1:34" s="2" customFormat="1" ht="12.6" hidden="1" customHeight="1" x14ac:dyDescent="0.15">
      <c r="A83" s="23" t="s">
        <v>535</v>
      </c>
      <c r="B83" s="337">
        <v>1355043804</v>
      </c>
      <c r="C83" s="22" t="s">
        <v>349</v>
      </c>
      <c r="D83" s="9" t="s">
        <v>60</v>
      </c>
      <c r="E83" s="9" t="s">
        <v>144</v>
      </c>
      <c r="F83" s="54">
        <f>37357*1.08</f>
        <v>40345.560000000005</v>
      </c>
      <c r="G83" s="9" t="s">
        <v>29</v>
      </c>
      <c r="H83" s="13" t="s">
        <v>102</v>
      </c>
      <c r="I83" s="35" t="s">
        <v>397</v>
      </c>
      <c r="J83" s="111" t="s">
        <v>194</v>
      </c>
      <c r="K83" s="30"/>
      <c r="L83" s="30"/>
      <c r="M83" s="30"/>
      <c r="N83" s="43"/>
      <c r="O83" s="44"/>
      <c r="P83" s="44"/>
      <c r="Q83" s="49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3"/>
      <c r="AE83" s="182">
        <f>SUM(Tabelle1[[#This Row],[bis Ende 2010
CHF inkl. MWST]:[2019
CHF inkl. MWST]])</f>
        <v>0</v>
      </c>
      <c r="AF83" s="181"/>
      <c r="AG83" s="181">
        <f>Tabelle1[[#This Row],[Total Rechnungen]]</f>
        <v>0</v>
      </c>
    </row>
    <row r="84" spans="1:34" s="2" customFormat="1" ht="12.6" hidden="1" customHeight="1" x14ac:dyDescent="0.15">
      <c r="A84" s="23" t="s">
        <v>536</v>
      </c>
      <c r="B84" s="337">
        <v>1355043804</v>
      </c>
      <c r="C84" s="22" t="s">
        <v>349</v>
      </c>
      <c r="D84" s="9" t="s">
        <v>60</v>
      </c>
      <c r="E84" s="9" t="s">
        <v>123</v>
      </c>
      <c r="F84" s="23">
        <f>182013*1.077</f>
        <v>196028.00099999999</v>
      </c>
      <c r="G84" s="9" t="s">
        <v>29</v>
      </c>
      <c r="H84" s="13" t="s">
        <v>102</v>
      </c>
      <c r="I84" s="35" t="s">
        <v>397</v>
      </c>
      <c r="J84" s="111" t="s">
        <v>194</v>
      </c>
      <c r="K84" s="30"/>
      <c r="L84" s="30"/>
      <c r="M84" s="30"/>
      <c r="N84" s="43"/>
      <c r="O84" s="44"/>
      <c r="P84" s="44"/>
      <c r="Q84" s="85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7"/>
      <c r="AE84" s="182">
        <f>SUM(Tabelle1[[#This Row],[bis Ende 2010
CHF inkl. MWST]:[2019
CHF inkl. MWST]])</f>
        <v>0</v>
      </c>
      <c r="AF84" s="181"/>
      <c r="AG84" s="181">
        <f>Tabelle1[[#This Row],[Total Rechnungen]]</f>
        <v>0</v>
      </c>
    </row>
    <row r="85" spans="1:34" s="2" customFormat="1" ht="12.6" hidden="1" customHeight="1" x14ac:dyDescent="0.15">
      <c r="A85" s="23" t="s">
        <v>537</v>
      </c>
      <c r="B85" s="337">
        <v>1355043804</v>
      </c>
      <c r="C85" s="132" t="s">
        <v>349</v>
      </c>
      <c r="D85" s="146" t="s">
        <v>60</v>
      </c>
      <c r="E85" s="146" t="s">
        <v>266</v>
      </c>
      <c r="F85" s="23">
        <f>149491*1.077-0.01</f>
        <v>161001.79699999999</v>
      </c>
      <c r="G85" s="146" t="s">
        <v>29</v>
      </c>
      <c r="H85" s="141" t="s">
        <v>102</v>
      </c>
      <c r="I85" s="35" t="s">
        <v>397</v>
      </c>
      <c r="J85" s="111" t="s">
        <v>194</v>
      </c>
      <c r="K85" s="30"/>
      <c r="L85" s="30"/>
      <c r="M85" s="30"/>
      <c r="N85" s="30"/>
      <c r="O85" s="30"/>
      <c r="P85" s="30"/>
      <c r="Q85" s="30"/>
      <c r="R85" s="37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6"/>
      <c r="AE85" s="182">
        <f>SUM(Tabelle1[[#This Row],[bis Ende 2010
CHF inkl. MWST]:[2019
CHF inkl. MWST]])</f>
        <v>0</v>
      </c>
      <c r="AF85" s="182"/>
      <c r="AG85" s="182">
        <f>Tabelle1[[#This Row],[Total Rechnungen]]</f>
        <v>0</v>
      </c>
    </row>
    <row r="86" spans="1:34" s="2" customFormat="1" ht="12.6" hidden="1" customHeight="1" x14ac:dyDescent="0.15">
      <c r="A86" s="23" t="s">
        <v>538</v>
      </c>
      <c r="B86" s="337">
        <v>1355043804</v>
      </c>
      <c r="C86" s="132" t="s">
        <v>349</v>
      </c>
      <c r="D86" s="146" t="s">
        <v>60</v>
      </c>
      <c r="E86" s="146" t="s">
        <v>266</v>
      </c>
      <c r="F86" s="23">
        <f>203913*1.077</f>
        <v>219614.30099999998</v>
      </c>
      <c r="G86" s="146" t="s">
        <v>29</v>
      </c>
      <c r="H86" s="141" t="s">
        <v>102</v>
      </c>
      <c r="I86" s="35" t="s">
        <v>397</v>
      </c>
      <c r="J86" s="111" t="s">
        <v>194</v>
      </c>
      <c r="K86" s="167"/>
      <c r="L86" s="167"/>
      <c r="M86" s="167"/>
      <c r="N86" s="167"/>
      <c r="O86" s="167"/>
      <c r="P86" s="167"/>
      <c r="Q86" s="167"/>
      <c r="R86" s="168"/>
      <c r="S86" s="168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148"/>
      <c r="AE86" s="182">
        <f>SUM(Tabelle1[[#This Row],[bis Ende 2010
CHF inkl. MWST]:[2019
CHF inkl. MWST]])</f>
        <v>0</v>
      </c>
      <c r="AF86" s="182"/>
      <c r="AG86" s="182">
        <f>Tabelle1[[#This Row],[Total Rechnungen]]</f>
        <v>0</v>
      </c>
    </row>
    <row r="87" spans="1:34" s="2" customFormat="1" ht="12.6" hidden="1" customHeight="1" x14ac:dyDescent="0.15">
      <c r="A87" s="23" t="s">
        <v>539</v>
      </c>
      <c r="B87" s="337">
        <v>1355043804</v>
      </c>
      <c r="C87" s="23" t="s">
        <v>349</v>
      </c>
      <c r="D87" s="9" t="s">
        <v>60</v>
      </c>
      <c r="E87" s="9" t="s">
        <v>354</v>
      </c>
      <c r="F87" s="23">
        <f>338754*1.077</f>
        <v>364838.05799999996</v>
      </c>
      <c r="G87" s="9" t="s">
        <v>28</v>
      </c>
      <c r="H87" s="13" t="s">
        <v>102</v>
      </c>
      <c r="I87" s="35" t="s">
        <v>397</v>
      </c>
      <c r="J87" s="111" t="s">
        <v>194</v>
      </c>
      <c r="K87" s="30"/>
      <c r="L87" s="30"/>
      <c r="M87" s="30"/>
      <c r="N87" s="43"/>
      <c r="O87" s="44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58"/>
      <c r="AE87" s="182">
        <f>SUM(Tabelle1[[#This Row],[bis Ende 2010
CHF inkl. MWST]:[2019
CHF inkl. MWST]])</f>
        <v>0</v>
      </c>
      <c r="AF87" s="182"/>
      <c r="AG87" s="182">
        <f>Tabelle1[[#This Row],[Total Rechnungen]]</f>
        <v>0</v>
      </c>
    </row>
    <row r="88" spans="1:34" s="2" customFormat="1" ht="12.6" customHeight="1" x14ac:dyDescent="0.15">
      <c r="A88" s="216" t="s">
        <v>540</v>
      </c>
      <c r="B88" s="338">
        <v>1355043804</v>
      </c>
      <c r="C88" s="240" t="s">
        <v>351</v>
      </c>
      <c r="D88" s="150" t="s">
        <v>60</v>
      </c>
      <c r="E88" s="150" t="s">
        <v>519</v>
      </c>
      <c r="F88" s="39">
        <f>282000*1.077</f>
        <v>303714</v>
      </c>
      <c r="G88" s="171" t="s">
        <v>28</v>
      </c>
      <c r="H88" s="176" t="s">
        <v>102</v>
      </c>
      <c r="I88" s="177" t="s">
        <v>397</v>
      </c>
      <c r="J88" s="111" t="s">
        <v>194</v>
      </c>
      <c r="K88" s="30"/>
      <c r="L88" s="30"/>
      <c r="M88" s="30"/>
      <c r="N88" s="30"/>
      <c r="O88" s="30"/>
      <c r="P88" s="30"/>
      <c r="Q88" s="30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58"/>
      <c r="AE88" s="182">
        <f>SUM(Tabelle1[[#This Row],[bis Ende 2010
CHF inkl. MWST]:[2019
CHF inkl. MWST]])</f>
        <v>0</v>
      </c>
      <c r="AF88" s="182"/>
      <c r="AG88" s="182">
        <f>Tabelle1[[#This Row],[Total Rechnungen]]</f>
        <v>0</v>
      </c>
    </row>
    <row r="89" spans="1:34" s="2" customFormat="1" ht="12.6" hidden="1" customHeight="1" x14ac:dyDescent="0.15">
      <c r="A89" s="23" t="s">
        <v>609</v>
      </c>
      <c r="B89" s="337">
        <v>135504407</v>
      </c>
      <c r="C89" s="23" t="s">
        <v>349</v>
      </c>
      <c r="D89" s="48" t="s">
        <v>34</v>
      </c>
      <c r="E89" s="48" t="s">
        <v>68</v>
      </c>
      <c r="F89" s="26">
        <v>12194.7</v>
      </c>
      <c r="G89" s="9" t="s">
        <v>28</v>
      </c>
      <c r="H89" s="13" t="s">
        <v>100</v>
      </c>
      <c r="I89" s="35" t="s">
        <v>397</v>
      </c>
      <c r="J89" s="17" t="s">
        <v>475</v>
      </c>
      <c r="K89" s="30"/>
      <c r="L89" s="30"/>
      <c r="M89" s="30"/>
      <c r="N89" s="43"/>
      <c r="O89" s="26">
        <f>11376.75+966.65</f>
        <v>12343.4</v>
      </c>
      <c r="P89" s="44"/>
      <c r="Q89" s="44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58"/>
      <c r="AE89" s="182">
        <f>SUM(Tabelle1[[#This Row],[bis Ende 2010
CHF inkl. MWST]:[2019
CHF inkl. MWST]])</f>
        <v>12343.4</v>
      </c>
      <c r="AF89" s="181"/>
      <c r="AG89" s="181">
        <f>Tabelle1[[#This Row],[Total Rechnungen]]</f>
        <v>12343.4</v>
      </c>
    </row>
    <row r="90" spans="1:34" s="2" customFormat="1" ht="12.6" hidden="1" customHeight="1" x14ac:dyDescent="0.15">
      <c r="A90" s="23" t="s">
        <v>610</v>
      </c>
      <c r="B90" s="337">
        <v>1355048671</v>
      </c>
      <c r="C90" s="23" t="s">
        <v>349</v>
      </c>
      <c r="D90" s="48" t="s">
        <v>56</v>
      </c>
      <c r="E90" s="9" t="s">
        <v>171</v>
      </c>
      <c r="F90" s="26">
        <v>30118.25</v>
      </c>
      <c r="G90" s="48" t="s">
        <v>28</v>
      </c>
      <c r="H90" s="13" t="s">
        <v>99</v>
      </c>
      <c r="I90" s="35" t="s">
        <v>397</v>
      </c>
      <c r="J90" s="35" t="s">
        <v>480</v>
      </c>
      <c r="K90" s="25"/>
      <c r="L90" s="25"/>
      <c r="M90" s="25"/>
      <c r="N90" s="26">
        <v>2018.45</v>
      </c>
      <c r="O90" s="26">
        <f>649.95+3017.1+665.75</f>
        <v>4332.8</v>
      </c>
      <c r="P90" s="23">
        <f>570.65</f>
        <v>570.65</v>
      </c>
      <c r="Q90" s="23">
        <f>8655+9793.7+5899.45</f>
        <v>24348.15</v>
      </c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114"/>
      <c r="AE90" s="182">
        <f>SUM(Tabelle1[[#This Row],[bis Ende 2010
CHF inkl. MWST]:[2019
CHF inkl. MWST]])</f>
        <v>31270.050000000003</v>
      </c>
      <c r="AF90" s="181"/>
      <c r="AG90" s="181">
        <f>Tabelle1[[#This Row],[Total Rechnungen]]</f>
        <v>31270.050000000003</v>
      </c>
    </row>
    <row r="91" spans="1:34" s="2" customFormat="1" ht="12.6" hidden="1" customHeight="1" x14ac:dyDescent="0.15">
      <c r="A91" s="23" t="s">
        <v>611</v>
      </c>
      <c r="B91" s="337">
        <v>1055012518</v>
      </c>
      <c r="C91" s="23" t="s">
        <v>349</v>
      </c>
      <c r="D91" s="9" t="s">
        <v>61</v>
      </c>
      <c r="E91" s="9" t="s">
        <v>62</v>
      </c>
      <c r="F91" s="23">
        <v>3053.16</v>
      </c>
      <c r="G91" s="9" t="s">
        <v>28</v>
      </c>
      <c r="H91" s="13" t="s">
        <v>97</v>
      </c>
      <c r="I91" s="35" t="s">
        <v>397</v>
      </c>
      <c r="J91" s="35" t="s">
        <v>479</v>
      </c>
      <c r="K91" s="36"/>
      <c r="L91" s="36"/>
      <c r="M91" s="21"/>
      <c r="N91" s="23">
        <f>2190.25</f>
        <v>2190.25</v>
      </c>
      <c r="O91" s="37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58"/>
      <c r="AE91" s="182">
        <f>SUM(Tabelle1[[#This Row],[bis Ende 2010
CHF inkl. MWST]:[2019
CHF inkl. MWST]])</f>
        <v>2190.25</v>
      </c>
      <c r="AF91" s="181"/>
      <c r="AG91" s="181">
        <f>Tabelle1[[#This Row],[Total Rechnungen]]</f>
        <v>2190.25</v>
      </c>
    </row>
    <row r="92" spans="1:34" s="2" customFormat="1" ht="12.6" hidden="1" customHeight="1" x14ac:dyDescent="0.15">
      <c r="A92" s="23" t="s">
        <v>611</v>
      </c>
      <c r="B92" s="337">
        <v>1055012518</v>
      </c>
      <c r="C92" s="23" t="s">
        <v>349</v>
      </c>
      <c r="D92" s="9" t="s">
        <v>61</v>
      </c>
      <c r="E92" s="9" t="s">
        <v>62</v>
      </c>
      <c r="F92" s="23">
        <v>3053.16</v>
      </c>
      <c r="G92" s="9" t="s">
        <v>28</v>
      </c>
      <c r="H92" s="13" t="s">
        <v>97</v>
      </c>
      <c r="I92" s="35" t="s">
        <v>397</v>
      </c>
      <c r="J92" s="35" t="s">
        <v>481</v>
      </c>
      <c r="K92" s="21"/>
      <c r="L92" s="21"/>
      <c r="M92" s="21"/>
      <c r="N92" s="23">
        <v>2673</v>
      </c>
      <c r="O92" s="37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58"/>
      <c r="AE92" s="182">
        <f>SUM(Tabelle1[[#This Row],[bis Ende 2010
CHF inkl. MWST]:[2019
CHF inkl. MWST]])</f>
        <v>2673</v>
      </c>
      <c r="AF92" s="181"/>
      <c r="AG92" s="181">
        <f>Tabelle1[[#This Row],[Total Rechnungen]]</f>
        <v>2673</v>
      </c>
    </row>
    <row r="93" spans="1:34" s="2" customFormat="1" ht="12.6" hidden="1" customHeight="1" x14ac:dyDescent="0.15">
      <c r="A93" s="23" t="s">
        <v>611</v>
      </c>
      <c r="B93" s="337">
        <v>1055012518</v>
      </c>
      <c r="C93" s="23" t="s">
        <v>349</v>
      </c>
      <c r="D93" s="9" t="s">
        <v>61</v>
      </c>
      <c r="E93" s="9" t="s">
        <v>62</v>
      </c>
      <c r="F93" s="23">
        <v>11883.23</v>
      </c>
      <c r="G93" s="9" t="s">
        <v>28</v>
      </c>
      <c r="H93" s="13" t="s">
        <v>97</v>
      </c>
      <c r="I93" s="35" t="s">
        <v>397</v>
      </c>
      <c r="J93" s="35" t="s">
        <v>482</v>
      </c>
      <c r="K93" s="36"/>
      <c r="L93" s="36"/>
      <c r="M93" s="21"/>
      <c r="N93" s="23">
        <f>950.4+547.55+1399.7+2090.9+1805.75+1632.95+1925.65</f>
        <v>10352.9</v>
      </c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58"/>
      <c r="AE93" s="182">
        <f>SUM(Tabelle1[[#This Row],[bis Ende 2010
CHF inkl. MWST]:[2019
CHF inkl. MWST]])</f>
        <v>10352.9</v>
      </c>
      <c r="AF93" s="181"/>
      <c r="AG93" s="181">
        <f>Tabelle1[[#This Row],[Total Rechnungen]]</f>
        <v>10352.9</v>
      </c>
    </row>
    <row r="94" spans="1:34" s="2" customFormat="1" ht="12.6" hidden="1" customHeight="1" x14ac:dyDescent="0.15">
      <c r="A94" s="23" t="s">
        <v>612</v>
      </c>
      <c r="B94" s="337">
        <v>13550116340</v>
      </c>
      <c r="C94" s="23" t="s">
        <v>349</v>
      </c>
      <c r="D94" s="9" t="s">
        <v>40</v>
      </c>
      <c r="E94" s="9" t="s">
        <v>73</v>
      </c>
      <c r="F94" s="23">
        <v>15258.65</v>
      </c>
      <c r="G94" s="9" t="s">
        <v>28</v>
      </c>
      <c r="H94" s="13" t="s">
        <v>100</v>
      </c>
      <c r="I94" s="35" t="s">
        <v>397</v>
      </c>
      <c r="J94" s="17" t="s">
        <v>475</v>
      </c>
      <c r="K94" s="21"/>
      <c r="L94" s="21"/>
      <c r="M94" s="21"/>
      <c r="N94" s="23">
        <f>727.6+1479.35+854.5</f>
        <v>3061.45</v>
      </c>
      <c r="O94" s="23">
        <f>735.65+1506.6+1071.3</f>
        <v>3313.55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57"/>
      <c r="AE94" s="182">
        <f>SUM(Tabelle1[[#This Row],[bis Ende 2010
CHF inkl. MWST]:[2019
CHF inkl. MWST]])</f>
        <v>6375</v>
      </c>
      <c r="AF94" s="181"/>
      <c r="AG94" s="181">
        <f>Tabelle1[[#This Row],[Total Rechnungen]]</f>
        <v>6375</v>
      </c>
    </row>
    <row r="95" spans="1:34" s="2" customFormat="1" ht="12.6" hidden="1" customHeight="1" x14ac:dyDescent="0.15">
      <c r="A95" s="23" t="s">
        <v>613</v>
      </c>
      <c r="B95" s="337">
        <v>1355019090</v>
      </c>
      <c r="C95" s="23" t="s">
        <v>349</v>
      </c>
      <c r="D95" s="48" t="s">
        <v>70</v>
      </c>
      <c r="E95" s="48" t="s">
        <v>69</v>
      </c>
      <c r="F95" s="26">
        <v>30212.35</v>
      </c>
      <c r="G95" s="48" t="s">
        <v>27</v>
      </c>
      <c r="H95" s="13" t="s">
        <v>101</v>
      </c>
      <c r="I95" s="35" t="s">
        <v>397</v>
      </c>
      <c r="J95" s="102" t="s">
        <v>477</v>
      </c>
      <c r="K95" s="30"/>
      <c r="L95" s="30"/>
      <c r="M95" s="30"/>
      <c r="N95" s="43"/>
      <c r="O95" s="26">
        <f>3898.35+5360.25+243.65</f>
        <v>9502.25</v>
      </c>
      <c r="P95" s="26">
        <f>2477.1+4832.35</f>
        <v>7309.4500000000007</v>
      </c>
      <c r="Q95" s="26">
        <f>5522.7+1096.42+1278.4</f>
        <v>7897.52</v>
      </c>
      <c r="R95" s="23">
        <v>564</v>
      </c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148"/>
      <c r="AE95" s="182">
        <f>SUM(Tabelle1[[#This Row],[bis Ende 2010
CHF inkl. MWST]:[2019
CHF inkl. MWST]])</f>
        <v>25273.22</v>
      </c>
      <c r="AF95" s="181"/>
      <c r="AG95" s="181">
        <f>Tabelle1[[#This Row],[Total Rechnungen]]</f>
        <v>25273.22</v>
      </c>
      <c r="AH95" s="51"/>
    </row>
    <row r="96" spans="1:34" s="2" customFormat="1" ht="12.6" hidden="1" customHeight="1" x14ac:dyDescent="0.15">
      <c r="A96" s="23" t="s">
        <v>614</v>
      </c>
      <c r="B96" s="337"/>
      <c r="C96" s="23" t="s">
        <v>349</v>
      </c>
      <c r="D96" s="48" t="s">
        <v>36</v>
      </c>
      <c r="E96" s="48" t="s">
        <v>66</v>
      </c>
      <c r="F96" s="26">
        <v>138761.54999999999</v>
      </c>
      <c r="G96" s="9" t="s">
        <v>28</v>
      </c>
      <c r="H96" s="13" t="s">
        <v>100</v>
      </c>
      <c r="I96" s="35" t="s">
        <v>397</v>
      </c>
      <c r="J96" s="17" t="s">
        <v>475</v>
      </c>
      <c r="K96" s="30"/>
      <c r="L96" s="30"/>
      <c r="M96" s="30"/>
      <c r="N96" s="26">
        <f>30662.35+16750.55</f>
        <v>47412.899999999994</v>
      </c>
      <c r="O96" s="26">
        <f>10963.2+15697.65+45476.75+4721.55</f>
        <v>76859.150000000009</v>
      </c>
      <c r="P96" s="23">
        <v>1037.75</v>
      </c>
      <c r="Q96" s="37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58"/>
      <c r="AE96" s="182">
        <f>SUM(Tabelle1[[#This Row],[bis Ende 2010
CHF inkl. MWST]:[2019
CHF inkl. MWST]])</f>
        <v>125309.8</v>
      </c>
      <c r="AF96" s="181"/>
      <c r="AG96" s="181">
        <f>Tabelle1[[#This Row],[Total Rechnungen]]</f>
        <v>125309.8</v>
      </c>
      <c r="AH96" s="51"/>
    </row>
    <row r="97" spans="1:34" s="2" customFormat="1" ht="12.6" hidden="1" customHeight="1" x14ac:dyDescent="0.15">
      <c r="A97" s="23" t="s">
        <v>615</v>
      </c>
      <c r="B97" s="337">
        <v>1355022968</v>
      </c>
      <c r="C97" s="23" t="s">
        <v>349</v>
      </c>
      <c r="D97" s="48" t="s">
        <v>76</v>
      </c>
      <c r="E97" s="48" t="s">
        <v>67</v>
      </c>
      <c r="F97" s="23">
        <v>56337.25</v>
      </c>
      <c r="G97" s="48" t="s">
        <v>29</v>
      </c>
      <c r="H97" s="13" t="s">
        <v>102</v>
      </c>
      <c r="I97" s="35" t="s">
        <v>397</v>
      </c>
      <c r="J97" s="316" t="s">
        <v>198</v>
      </c>
      <c r="K97" s="30"/>
      <c r="L97" s="30"/>
      <c r="M97" s="30"/>
      <c r="N97" s="43"/>
      <c r="O97" s="26">
        <f>11795.85+7230.45+17405.85+4213.2</f>
        <v>40645.349999999991</v>
      </c>
      <c r="P97" s="23">
        <f>1586+5922+7028.85</f>
        <v>14536.85</v>
      </c>
      <c r="Q97" s="23">
        <f>2366.58+10576.32</f>
        <v>12942.9</v>
      </c>
      <c r="R97" s="23">
        <f>615.21+1315.06</f>
        <v>1930.27</v>
      </c>
      <c r="S97" s="23">
        <v>3943.33</v>
      </c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114"/>
      <c r="AE97" s="182">
        <f>SUM(Tabelle1[[#This Row],[bis Ende 2010
CHF inkl. MWST]:[2019
CHF inkl. MWST]])</f>
        <v>73998.7</v>
      </c>
      <c r="AF97" s="181"/>
      <c r="AG97" s="181">
        <f>Tabelle1[[#This Row],[Total Rechnungen]]</f>
        <v>73998.7</v>
      </c>
      <c r="AH97" s="51"/>
    </row>
    <row r="98" spans="1:34" s="2" customFormat="1" ht="12.6" hidden="1" customHeight="1" x14ac:dyDescent="0.15">
      <c r="A98" s="23" t="s">
        <v>541</v>
      </c>
      <c r="B98" s="337">
        <v>1355022968</v>
      </c>
      <c r="C98" s="23" t="s">
        <v>349</v>
      </c>
      <c r="D98" s="48" t="s">
        <v>76</v>
      </c>
      <c r="E98" s="9" t="s">
        <v>140</v>
      </c>
      <c r="F98" s="23">
        <v>14365.65</v>
      </c>
      <c r="G98" s="48" t="s">
        <v>29</v>
      </c>
      <c r="H98" s="13" t="s">
        <v>102</v>
      </c>
      <c r="I98" s="35" t="s">
        <v>397</v>
      </c>
      <c r="J98" s="316" t="s">
        <v>198</v>
      </c>
      <c r="K98" s="30"/>
      <c r="L98" s="30"/>
      <c r="M98" s="30"/>
      <c r="N98" s="43"/>
      <c r="O98" s="44"/>
      <c r="P98" s="37"/>
      <c r="Q98" s="37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58"/>
      <c r="AE98" s="182">
        <f>SUM(Tabelle1[[#This Row],[bis Ende 2010
CHF inkl. MWST]:[2019
CHF inkl. MWST]])</f>
        <v>0</v>
      </c>
      <c r="AF98" s="181"/>
      <c r="AG98" s="181">
        <f>Tabelle1[[#This Row],[Total Rechnungen]]</f>
        <v>0</v>
      </c>
      <c r="AH98" s="51"/>
    </row>
    <row r="99" spans="1:34" s="2" customFormat="1" ht="12.6" customHeight="1" x14ac:dyDescent="0.15">
      <c r="A99" s="19" t="s">
        <v>542</v>
      </c>
      <c r="B99" s="336">
        <v>1355022968</v>
      </c>
      <c r="C99" s="92" t="s">
        <v>350</v>
      </c>
      <c r="D99" s="91" t="s">
        <v>76</v>
      </c>
      <c r="E99" s="91" t="s">
        <v>231</v>
      </c>
      <c r="F99" s="92">
        <f>43036.7*1.08</f>
        <v>46479.635999999999</v>
      </c>
      <c r="G99" s="6" t="s">
        <v>29</v>
      </c>
      <c r="H99" s="12" t="s">
        <v>102</v>
      </c>
      <c r="I99" s="56" t="s">
        <v>397</v>
      </c>
      <c r="J99" s="316" t="s">
        <v>198</v>
      </c>
      <c r="K99" s="30"/>
      <c r="L99" s="30"/>
      <c r="M99" s="30"/>
      <c r="N99" s="30"/>
      <c r="O99" s="30"/>
      <c r="P99" s="30"/>
      <c r="Q99" s="30"/>
      <c r="R99" s="55"/>
      <c r="S99" s="45"/>
      <c r="T99" s="23">
        <f>327.2+387.87</f>
        <v>715.06999999999994</v>
      </c>
      <c r="U99" s="45"/>
      <c r="V99" s="54">
        <f>286.3+2236.25</f>
        <v>2522.5500000000002</v>
      </c>
      <c r="W99" s="299">
        <f>204.49+2126.48+2190.59+5343.8</f>
        <v>9865.36</v>
      </c>
      <c r="X99" s="53"/>
      <c r="Y99" s="381"/>
      <c r="Z99" s="173">
        <v>10000</v>
      </c>
      <c r="AA99" s="173">
        <v>10000</v>
      </c>
      <c r="AB99" s="173">
        <v>7741.75</v>
      </c>
      <c r="AC99" s="53"/>
      <c r="AD99" s="40" t="s">
        <v>201</v>
      </c>
      <c r="AE99" s="180">
        <f>SUM(Tabelle1[[#This Row],[bis Ende 2010
CHF inkl. MWST]:[Aufgelaufene Kosten 2022
CHF inkl. MWST]])</f>
        <v>13102.98</v>
      </c>
      <c r="AF99" s="180">
        <f>Tabelle1[[#This Row],[Summe Vertrag
CHF inkl. MWST]]-Tabelle1[[#This Row],[Total Rechnungen]]</f>
        <v>33376.656000000003</v>
      </c>
      <c r="AG99" s="180">
        <f>Tabelle1[[#This Row],[Total Rechnungen]]+Tabelle1[[#This Row],[Restbudget Vertrag]]</f>
        <v>46479.635999999999</v>
      </c>
    </row>
    <row r="100" spans="1:34" s="2" customFormat="1" ht="12.6" hidden="1" customHeight="1" x14ac:dyDescent="0.15">
      <c r="A100" s="23" t="s">
        <v>616</v>
      </c>
      <c r="B100" s="337">
        <v>1355027132</v>
      </c>
      <c r="C100" s="23" t="s">
        <v>349</v>
      </c>
      <c r="D100" s="9" t="s">
        <v>16</v>
      </c>
      <c r="E100" s="9" t="s">
        <v>55</v>
      </c>
      <c r="F100" s="23">
        <v>104637.95</v>
      </c>
      <c r="G100" s="9" t="s">
        <v>28</v>
      </c>
      <c r="H100" s="13" t="s">
        <v>100</v>
      </c>
      <c r="I100" s="35" t="s">
        <v>397</v>
      </c>
      <c r="J100" s="31" t="s">
        <v>475</v>
      </c>
      <c r="K100" s="36"/>
      <c r="L100" s="36"/>
      <c r="M100" s="21"/>
      <c r="N100" s="23">
        <v>58825.35</v>
      </c>
      <c r="O100" s="24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58"/>
      <c r="AE100" s="182">
        <f>SUM(Tabelle1[[#This Row],[bis Ende 2010
CHF inkl. MWST]:[2019
CHF inkl. MWST]])</f>
        <v>58825.35</v>
      </c>
      <c r="AF100" s="181"/>
      <c r="AG100" s="181">
        <f>Tabelle1[[#This Row],[Total Rechnungen]]</f>
        <v>58825.35</v>
      </c>
    </row>
    <row r="101" spans="1:34" s="2" customFormat="1" ht="12.6" hidden="1" customHeight="1" x14ac:dyDescent="0.15">
      <c r="A101" s="23" t="s">
        <v>617</v>
      </c>
      <c r="B101" s="337">
        <v>1355033641</v>
      </c>
      <c r="C101" s="23" t="s">
        <v>349</v>
      </c>
      <c r="D101" s="9" t="s">
        <v>88</v>
      </c>
      <c r="E101" s="9" t="s">
        <v>89</v>
      </c>
      <c r="F101" s="23">
        <v>17340.2</v>
      </c>
      <c r="G101" s="7" t="s">
        <v>28</v>
      </c>
      <c r="H101" s="13" t="s">
        <v>101</v>
      </c>
      <c r="I101" s="35" t="s">
        <v>397</v>
      </c>
      <c r="J101" s="314" t="s">
        <v>485</v>
      </c>
      <c r="K101" s="21"/>
      <c r="L101" s="21"/>
      <c r="M101" s="21"/>
      <c r="N101" s="24"/>
      <c r="O101" s="37"/>
      <c r="P101" s="23">
        <v>14217.85</v>
      </c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58"/>
      <c r="AE101" s="182">
        <f>SUM(Tabelle1[[#This Row],[bis Ende 2010
CHF inkl. MWST]:[2019
CHF inkl. MWST]])</f>
        <v>14217.85</v>
      </c>
      <c r="AF101" s="181"/>
      <c r="AG101" s="181">
        <f>Tabelle1[[#This Row],[Total Rechnungen]]</f>
        <v>14217.85</v>
      </c>
    </row>
    <row r="102" spans="1:34" s="2" customFormat="1" ht="12.6" hidden="1" customHeight="1" x14ac:dyDescent="0.15">
      <c r="A102" s="23" t="s">
        <v>618</v>
      </c>
      <c r="B102" s="337">
        <v>1355033646</v>
      </c>
      <c r="C102" s="23" t="s">
        <v>349</v>
      </c>
      <c r="D102" s="9" t="s">
        <v>114</v>
      </c>
      <c r="E102" s="9" t="s">
        <v>83</v>
      </c>
      <c r="F102" s="23">
        <v>21654</v>
      </c>
      <c r="G102" s="7" t="s">
        <v>28</v>
      </c>
      <c r="H102" s="13" t="s">
        <v>101</v>
      </c>
      <c r="I102" s="35" t="s">
        <v>397</v>
      </c>
      <c r="J102" s="314" t="s">
        <v>485</v>
      </c>
      <c r="K102" s="36"/>
      <c r="L102" s="36"/>
      <c r="M102" s="21"/>
      <c r="N102" s="24"/>
      <c r="O102" s="23">
        <v>21654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58"/>
      <c r="AE102" s="182">
        <f>SUM(Tabelle1[[#This Row],[bis Ende 2010
CHF inkl. MWST]:[2019
CHF inkl. MWST]])</f>
        <v>21654</v>
      </c>
      <c r="AF102" s="181"/>
      <c r="AG102" s="181">
        <f>Tabelle1[[#This Row],[Total Rechnungen]]</f>
        <v>21654</v>
      </c>
    </row>
    <row r="103" spans="1:34" s="2" customFormat="1" ht="12.6" hidden="1" customHeight="1" x14ac:dyDescent="0.15">
      <c r="A103" s="23" t="s">
        <v>619</v>
      </c>
      <c r="B103" s="337">
        <v>1355034260</v>
      </c>
      <c r="C103" s="23" t="s">
        <v>349</v>
      </c>
      <c r="D103" s="9" t="s">
        <v>90</v>
      </c>
      <c r="E103" s="9" t="s">
        <v>84</v>
      </c>
      <c r="F103" s="23">
        <v>46397.2</v>
      </c>
      <c r="G103" s="7" t="s">
        <v>28</v>
      </c>
      <c r="H103" s="13" t="s">
        <v>100</v>
      </c>
      <c r="I103" s="35" t="s">
        <v>397</v>
      </c>
      <c r="J103" s="31" t="s">
        <v>475</v>
      </c>
      <c r="K103" s="21"/>
      <c r="L103" s="21"/>
      <c r="M103" s="21"/>
      <c r="N103" s="24"/>
      <c r="O103" s="23">
        <v>42866.95</v>
      </c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58"/>
      <c r="AE103" s="182">
        <f>SUM(Tabelle1[[#This Row],[bis Ende 2010
CHF inkl. MWST]:[2019
CHF inkl. MWST]])</f>
        <v>42866.95</v>
      </c>
      <c r="AF103" s="181"/>
      <c r="AG103" s="181">
        <f>Tabelle1[[#This Row],[Total Rechnungen]]</f>
        <v>42866.95</v>
      </c>
    </row>
    <row r="104" spans="1:34" s="2" customFormat="1" ht="12.6" hidden="1" customHeight="1" x14ac:dyDescent="0.15">
      <c r="A104" s="23" t="s">
        <v>620</v>
      </c>
      <c r="B104" s="337">
        <v>1355036141</v>
      </c>
      <c r="C104" s="23" t="s">
        <v>349</v>
      </c>
      <c r="D104" s="9" t="s">
        <v>91</v>
      </c>
      <c r="E104" s="48" t="s">
        <v>58</v>
      </c>
      <c r="F104" s="23">
        <v>80483.25</v>
      </c>
      <c r="G104" s="9" t="s">
        <v>28</v>
      </c>
      <c r="H104" s="13" t="s">
        <v>99</v>
      </c>
      <c r="I104" s="35" t="s">
        <v>397</v>
      </c>
      <c r="J104" s="35" t="s">
        <v>480</v>
      </c>
      <c r="K104" s="30"/>
      <c r="L104" s="30"/>
      <c r="M104" s="30"/>
      <c r="N104" s="43"/>
      <c r="O104" s="26">
        <f>40046.4+41436.9</f>
        <v>81483.3</v>
      </c>
      <c r="P104" s="54">
        <v>23798.35</v>
      </c>
      <c r="Q104" s="52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8"/>
      <c r="AE104" s="182">
        <f>SUM(Tabelle1[[#This Row],[bis Ende 2010
CHF inkl. MWST]:[2019
CHF inkl. MWST]])</f>
        <v>105281.65</v>
      </c>
      <c r="AF104" s="181"/>
      <c r="AG104" s="181">
        <f>Tabelle1[[#This Row],[Total Rechnungen]]</f>
        <v>105281.65</v>
      </c>
    </row>
    <row r="105" spans="1:34" s="2" customFormat="1" ht="12.6" hidden="1" customHeight="1" x14ac:dyDescent="0.15">
      <c r="A105" s="23" t="s">
        <v>543</v>
      </c>
      <c r="B105" s="337">
        <v>1355036141</v>
      </c>
      <c r="C105" s="23" t="s">
        <v>349</v>
      </c>
      <c r="D105" s="9" t="s">
        <v>91</v>
      </c>
      <c r="E105" s="9" t="s">
        <v>128</v>
      </c>
      <c r="F105" s="23">
        <v>24798.400000000001</v>
      </c>
      <c r="G105" s="9" t="s">
        <v>28</v>
      </c>
      <c r="H105" s="13" t="s">
        <v>99</v>
      </c>
      <c r="I105" s="35" t="s">
        <v>397</v>
      </c>
      <c r="J105" s="35" t="s">
        <v>480</v>
      </c>
      <c r="K105" s="30"/>
      <c r="L105" s="30"/>
      <c r="M105" s="30"/>
      <c r="N105" s="43"/>
      <c r="O105" s="44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8"/>
      <c r="AE105" s="182">
        <f>SUM(Tabelle1[[#This Row],[bis Ende 2010
CHF inkl. MWST]:[2019
CHF inkl. MWST]])</f>
        <v>0</v>
      </c>
      <c r="AF105" s="181"/>
      <c r="AG105" s="181">
        <f>Tabelle1[[#This Row],[Total Rechnungen]]</f>
        <v>0</v>
      </c>
    </row>
    <row r="106" spans="1:34" s="2" customFormat="1" ht="12.6" hidden="1" customHeight="1" x14ac:dyDescent="0.15">
      <c r="A106" s="23" t="s">
        <v>621</v>
      </c>
      <c r="B106" s="337">
        <v>1355036371</v>
      </c>
      <c r="C106" s="23" t="s">
        <v>349</v>
      </c>
      <c r="D106" s="9" t="s">
        <v>45</v>
      </c>
      <c r="E106" s="9" t="s">
        <v>87</v>
      </c>
      <c r="F106" s="23">
        <v>14320.8</v>
      </c>
      <c r="G106" s="7" t="s">
        <v>28</v>
      </c>
      <c r="H106" s="13" t="s">
        <v>101</v>
      </c>
      <c r="I106" s="35" t="s">
        <v>397</v>
      </c>
      <c r="J106" s="314" t="s">
        <v>485</v>
      </c>
      <c r="K106" s="21"/>
      <c r="L106" s="21"/>
      <c r="M106" s="21"/>
      <c r="N106" s="24"/>
      <c r="O106" s="23">
        <v>12031.2</v>
      </c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58"/>
      <c r="AE106" s="182">
        <f>SUM(Tabelle1[[#This Row],[bis Ende 2010
CHF inkl. MWST]:[2019
CHF inkl. MWST]])</f>
        <v>12031.2</v>
      </c>
      <c r="AF106" s="181"/>
      <c r="AG106" s="181">
        <f>Tabelle1[[#This Row],[Total Rechnungen]]</f>
        <v>12031.2</v>
      </c>
    </row>
    <row r="107" spans="1:34" s="2" customFormat="1" ht="12.6" hidden="1" customHeight="1" x14ac:dyDescent="0.15">
      <c r="A107" s="23" t="s">
        <v>622</v>
      </c>
      <c r="B107" s="337">
        <v>1355037513</v>
      </c>
      <c r="C107" s="23" t="s">
        <v>349</v>
      </c>
      <c r="D107" s="9" t="s">
        <v>16</v>
      </c>
      <c r="E107" s="9" t="s">
        <v>85</v>
      </c>
      <c r="F107" s="23">
        <v>44679.6</v>
      </c>
      <c r="G107" s="7" t="s">
        <v>28</v>
      </c>
      <c r="H107" s="13" t="s">
        <v>101</v>
      </c>
      <c r="I107" s="35" t="s">
        <v>397</v>
      </c>
      <c r="J107" s="314" t="s">
        <v>485</v>
      </c>
      <c r="K107" s="21"/>
      <c r="L107" s="21"/>
      <c r="M107" s="21"/>
      <c r="N107" s="24"/>
      <c r="O107" s="23">
        <f>32248.8+8460.25+3023.45</f>
        <v>43732.5</v>
      </c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58"/>
      <c r="AE107" s="182">
        <f>SUM(Tabelle1[[#This Row],[bis Ende 2010
CHF inkl. MWST]:[2019
CHF inkl. MWST]])</f>
        <v>43732.5</v>
      </c>
      <c r="AF107" s="181"/>
      <c r="AG107" s="181">
        <f>Tabelle1[[#This Row],[Total Rechnungen]]</f>
        <v>43732.5</v>
      </c>
    </row>
    <row r="108" spans="1:34" s="2" customFormat="1" ht="12.6" hidden="1" customHeight="1" x14ac:dyDescent="0.15">
      <c r="A108" s="23" t="s">
        <v>623</v>
      </c>
      <c r="B108" s="337">
        <v>1355037517</v>
      </c>
      <c r="C108" s="23" t="s">
        <v>349</v>
      </c>
      <c r="D108" s="9" t="s">
        <v>16</v>
      </c>
      <c r="E108" s="9" t="s">
        <v>129</v>
      </c>
      <c r="F108" s="23">
        <v>22929.5</v>
      </c>
      <c r="G108" s="9" t="s">
        <v>28</v>
      </c>
      <c r="H108" s="13" t="s">
        <v>100</v>
      </c>
      <c r="I108" s="35" t="s">
        <v>397</v>
      </c>
      <c r="J108" s="17" t="s">
        <v>475</v>
      </c>
      <c r="K108" s="30"/>
      <c r="L108" s="30"/>
      <c r="M108" s="30"/>
      <c r="N108" s="43"/>
      <c r="O108" s="44"/>
      <c r="P108" s="54">
        <f>20369+7739.9</f>
        <v>28108.9</v>
      </c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8"/>
      <c r="AE108" s="182">
        <f>SUM(Tabelle1[[#This Row],[bis Ende 2010
CHF inkl. MWST]:[2019
CHF inkl. MWST]])</f>
        <v>28108.9</v>
      </c>
      <c r="AF108" s="181"/>
      <c r="AG108" s="181">
        <f>Tabelle1[[#This Row],[Total Rechnungen]]</f>
        <v>28108.9</v>
      </c>
    </row>
    <row r="109" spans="1:34" s="2" customFormat="1" ht="12.6" hidden="1" customHeight="1" x14ac:dyDescent="0.15">
      <c r="A109" s="23" t="s">
        <v>544</v>
      </c>
      <c r="B109" s="337">
        <v>1355037517</v>
      </c>
      <c r="C109" s="23" t="s">
        <v>349</v>
      </c>
      <c r="D109" s="9" t="s">
        <v>16</v>
      </c>
      <c r="E109" s="9" t="s">
        <v>134</v>
      </c>
      <c r="F109" s="23">
        <v>7325.95</v>
      </c>
      <c r="G109" s="9" t="s">
        <v>28</v>
      </c>
      <c r="H109" s="13" t="s">
        <v>100</v>
      </c>
      <c r="I109" s="35" t="s">
        <v>397</v>
      </c>
      <c r="J109" s="17" t="s">
        <v>475</v>
      </c>
      <c r="K109" s="30"/>
      <c r="L109" s="30"/>
      <c r="M109" s="30"/>
      <c r="N109" s="43"/>
      <c r="O109" s="44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8"/>
      <c r="AE109" s="182">
        <f>SUM(Tabelle1[[#This Row],[bis Ende 2010
CHF inkl. MWST]:[2019
CHF inkl. MWST]])</f>
        <v>0</v>
      </c>
      <c r="AF109" s="181"/>
      <c r="AG109" s="181">
        <f>Tabelle1[[#This Row],[Total Rechnungen]]</f>
        <v>0</v>
      </c>
    </row>
    <row r="110" spans="1:34" s="2" customFormat="1" ht="12.6" hidden="1" customHeight="1" x14ac:dyDescent="0.15">
      <c r="A110" s="23" t="s">
        <v>624</v>
      </c>
      <c r="B110" s="337">
        <v>1355040702</v>
      </c>
      <c r="C110" s="23" t="s">
        <v>349</v>
      </c>
      <c r="D110" s="9" t="s">
        <v>72</v>
      </c>
      <c r="E110" s="9" t="s">
        <v>73</v>
      </c>
      <c r="F110" s="23">
        <v>25542</v>
      </c>
      <c r="G110" s="9" t="s">
        <v>28</v>
      </c>
      <c r="H110" s="13" t="s">
        <v>100</v>
      </c>
      <c r="I110" s="35" t="s">
        <v>398</v>
      </c>
      <c r="J110" s="17" t="s">
        <v>475</v>
      </c>
      <c r="K110" s="21"/>
      <c r="L110" s="21"/>
      <c r="M110" s="21"/>
      <c r="N110" s="24"/>
      <c r="O110" s="37"/>
      <c r="P110" s="23">
        <v>25543.75</v>
      </c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57"/>
      <c r="AE110" s="182">
        <f>SUM(Tabelle1[[#This Row],[bis Ende 2010
CHF inkl. MWST]:[2019
CHF inkl. MWST]])</f>
        <v>25543.75</v>
      </c>
      <c r="AF110" s="181"/>
      <c r="AG110" s="181">
        <f>Tabelle1[[#This Row],[Total Rechnungen]]</f>
        <v>25543.75</v>
      </c>
    </row>
    <row r="111" spans="1:34" s="2" customFormat="1" ht="12.6" hidden="1" customHeight="1" x14ac:dyDescent="0.15">
      <c r="A111" s="23" t="s">
        <v>625</v>
      </c>
      <c r="B111" s="337">
        <v>1355042117</v>
      </c>
      <c r="C111" s="23" t="s">
        <v>349</v>
      </c>
      <c r="D111" s="9" t="s">
        <v>92</v>
      </c>
      <c r="E111" s="9" t="s">
        <v>111</v>
      </c>
      <c r="F111" s="23">
        <v>25937.55</v>
      </c>
      <c r="G111" s="9" t="s">
        <v>28</v>
      </c>
      <c r="H111" s="13" t="s">
        <v>101</v>
      </c>
      <c r="I111" s="35" t="s">
        <v>397</v>
      </c>
      <c r="J111" s="314" t="s">
        <v>485</v>
      </c>
      <c r="K111" s="21"/>
      <c r="L111" s="21"/>
      <c r="M111" s="21"/>
      <c r="N111" s="24"/>
      <c r="O111" s="23">
        <v>25914.05</v>
      </c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58"/>
      <c r="AE111" s="182">
        <f>SUM(Tabelle1[[#This Row],[bis Ende 2010
CHF inkl. MWST]:[2019
CHF inkl. MWST]])</f>
        <v>25914.05</v>
      </c>
      <c r="AF111" s="181"/>
      <c r="AG111" s="181">
        <f>Tabelle1[[#This Row],[Total Rechnungen]]</f>
        <v>25914.05</v>
      </c>
      <c r="AH111" s="29"/>
    </row>
    <row r="112" spans="1:34" s="2" customFormat="1" ht="12.6" hidden="1" customHeight="1" x14ac:dyDescent="0.15">
      <c r="A112" s="23" t="s">
        <v>626</v>
      </c>
      <c r="B112" s="337"/>
      <c r="C112" s="23" t="s">
        <v>349</v>
      </c>
      <c r="D112" s="7" t="s">
        <v>0</v>
      </c>
      <c r="E112" s="9" t="s">
        <v>126</v>
      </c>
      <c r="F112" s="23">
        <v>150</v>
      </c>
      <c r="G112" s="9" t="s">
        <v>27</v>
      </c>
      <c r="H112" s="13" t="s">
        <v>101</v>
      </c>
      <c r="I112" s="35" t="s">
        <v>397</v>
      </c>
      <c r="J112" s="102" t="s">
        <v>477</v>
      </c>
      <c r="K112" s="21"/>
      <c r="L112" s="21"/>
      <c r="M112" s="21"/>
      <c r="N112" s="24"/>
      <c r="O112" s="37"/>
      <c r="P112" s="23">
        <v>150</v>
      </c>
      <c r="Q112" s="37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8"/>
      <c r="AE112" s="182">
        <f>SUM(Tabelle1[[#This Row],[bis Ende 2010
CHF inkl. MWST]:[2019
CHF inkl. MWST]])</f>
        <v>150</v>
      </c>
      <c r="AF112" s="181"/>
      <c r="AG112" s="181">
        <f>Tabelle1[[#This Row],[Total Rechnungen]]</f>
        <v>150</v>
      </c>
    </row>
    <row r="113" spans="1:33" s="2" customFormat="1" ht="12.6" hidden="1" customHeight="1" x14ac:dyDescent="0.15">
      <c r="A113" s="23" t="s">
        <v>627</v>
      </c>
      <c r="B113" s="337"/>
      <c r="C113" s="23" t="s">
        <v>349</v>
      </c>
      <c r="D113" s="9" t="s">
        <v>145</v>
      </c>
      <c r="E113" s="9" t="s">
        <v>138</v>
      </c>
      <c r="F113" s="23">
        <v>7496.65</v>
      </c>
      <c r="G113" s="9" t="s">
        <v>28</v>
      </c>
      <c r="H113" s="13" t="s">
        <v>97</v>
      </c>
      <c r="I113" s="35" t="s">
        <v>397</v>
      </c>
      <c r="J113" s="35" t="s">
        <v>482</v>
      </c>
      <c r="K113" s="21"/>
      <c r="L113" s="21"/>
      <c r="M113" s="21"/>
      <c r="N113" s="24"/>
      <c r="O113" s="45"/>
      <c r="P113" s="37"/>
      <c r="Q113" s="23">
        <v>7649.64</v>
      </c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58"/>
      <c r="AE113" s="182">
        <f>SUM(Tabelle1[[#This Row],[bis Ende 2010
CHF inkl. MWST]:[2019
CHF inkl. MWST]])</f>
        <v>7649.64</v>
      </c>
      <c r="AF113" s="181"/>
      <c r="AG113" s="181">
        <f>Tabelle1[[#This Row],[Total Rechnungen]]</f>
        <v>7649.64</v>
      </c>
    </row>
    <row r="114" spans="1:33" s="2" customFormat="1" ht="12.6" hidden="1" customHeight="1" x14ac:dyDescent="0.15">
      <c r="A114" s="23" t="s">
        <v>627</v>
      </c>
      <c r="B114" s="337"/>
      <c r="C114" s="23" t="s">
        <v>349</v>
      </c>
      <c r="D114" s="9" t="s">
        <v>165</v>
      </c>
      <c r="E114" s="9" t="s">
        <v>149</v>
      </c>
      <c r="F114" s="23">
        <v>1813.45</v>
      </c>
      <c r="G114" s="9" t="s">
        <v>28</v>
      </c>
      <c r="H114" s="13" t="s">
        <v>97</v>
      </c>
      <c r="I114" s="35" t="s">
        <v>397</v>
      </c>
      <c r="J114" s="35" t="s">
        <v>479</v>
      </c>
      <c r="K114" s="21"/>
      <c r="L114" s="21"/>
      <c r="M114" s="21"/>
      <c r="N114" s="24"/>
      <c r="O114" s="45"/>
      <c r="P114" s="37"/>
      <c r="Q114" s="23">
        <f>1877.6+318.05+796.45</f>
        <v>2992.1000000000004</v>
      </c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57"/>
      <c r="AE114" s="182">
        <f>SUM(Tabelle1[[#This Row],[bis Ende 2010
CHF inkl. MWST]:[2019
CHF inkl. MWST]])</f>
        <v>2992.1000000000004</v>
      </c>
      <c r="AF114" s="181"/>
      <c r="AG114" s="181">
        <f>Tabelle1[[#This Row],[Total Rechnungen]]</f>
        <v>2992.1000000000004</v>
      </c>
    </row>
    <row r="115" spans="1:33" s="2" customFormat="1" ht="12.6" hidden="1" customHeight="1" x14ac:dyDescent="0.15">
      <c r="A115" s="23" t="s">
        <v>628</v>
      </c>
      <c r="B115" s="337"/>
      <c r="C115" s="23" t="s">
        <v>349</v>
      </c>
      <c r="D115" s="99" t="s">
        <v>90</v>
      </c>
      <c r="E115" s="99" t="s">
        <v>215</v>
      </c>
      <c r="F115" s="100">
        <v>7837.55</v>
      </c>
      <c r="G115" s="99" t="s">
        <v>28</v>
      </c>
      <c r="H115" s="101" t="s">
        <v>97</v>
      </c>
      <c r="I115" s="35" t="s">
        <v>397</v>
      </c>
      <c r="J115" s="35" t="s">
        <v>479</v>
      </c>
      <c r="K115" s="30"/>
      <c r="L115" s="30"/>
      <c r="M115" s="30"/>
      <c r="N115" s="30"/>
      <c r="O115" s="30"/>
      <c r="P115" s="30"/>
      <c r="Q115" s="55"/>
      <c r="R115" s="23">
        <v>5466.7</v>
      </c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114"/>
      <c r="AE115" s="182">
        <f>SUM(Tabelle1[[#This Row],[bis Ende 2010
CHF inkl. MWST]:[2019
CHF inkl. MWST]])</f>
        <v>5466.7</v>
      </c>
      <c r="AF115" s="181"/>
      <c r="AG115" s="181">
        <f>Tabelle1[[#This Row],[Total Rechnungen]]</f>
        <v>5466.7</v>
      </c>
    </row>
    <row r="116" spans="1:33" s="2" customFormat="1" ht="12.6" hidden="1" customHeight="1" x14ac:dyDescent="0.15">
      <c r="A116" s="23" t="s">
        <v>628</v>
      </c>
      <c r="B116" s="337"/>
      <c r="C116" s="23" t="s">
        <v>349</v>
      </c>
      <c r="D116" s="99" t="s">
        <v>117</v>
      </c>
      <c r="E116" s="99" t="s">
        <v>217</v>
      </c>
      <c r="F116" s="100">
        <v>2138.4</v>
      </c>
      <c r="G116" s="99" t="s">
        <v>28</v>
      </c>
      <c r="H116" s="101" t="s">
        <v>97</v>
      </c>
      <c r="I116" s="35" t="s">
        <v>397</v>
      </c>
      <c r="J116" s="35" t="s">
        <v>479</v>
      </c>
      <c r="K116" s="75"/>
      <c r="L116" s="75"/>
      <c r="M116" s="75"/>
      <c r="N116" s="75"/>
      <c r="O116" s="75"/>
      <c r="P116" s="75"/>
      <c r="Q116" s="131"/>
      <c r="R116" s="100">
        <v>2138.4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10"/>
      <c r="AE116" s="182">
        <f>SUM(Tabelle1[[#This Row],[bis Ende 2010
CHF inkl. MWST]:[2019
CHF inkl. MWST]])</f>
        <v>2138.4</v>
      </c>
      <c r="AF116" s="181"/>
      <c r="AG116" s="181">
        <f>Tabelle1[[#This Row],[Total Rechnungen]]</f>
        <v>2138.4</v>
      </c>
    </row>
    <row r="117" spans="1:33" s="2" customFormat="1" ht="12.6" hidden="1" customHeight="1" x14ac:dyDescent="0.15">
      <c r="A117" s="23" t="s">
        <v>628</v>
      </c>
      <c r="B117" s="337"/>
      <c r="C117" s="23" t="s">
        <v>349</v>
      </c>
      <c r="D117" s="99" t="s">
        <v>16</v>
      </c>
      <c r="E117" s="99" t="s">
        <v>272</v>
      </c>
      <c r="F117" s="100">
        <v>2245.75</v>
      </c>
      <c r="G117" s="99" t="s">
        <v>28</v>
      </c>
      <c r="H117" s="101" t="s">
        <v>99</v>
      </c>
      <c r="I117" s="102" t="s">
        <v>398</v>
      </c>
      <c r="J117" s="102" t="s">
        <v>480</v>
      </c>
      <c r="K117" s="75"/>
      <c r="L117" s="75"/>
      <c r="M117" s="75"/>
      <c r="N117" s="75"/>
      <c r="O117" s="75"/>
      <c r="P117" s="75"/>
      <c r="Q117" s="75"/>
      <c r="R117" s="98"/>
      <c r="S117" s="100">
        <v>2926.9</v>
      </c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110"/>
      <c r="AE117" s="182">
        <f>SUM(Tabelle1[[#This Row],[bis Ende 2010
CHF inkl. MWST]:[2019
CHF inkl. MWST]])</f>
        <v>2926.9</v>
      </c>
      <c r="AF117" s="182"/>
      <c r="AG117" s="182">
        <f>Tabelle1[[#This Row],[Total Rechnungen]]</f>
        <v>2926.9</v>
      </c>
    </row>
    <row r="118" spans="1:33" s="2" customFormat="1" ht="12.6" hidden="1" customHeight="1" x14ac:dyDescent="0.15">
      <c r="A118" s="23" t="s">
        <v>628</v>
      </c>
      <c r="B118" s="337"/>
      <c r="C118" s="23" t="s">
        <v>349</v>
      </c>
      <c r="D118" s="99" t="s">
        <v>16</v>
      </c>
      <c r="E118" s="99" t="s">
        <v>220</v>
      </c>
      <c r="F118" s="100">
        <v>7085.55</v>
      </c>
      <c r="G118" s="99" t="s">
        <v>28</v>
      </c>
      <c r="H118" s="101" t="s">
        <v>99</v>
      </c>
      <c r="I118" s="102" t="s">
        <v>398</v>
      </c>
      <c r="J118" s="102" t="s">
        <v>480</v>
      </c>
      <c r="K118" s="75"/>
      <c r="L118" s="75"/>
      <c r="M118" s="75"/>
      <c r="N118" s="75"/>
      <c r="O118" s="75"/>
      <c r="P118" s="75"/>
      <c r="Q118" s="75"/>
      <c r="R118" s="100">
        <v>7169.2</v>
      </c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/>
      <c r="AD118" s="134"/>
      <c r="AE118" s="182">
        <f>SUM(Tabelle1[[#This Row],[bis Ende 2010
CHF inkl. MWST]:[2019
CHF inkl. MWST]])</f>
        <v>7169.2</v>
      </c>
      <c r="AF118" s="182"/>
      <c r="AG118" s="182">
        <f>Tabelle1[[#This Row],[Total Rechnungen]]</f>
        <v>7169.2</v>
      </c>
    </row>
    <row r="119" spans="1:33" s="2" customFormat="1" ht="12.6" hidden="1" customHeight="1" x14ac:dyDescent="0.15">
      <c r="A119" s="100" t="s">
        <v>629</v>
      </c>
      <c r="B119" s="337"/>
      <c r="C119" s="23" t="s">
        <v>349</v>
      </c>
      <c r="D119" s="9" t="s">
        <v>16</v>
      </c>
      <c r="E119" s="206" t="s">
        <v>331</v>
      </c>
      <c r="F119" s="23">
        <v>8955.35</v>
      </c>
      <c r="G119" s="9" t="s">
        <v>28</v>
      </c>
      <c r="H119" s="13" t="s">
        <v>99</v>
      </c>
      <c r="I119" s="102" t="s">
        <v>398</v>
      </c>
      <c r="J119" s="102" t="s">
        <v>480</v>
      </c>
      <c r="K119" s="204"/>
      <c r="L119" s="204"/>
      <c r="M119" s="204"/>
      <c r="N119" s="204"/>
      <c r="O119" s="204"/>
      <c r="P119" s="204"/>
      <c r="Q119" s="204"/>
      <c r="R119" s="205"/>
      <c r="S119" s="205"/>
      <c r="T119" s="75"/>
      <c r="U119" s="100">
        <v>8955.35</v>
      </c>
      <c r="V119" s="131"/>
      <c r="W119" s="75"/>
      <c r="X119" s="75"/>
      <c r="Y119" s="75"/>
      <c r="Z119" s="75"/>
      <c r="AA119" s="75"/>
      <c r="AB119" s="75"/>
      <c r="AC119" s="75"/>
      <c r="AD119" s="57"/>
      <c r="AE119" s="181">
        <f>SUM(Tabelle1[[#This Row],[bis Ende 2010
CHF inkl. MWST]:[2020
CHF inkl. MWST]])</f>
        <v>8955.35</v>
      </c>
      <c r="AF119" s="242"/>
      <c r="AG119" s="242">
        <f>Tabelle1[[#This Row],[Total Rechnungen]]</f>
        <v>8955.35</v>
      </c>
    </row>
    <row r="120" spans="1:33" s="2" customFormat="1" ht="12.6" customHeight="1" x14ac:dyDescent="0.15">
      <c r="A120" s="23" t="s">
        <v>630</v>
      </c>
      <c r="B120" s="337"/>
      <c r="C120" s="100" t="s">
        <v>350</v>
      </c>
      <c r="D120" s="9" t="s">
        <v>0</v>
      </c>
      <c r="E120" s="9" t="s">
        <v>467</v>
      </c>
      <c r="F120" s="23">
        <v>150</v>
      </c>
      <c r="G120" s="9" t="s">
        <v>27</v>
      </c>
      <c r="H120" s="13" t="s">
        <v>101</v>
      </c>
      <c r="I120" s="35" t="s">
        <v>397</v>
      </c>
      <c r="J120" s="102" t="s">
        <v>477</v>
      </c>
      <c r="K120" s="295"/>
      <c r="L120" s="295"/>
      <c r="M120" s="295"/>
      <c r="N120" s="295"/>
      <c r="O120" s="295"/>
      <c r="P120" s="295"/>
      <c r="Q120" s="295"/>
      <c r="R120" s="296"/>
      <c r="S120" s="296"/>
      <c r="T120" s="75"/>
      <c r="U120" s="75"/>
      <c r="V120" s="75"/>
      <c r="W120" s="377">
        <v>150</v>
      </c>
      <c r="X120" s="75"/>
      <c r="Y120" s="75"/>
      <c r="Z120" s="75"/>
      <c r="AA120" s="75"/>
      <c r="AB120" s="75"/>
      <c r="AC120" s="75"/>
      <c r="AD120" s="114"/>
      <c r="AE120" s="181">
        <f>SUM(Tabelle1[[#This Row],[bis Ende 2010
CHF inkl. MWST]:[Aufgelaufene Kosten 2022
CHF inkl. MWST]])</f>
        <v>150</v>
      </c>
      <c r="AF120" s="324"/>
      <c r="AG120" s="222">
        <f>Tabelle1[[#This Row],[Total Rechnungen]]</f>
        <v>150</v>
      </c>
    </row>
    <row r="121" spans="1:33" s="2" customFormat="1" ht="12.6" customHeight="1" x14ac:dyDescent="0.15">
      <c r="A121" s="100" t="s">
        <v>630</v>
      </c>
      <c r="B121" s="337"/>
      <c r="C121" s="100" t="s">
        <v>350</v>
      </c>
      <c r="D121" s="9" t="s">
        <v>457</v>
      </c>
      <c r="E121" s="9" t="s">
        <v>458</v>
      </c>
      <c r="F121" s="23">
        <f>4500*1.077</f>
        <v>4846.5</v>
      </c>
      <c r="G121" s="9" t="s">
        <v>28</v>
      </c>
      <c r="H121" s="13" t="s">
        <v>100</v>
      </c>
      <c r="I121" s="35" t="s">
        <v>398</v>
      </c>
      <c r="J121" s="102" t="s">
        <v>475</v>
      </c>
      <c r="K121" s="295"/>
      <c r="L121" s="295"/>
      <c r="M121" s="295"/>
      <c r="N121" s="295"/>
      <c r="O121" s="295"/>
      <c r="P121" s="295"/>
      <c r="Q121" s="295"/>
      <c r="R121" s="296"/>
      <c r="S121" s="296"/>
      <c r="T121" s="75"/>
      <c r="U121" s="75"/>
      <c r="V121" s="75"/>
      <c r="W121" s="100">
        <f>4500*1.077</f>
        <v>4846.5</v>
      </c>
      <c r="X121" s="75"/>
      <c r="Y121" s="75"/>
      <c r="Z121" s="75"/>
      <c r="AA121" s="75"/>
      <c r="AB121" s="75"/>
      <c r="AC121" s="75"/>
      <c r="AD121" s="57"/>
      <c r="AE121" s="181">
        <f>SUM(Tabelle1[[#This Row],[bis Ende 2010
CHF inkl. MWST]:[Aufgelaufene Kosten 2022
CHF inkl. MWST]])</f>
        <v>4846.5</v>
      </c>
      <c r="AF121" s="308"/>
      <c r="AG121" s="222">
        <f>Tabelle1[[#This Row],[Total Rechnungen]]</f>
        <v>4846.5</v>
      </c>
    </row>
    <row r="122" spans="1:33" s="2" customFormat="1" ht="12.6" customHeight="1" x14ac:dyDescent="0.15">
      <c r="A122" s="172" t="s">
        <v>630</v>
      </c>
      <c r="B122" s="343"/>
      <c r="C122" s="179" t="s">
        <v>350</v>
      </c>
      <c r="D122" s="171" t="s">
        <v>460</v>
      </c>
      <c r="E122" s="171" t="s">
        <v>461</v>
      </c>
      <c r="F122" s="172">
        <f>9000*1.077</f>
        <v>9693</v>
      </c>
      <c r="G122" s="171" t="s">
        <v>28</v>
      </c>
      <c r="H122" s="176" t="s">
        <v>97</v>
      </c>
      <c r="I122" s="177" t="s">
        <v>398</v>
      </c>
      <c r="J122" s="178" t="s">
        <v>482</v>
      </c>
      <c r="K122" s="295"/>
      <c r="L122" s="295"/>
      <c r="M122" s="295"/>
      <c r="N122" s="295"/>
      <c r="O122" s="295"/>
      <c r="P122" s="295"/>
      <c r="Q122" s="295"/>
      <c r="R122" s="296"/>
      <c r="S122" s="296"/>
      <c r="T122" s="75"/>
      <c r="U122" s="75"/>
      <c r="V122" s="75"/>
      <c r="W122" s="277">
        <f>436.2+1899.85</f>
        <v>2336.0499999999997</v>
      </c>
      <c r="X122" s="118">
        <f>5000-Tabelle1[[#This Row],[Aufgelaufene Kosten 2022
CHF inkl. MWST]]</f>
        <v>2663.9500000000003</v>
      </c>
      <c r="Y122" s="277"/>
      <c r="Z122" s="118">
        <v>4693</v>
      </c>
      <c r="AA122" s="75"/>
      <c r="AB122" s="75"/>
      <c r="AC122" s="75"/>
      <c r="AD122" s="40" t="s">
        <v>201</v>
      </c>
      <c r="AE122" s="180">
        <f>SUM(Tabelle1[[#This Row],[bis Ende 2010
CHF inkl. MWST]:[Aufgelaufene Kosten 2022
CHF inkl. MWST]])</f>
        <v>2336.0499999999997</v>
      </c>
      <c r="AF122" s="310">
        <f>Tabelle1[[#This Row],[Summe Vertrag
CHF inkl. MWST]]-Tabelle1[[#This Row],[Total Rechnungen]]</f>
        <v>7356.9500000000007</v>
      </c>
      <c r="AG122" s="192">
        <f>Tabelle1[[#This Row],[Total Rechnungen]]+Tabelle1[[#This Row],[Restbudget Vertrag]]</f>
        <v>9693</v>
      </c>
    </row>
    <row r="123" spans="1:33" s="2" customFormat="1" ht="12.6" customHeight="1" x14ac:dyDescent="0.15">
      <c r="A123" s="23" t="s">
        <v>630</v>
      </c>
      <c r="B123" s="337"/>
      <c r="C123" s="100" t="s">
        <v>350</v>
      </c>
      <c r="D123" s="9" t="s">
        <v>566</v>
      </c>
      <c r="E123" s="9" t="s">
        <v>567</v>
      </c>
      <c r="F123" s="23">
        <v>969.3</v>
      </c>
      <c r="G123" s="9" t="s">
        <v>28</v>
      </c>
      <c r="H123" s="13" t="s">
        <v>100</v>
      </c>
      <c r="I123" s="35" t="s">
        <v>398</v>
      </c>
      <c r="J123" s="102" t="s">
        <v>475</v>
      </c>
      <c r="K123" s="352"/>
      <c r="L123" s="352"/>
      <c r="M123" s="352"/>
      <c r="N123" s="352"/>
      <c r="O123" s="352"/>
      <c r="P123" s="352"/>
      <c r="Q123" s="352"/>
      <c r="R123" s="353"/>
      <c r="S123" s="353"/>
      <c r="T123" s="75"/>
      <c r="U123" s="75"/>
      <c r="V123" s="75"/>
      <c r="W123" s="100">
        <v>969.3</v>
      </c>
      <c r="X123" s="75"/>
      <c r="Y123" s="75"/>
      <c r="Z123" s="75"/>
      <c r="AA123" s="75"/>
      <c r="AB123" s="75"/>
      <c r="AC123" s="75"/>
      <c r="AD123" s="114"/>
      <c r="AE123" s="37">
        <f>Tabelle1[[#This Row],[Aufgelaufene Kosten 2022
CHF inkl. MWST]]</f>
        <v>969.3</v>
      </c>
      <c r="AF123" s="368"/>
      <c r="AG123" s="222">
        <f>Tabelle1[[#This Row],[Total Rechnungen]]+Tabelle1[[#This Row],[Restbudget Vertrag]]</f>
        <v>969.3</v>
      </c>
    </row>
    <row r="124" spans="1:33" s="2" customFormat="1" ht="12.6" customHeight="1" x14ac:dyDescent="0.15">
      <c r="A124" s="23" t="s">
        <v>630</v>
      </c>
      <c r="B124" s="337"/>
      <c r="C124" s="100" t="s">
        <v>350</v>
      </c>
      <c r="D124" s="9" t="s">
        <v>278</v>
      </c>
      <c r="E124" s="9" t="s">
        <v>735</v>
      </c>
      <c r="F124" s="23">
        <v>3136.8</v>
      </c>
      <c r="G124" s="9" t="s">
        <v>28</v>
      </c>
      <c r="H124" s="366" t="s">
        <v>100</v>
      </c>
      <c r="I124" s="35" t="s">
        <v>398</v>
      </c>
      <c r="J124" s="367" t="s">
        <v>475</v>
      </c>
      <c r="K124" s="352"/>
      <c r="L124" s="352"/>
      <c r="M124" s="352"/>
      <c r="N124" s="352"/>
      <c r="O124" s="352"/>
      <c r="P124" s="352"/>
      <c r="Q124" s="352"/>
      <c r="R124" s="353"/>
      <c r="S124" s="353"/>
      <c r="T124" s="75"/>
      <c r="U124" s="75"/>
      <c r="V124" s="75"/>
      <c r="W124" s="100">
        <v>3136.8</v>
      </c>
      <c r="X124" s="75"/>
      <c r="Y124" s="75"/>
      <c r="Z124" s="75"/>
      <c r="AA124" s="75"/>
      <c r="AB124" s="75"/>
      <c r="AC124" s="75"/>
      <c r="AD124" s="114"/>
      <c r="AE124" s="37">
        <f>Tabelle1[[#This Row],[Aufgelaufene Kosten 2022
CHF inkl. MWST]]</f>
        <v>3136.8</v>
      </c>
      <c r="AF124" s="369"/>
      <c r="AG124" s="222">
        <f>Tabelle1[[#This Row],[Total Rechnungen]]+Tabelle1[[#This Row],[Restbudget Vertrag]]</f>
        <v>3136.8</v>
      </c>
    </row>
    <row r="125" spans="1:33" s="2" customFormat="1" ht="12.6" hidden="1" customHeight="1" x14ac:dyDescent="0.15">
      <c r="A125" s="23" t="s">
        <v>631</v>
      </c>
      <c r="B125" s="337">
        <v>1355050400</v>
      </c>
      <c r="C125" s="23" t="s">
        <v>349</v>
      </c>
      <c r="D125" s="7" t="s">
        <v>22</v>
      </c>
      <c r="E125" s="9" t="s">
        <v>124</v>
      </c>
      <c r="F125" s="23">
        <v>24631.4</v>
      </c>
      <c r="G125" s="9" t="s">
        <v>28</v>
      </c>
      <c r="H125" s="13" t="s">
        <v>97</v>
      </c>
      <c r="I125" s="35" t="s">
        <v>397</v>
      </c>
      <c r="J125" s="35" t="s">
        <v>479</v>
      </c>
      <c r="K125" s="112"/>
      <c r="L125" s="112"/>
      <c r="M125" s="112"/>
      <c r="N125" s="113"/>
      <c r="O125" s="45"/>
      <c r="P125" s="23">
        <f>14067.84+6167.7</f>
        <v>20235.54</v>
      </c>
      <c r="Q125" s="23">
        <f>2057.65</f>
        <v>2057.65</v>
      </c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58"/>
      <c r="AE125" s="182">
        <f>SUM(Tabelle1[[#This Row],[bis Ende 2010
CHF inkl. MWST]:[2019
CHF inkl. MWST]])</f>
        <v>22293.190000000002</v>
      </c>
      <c r="AF125" s="181"/>
      <c r="AG125" s="181">
        <f>Tabelle1[[#This Row],[Total Rechnungen]]</f>
        <v>22293.190000000002</v>
      </c>
    </row>
    <row r="126" spans="1:33" s="2" customFormat="1" ht="12.6" hidden="1" customHeight="1" x14ac:dyDescent="0.15">
      <c r="A126" s="23" t="s">
        <v>631</v>
      </c>
      <c r="B126" s="337">
        <v>1355050400</v>
      </c>
      <c r="C126" s="23" t="s">
        <v>349</v>
      </c>
      <c r="D126" s="7" t="s">
        <v>22</v>
      </c>
      <c r="E126" s="9" t="s">
        <v>124</v>
      </c>
      <c r="F126" s="23">
        <v>9711.85</v>
      </c>
      <c r="G126" s="9" t="s">
        <v>27</v>
      </c>
      <c r="H126" s="13" t="s">
        <v>101</v>
      </c>
      <c r="I126" s="35" t="s">
        <v>397</v>
      </c>
      <c r="J126" s="102" t="s">
        <v>477</v>
      </c>
      <c r="K126" s="112"/>
      <c r="L126" s="112"/>
      <c r="M126" s="112"/>
      <c r="N126" s="113"/>
      <c r="O126" s="45"/>
      <c r="P126" s="23">
        <v>9709.7099999999991</v>
      </c>
      <c r="Q126" s="37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58"/>
      <c r="AE126" s="182">
        <f>SUM(Tabelle1[[#This Row],[bis Ende 2010
CHF inkl. MWST]:[2019
CHF inkl. MWST]])</f>
        <v>9709.7099999999991</v>
      </c>
      <c r="AF126" s="181"/>
      <c r="AG126" s="181">
        <f>Tabelle1[[#This Row],[Total Rechnungen]]</f>
        <v>9709.7099999999991</v>
      </c>
    </row>
    <row r="127" spans="1:33" s="2" customFormat="1" ht="12.6" hidden="1" customHeight="1" x14ac:dyDescent="0.15">
      <c r="A127" s="23" t="s">
        <v>632</v>
      </c>
      <c r="B127" s="337">
        <v>1355002088</v>
      </c>
      <c r="C127" s="23" t="s">
        <v>349</v>
      </c>
      <c r="D127" s="9" t="s">
        <v>121</v>
      </c>
      <c r="E127" s="9" t="s">
        <v>94</v>
      </c>
      <c r="F127" s="23">
        <v>29994.85</v>
      </c>
      <c r="G127" s="9" t="s">
        <v>27</v>
      </c>
      <c r="H127" s="13" t="s">
        <v>101</v>
      </c>
      <c r="I127" s="35" t="s">
        <v>397</v>
      </c>
      <c r="J127" s="102" t="s">
        <v>477</v>
      </c>
      <c r="K127" s="21"/>
      <c r="L127" s="21"/>
      <c r="M127" s="21"/>
      <c r="N127" s="24"/>
      <c r="O127" s="45"/>
      <c r="P127" s="23">
        <v>30013.5</v>
      </c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58"/>
      <c r="AE127" s="182">
        <f>SUM(Tabelle1[[#This Row],[bis Ende 2010
CHF inkl. MWST]:[2019
CHF inkl. MWST]])</f>
        <v>30013.5</v>
      </c>
      <c r="AF127" s="181"/>
      <c r="AG127" s="181">
        <f>Tabelle1[[#This Row],[Total Rechnungen]]</f>
        <v>30013.5</v>
      </c>
    </row>
    <row r="128" spans="1:33" s="2" customFormat="1" ht="12.6" hidden="1" customHeight="1" x14ac:dyDescent="0.15">
      <c r="A128" s="23" t="s">
        <v>633</v>
      </c>
      <c r="B128" s="337">
        <v>1355002428</v>
      </c>
      <c r="C128" s="23" t="s">
        <v>349</v>
      </c>
      <c r="D128" s="9" t="s">
        <v>130</v>
      </c>
      <c r="E128" s="9" t="s">
        <v>131</v>
      </c>
      <c r="F128" s="23">
        <v>18000</v>
      </c>
      <c r="G128" s="9" t="s">
        <v>28</v>
      </c>
      <c r="H128" s="13" t="s">
        <v>100</v>
      </c>
      <c r="I128" s="35" t="s">
        <v>397</v>
      </c>
      <c r="J128" s="17" t="s">
        <v>475</v>
      </c>
      <c r="K128" s="30"/>
      <c r="L128" s="30"/>
      <c r="M128" s="30"/>
      <c r="N128" s="43"/>
      <c r="O128" s="44"/>
      <c r="P128" s="54">
        <v>18000</v>
      </c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8"/>
      <c r="AE128" s="182">
        <f>SUM(Tabelle1[[#This Row],[bis Ende 2010
CHF inkl. MWST]:[2019
CHF inkl. MWST]])</f>
        <v>18000</v>
      </c>
      <c r="AF128" s="181"/>
      <c r="AG128" s="181">
        <f>Tabelle1[[#This Row],[Total Rechnungen]]</f>
        <v>18000</v>
      </c>
    </row>
    <row r="129" spans="1:33" s="2" customFormat="1" ht="12.6" hidden="1" customHeight="1" x14ac:dyDescent="0.15">
      <c r="A129" s="100" t="s">
        <v>634</v>
      </c>
      <c r="B129" s="337">
        <v>1355005938</v>
      </c>
      <c r="C129" s="23" t="s">
        <v>349</v>
      </c>
      <c r="D129" s="99" t="s">
        <v>132</v>
      </c>
      <c r="E129" s="99" t="s">
        <v>133</v>
      </c>
      <c r="F129" s="100">
        <f>24900*1.08</f>
        <v>26892</v>
      </c>
      <c r="G129" s="99" t="s">
        <v>28</v>
      </c>
      <c r="H129" s="101" t="s">
        <v>97</v>
      </c>
      <c r="I129" s="35" t="s">
        <v>397</v>
      </c>
      <c r="J129" s="35" t="s">
        <v>479</v>
      </c>
      <c r="K129" s="75"/>
      <c r="L129" s="75"/>
      <c r="M129" s="75"/>
      <c r="N129" s="103"/>
      <c r="O129" s="104"/>
      <c r="P129" s="105">
        <v>26892</v>
      </c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76"/>
      <c r="AE129" s="182">
        <f>SUM(Tabelle1[[#This Row],[bis Ende 2010
CHF inkl. MWST]:[2019
CHF inkl. MWST]])</f>
        <v>26892</v>
      </c>
      <c r="AF129" s="181"/>
      <c r="AG129" s="181">
        <f>Tabelle1[[#This Row],[Total Rechnungen]]</f>
        <v>26892</v>
      </c>
    </row>
    <row r="130" spans="1:33" s="2" customFormat="1" ht="12.6" hidden="1" customHeight="1" x14ac:dyDescent="0.15">
      <c r="A130" s="23" t="s">
        <v>635</v>
      </c>
      <c r="B130" s="337">
        <v>1355012172</v>
      </c>
      <c r="C130" s="23" t="s">
        <v>349</v>
      </c>
      <c r="D130" s="9" t="s">
        <v>148</v>
      </c>
      <c r="E130" s="9" t="s">
        <v>294</v>
      </c>
      <c r="F130" s="23">
        <f>146200*1.08</f>
        <v>157896</v>
      </c>
      <c r="G130" s="9" t="s">
        <v>28</v>
      </c>
      <c r="H130" s="13" t="s">
        <v>99</v>
      </c>
      <c r="I130" s="35" t="s">
        <v>397</v>
      </c>
      <c r="J130" s="35" t="s">
        <v>480</v>
      </c>
      <c r="K130" s="30"/>
      <c r="L130" s="30"/>
      <c r="M130" s="30"/>
      <c r="N130" s="30"/>
      <c r="O130" s="30"/>
      <c r="P130" s="55"/>
      <c r="Q130" s="23">
        <f>23684.4+15789.6+15789.6+15789.6+15789.6+15789.6</f>
        <v>102632.40000000001</v>
      </c>
      <c r="R130" s="23">
        <f>24258.15+16195.08+15789.6+7894.8+4573.8</f>
        <v>68711.430000000008</v>
      </c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134"/>
      <c r="AE130" s="182">
        <f>SUM(Tabelle1[[#This Row],[bis Ende 2010
CHF inkl. MWST]:[2019
CHF inkl. MWST]])</f>
        <v>171343.83000000002</v>
      </c>
      <c r="AF130" s="181"/>
      <c r="AG130" s="181">
        <f>Tabelle1[[#This Row],[Total Rechnungen]]</f>
        <v>171343.83000000002</v>
      </c>
    </row>
    <row r="131" spans="1:33" s="2" customFormat="1" ht="12.6" customHeight="1" x14ac:dyDescent="0.15">
      <c r="A131" s="92" t="s">
        <v>636</v>
      </c>
      <c r="B131" s="335">
        <v>1355012172</v>
      </c>
      <c r="C131" s="92" t="s">
        <v>350</v>
      </c>
      <c r="D131" s="91" t="s">
        <v>148</v>
      </c>
      <c r="E131" s="91" t="s">
        <v>355</v>
      </c>
      <c r="F131" s="92">
        <f>(132500+103000)*1.08</f>
        <v>254340.00000000003</v>
      </c>
      <c r="G131" s="91" t="s">
        <v>28</v>
      </c>
      <c r="H131" s="93" t="s">
        <v>99</v>
      </c>
      <c r="I131" s="94" t="s">
        <v>397</v>
      </c>
      <c r="J131" s="94" t="s">
        <v>480</v>
      </c>
      <c r="K131" s="75"/>
      <c r="L131" s="75"/>
      <c r="M131" s="75"/>
      <c r="N131" s="75"/>
      <c r="O131" s="75"/>
      <c r="P131" s="75"/>
      <c r="Q131" s="75"/>
      <c r="R131" s="100">
        <f>17576.05+31963.95+22248+24570+25650+11124</f>
        <v>133132</v>
      </c>
      <c r="S131" s="100">
        <f>4149.14+1455.3+3591.8</f>
        <v>9196.2400000000016</v>
      </c>
      <c r="T131" s="100">
        <f>4334.93+216.75+1083.73+9131.61+10286.7+4582.64+14270.25</f>
        <v>43906.61</v>
      </c>
      <c r="U131" s="100">
        <f>2043.61+14270.25+14270.25+1346.25+2961.75+3096.38+2557.88+2961.75+2154</f>
        <v>45662.119999999995</v>
      </c>
      <c r="V131" s="100">
        <f>14270.25+7135.13+9628.38+21405.38+2218.62+25848+16155+16155+16155+7539+4308+3446.4+15481.88</f>
        <v>159746.04</v>
      </c>
      <c r="W131" s="179">
        <f>16871.21+3446.4+7539+5385+4846.5+3231</f>
        <v>41319.11</v>
      </c>
      <c r="X131" s="131"/>
      <c r="Y131" s="131"/>
      <c r="Z131" s="190"/>
      <c r="AA131" s="190"/>
      <c r="AB131" s="190"/>
      <c r="AC131" s="190"/>
      <c r="AD131" s="136" t="s">
        <v>346</v>
      </c>
      <c r="AE131" s="180">
        <f>SUM(Tabelle1[[#This Row],[bis Ende 2010
CHF inkl. MWST]:[Aufgelaufene Kosten 2022
CHF inkl. MWST]])</f>
        <v>432962.12</v>
      </c>
      <c r="AF131" s="180">
        <f>Tabelle1[[#This Row],[Summe Vertrag
CHF inkl. MWST]]+F133-Tabelle1[[#This Row],[Total Rechnungen]]</f>
        <v>-95606.959999999963</v>
      </c>
      <c r="AG131" s="180">
        <f>Tabelle1[[#This Row],[Total Rechnungen]]+Tabelle1[[#This Row],[Restbudget Vertrag]]</f>
        <v>337355.16000000003</v>
      </c>
    </row>
    <row r="132" spans="1:33" s="2" customFormat="1" ht="12.6" customHeight="1" x14ac:dyDescent="0.15">
      <c r="A132" s="19" t="s">
        <v>636</v>
      </c>
      <c r="B132" s="335">
        <v>1355012172</v>
      </c>
      <c r="C132" s="19" t="s">
        <v>350</v>
      </c>
      <c r="D132" s="8" t="s">
        <v>148</v>
      </c>
      <c r="E132" s="8" t="s">
        <v>293</v>
      </c>
      <c r="F132" s="19">
        <f>(237500+115250)*1.08</f>
        <v>380970</v>
      </c>
      <c r="G132" s="8" t="s">
        <v>28</v>
      </c>
      <c r="H132" s="12" t="s">
        <v>99</v>
      </c>
      <c r="I132" s="56" t="s">
        <v>397</v>
      </c>
      <c r="J132" s="56" t="s">
        <v>480</v>
      </c>
      <c r="K132" s="30"/>
      <c r="L132" s="30"/>
      <c r="M132" s="30"/>
      <c r="N132" s="30"/>
      <c r="O132" s="30"/>
      <c r="P132" s="30"/>
      <c r="Q132" s="30"/>
      <c r="R132" s="55"/>
      <c r="S132" s="45"/>
      <c r="T132" s="45"/>
      <c r="U132" s="45"/>
      <c r="V132" s="45"/>
      <c r="W132" s="172">
        <f>11536.02+21395.95+19167.91+14625.66+8629.46+4119.53+3498.9+8158.28+9806.09+5370.2+8480.05+3182.55</f>
        <v>117970.59999999999</v>
      </c>
      <c r="X132" s="45"/>
      <c r="Y132" s="170">
        <f>22132.35</f>
        <v>22132.35</v>
      </c>
      <c r="Z132" s="39">
        <f>200000-Tabelle1[[#This Row],[Aufgelaufene Kosten 2023
CHF inkl. MWST]]</f>
        <v>177867.65</v>
      </c>
      <c r="AA132" s="39">
        <v>200000</v>
      </c>
      <c r="AB132" s="39">
        <v>100000</v>
      </c>
      <c r="AC132" s="39">
        <v>60000</v>
      </c>
      <c r="AD132" s="136" t="s">
        <v>346</v>
      </c>
      <c r="AE132" s="180">
        <f>SUM(Tabelle1[[#This Row],[2017
CHF inkl. MWST]:[Aufgelaufene Kosten 2023
CHF inkl. MWST]])</f>
        <v>140102.94999999998</v>
      </c>
      <c r="AF132" s="180">
        <f>Tabelle1[[#This Row],[Summe Vertrag
CHF inkl. MWST]]-Tabelle1[[#This Row],[Total Rechnungen]]</f>
        <v>240867.05000000002</v>
      </c>
      <c r="AG132" s="180">
        <f>Tabelle1[[#This Row],[Restbudget Vertrag]]</f>
        <v>240867.05000000002</v>
      </c>
    </row>
    <row r="133" spans="1:33" s="2" customFormat="1" ht="12.6" hidden="1" customHeight="1" x14ac:dyDescent="0.15">
      <c r="A133" s="23" t="s">
        <v>545</v>
      </c>
      <c r="B133" s="337">
        <v>1355012172</v>
      </c>
      <c r="C133" s="100" t="s">
        <v>349</v>
      </c>
      <c r="D133" s="9" t="s">
        <v>148</v>
      </c>
      <c r="E133" s="9" t="s">
        <v>368</v>
      </c>
      <c r="F133" s="23">
        <f>77080*1.077</f>
        <v>83015.16</v>
      </c>
      <c r="G133" s="9" t="s">
        <v>28</v>
      </c>
      <c r="H133" s="13" t="s">
        <v>99</v>
      </c>
      <c r="I133" s="35" t="s">
        <v>397</v>
      </c>
      <c r="J133" s="35" t="s">
        <v>480</v>
      </c>
      <c r="K133" s="30"/>
      <c r="L133" s="30"/>
      <c r="M133" s="30"/>
      <c r="N133" s="30"/>
      <c r="O133" s="30"/>
      <c r="P133" s="30"/>
      <c r="Q133" s="30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148"/>
      <c r="AE133" s="181">
        <f>SUM(Tabelle1[[#This Row],[bis Ende 2010
CHF inkl. MWST]:[2021
CHF inkl. MWST]])</f>
        <v>0</v>
      </c>
      <c r="AF133" s="282"/>
      <c r="AG133" s="181">
        <f>Tabelle1[[#This Row],[Restbudget Vertrag]]</f>
        <v>0</v>
      </c>
    </row>
    <row r="134" spans="1:33" s="2" customFormat="1" ht="12.6" hidden="1" customHeight="1" x14ac:dyDescent="0.15">
      <c r="A134" s="100" t="s">
        <v>637</v>
      </c>
      <c r="B134" s="337">
        <v>1355015434</v>
      </c>
      <c r="C134" s="100" t="s">
        <v>349</v>
      </c>
      <c r="D134" s="99" t="s">
        <v>16</v>
      </c>
      <c r="E134" s="99" t="s">
        <v>139</v>
      </c>
      <c r="F134" s="100">
        <f>24740*1.08</f>
        <v>26719.200000000001</v>
      </c>
      <c r="G134" s="99" t="s">
        <v>28</v>
      </c>
      <c r="H134" s="101" t="s">
        <v>100</v>
      </c>
      <c r="I134" s="35" t="s">
        <v>397</v>
      </c>
      <c r="J134" s="35" t="s">
        <v>475</v>
      </c>
      <c r="K134" s="95"/>
      <c r="L134" s="95"/>
      <c r="M134" s="95"/>
      <c r="N134" s="96"/>
      <c r="O134" s="97"/>
      <c r="P134" s="98"/>
      <c r="Q134" s="100">
        <f>(22260+1033.72)*1.08</f>
        <v>25157.217600000004</v>
      </c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125"/>
      <c r="AE134" s="182">
        <f>SUM(Tabelle1[[#This Row],[bis Ende 2010
CHF inkl. MWST]:[2019
CHF inkl. MWST]])</f>
        <v>25157.217600000004</v>
      </c>
      <c r="AF134" s="181"/>
      <c r="AG134" s="181">
        <f>Tabelle1[[#This Row],[Total Rechnungen]]</f>
        <v>25157.217600000004</v>
      </c>
    </row>
    <row r="135" spans="1:33" s="2" customFormat="1" ht="12.6" hidden="1" customHeight="1" x14ac:dyDescent="0.15">
      <c r="A135" s="23" t="s">
        <v>637</v>
      </c>
      <c r="B135" s="337">
        <v>1355015434</v>
      </c>
      <c r="C135" s="100" t="s">
        <v>349</v>
      </c>
      <c r="D135" s="9" t="s">
        <v>16</v>
      </c>
      <c r="E135" s="9" t="s">
        <v>136</v>
      </c>
      <c r="F135" s="23">
        <f>21023*1.08</f>
        <v>22704.84</v>
      </c>
      <c r="G135" s="9" t="s">
        <v>28</v>
      </c>
      <c r="H135" s="13" t="s">
        <v>100</v>
      </c>
      <c r="I135" s="35" t="s">
        <v>397</v>
      </c>
      <c r="J135" s="129" t="s">
        <v>475</v>
      </c>
      <c r="K135" s="30"/>
      <c r="L135" s="30"/>
      <c r="M135" s="30"/>
      <c r="N135" s="43"/>
      <c r="O135" s="44"/>
      <c r="P135" s="44"/>
      <c r="Q135" s="26">
        <f>(1993.65+22478.96)*1.08</f>
        <v>26430.418800000003</v>
      </c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126"/>
      <c r="AE135" s="182">
        <f>SUM(Tabelle1[[#This Row],[bis Ende 2010
CHF inkl. MWST]:[2019
CHF inkl. MWST]])</f>
        <v>26430.418800000003</v>
      </c>
      <c r="AF135" s="181"/>
      <c r="AG135" s="181">
        <f>Tabelle1[[#This Row],[Total Rechnungen]]</f>
        <v>26430.418800000003</v>
      </c>
    </row>
    <row r="136" spans="1:33" s="2" customFormat="1" ht="12.6" hidden="1" customHeight="1" x14ac:dyDescent="0.15">
      <c r="A136" s="100" t="s">
        <v>546</v>
      </c>
      <c r="B136" s="337">
        <v>1355015434</v>
      </c>
      <c r="C136" s="100" t="s">
        <v>349</v>
      </c>
      <c r="D136" s="9" t="s">
        <v>16</v>
      </c>
      <c r="E136" s="9" t="s">
        <v>162</v>
      </c>
      <c r="F136" s="23">
        <v>15006.6</v>
      </c>
      <c r="G136" s="9" t="s">
        <v>28</v>
      </c>
      <c r="H136" s="13" t="s">
        <v>97</v>
      </c>
      <c r="I136" s="35" t="s">
        <v>397</v>
      </c>
      <c r="J136" s="35" t="s">
        <v>479</v>
      </c>
      <c r="K136" s="21"/>
      <c r="L136" s="21"/>
      <c r="M136" s="21"/>
      <c r="N136" s="24"/>
      <c r="O136" s="45"/>
      <c r="P136" s="37"/>
      <c r="Q136" s="23">
        <f>11435*1.08</f>
        <v>12349.800000000001</v>
      </c>
      <c r="R136" s="37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125"/>
      <c r="AE136" s="182">
        <f>SUM(Tabelle1[[#This Row],[bis Ende 2010
CHF inkl. MWST]:[2019
CHF inkl. MWST]])</f>
        <v>12349.800000000001</v>
      </c>
      <c r="AF136" s="181"/>
      <c r="AG136" s="181">
        <f>Tabelle1[[#This Row],[Total Rechnungen]]</f>
        <v>12349.800000000001</v>
      </c>
    </row>
    <row r="137" spans="1:33" s="2" customFormat="1" ht="12.6" hidden="1" customHeight="1" x14ac:dyDescent="0.15">
      <c r="A137" s="100" t="s">
        <v>547</v>
      </c>
      <c r="B137" s="337">
        <v>1355015434</v>
      </c>
      <c r="C137" s="100" t="s">
        <v>349</v>
      </c>
      <c r="D137" s="9" t="s">
        <v>16</v>
      </c>
      <c r="E137" s="9" t="s">
        <v>221</v>
      </c>
      <c r="F137" s="23">
        <f>3445*1.08</f>
        <v>3720.6000000000004</v>
      </c>
      <c r="G137" s="9" t="s">
        <v>28</v>
      </c>
      <c r="H137" s="101" t="s">
        <v>100</v>
      </c>
      <c r="I137" s="35" t="s">
        <v>397</v>
      </c>
      <c r="J137" s="35" t="s">
        <v>475</v>
      </c>
      <c r="K137" s="21"/>
      <c r="L137" s="21"/>
      <c r="M137" s="21"/>
      <c r="N137" s="24"/>
      <c r="O137" s="45"/>
      <c r="P137" s="37"/>
      <c r="Q137" s="37"/>
      <c r="R137" s="100">
        <f>4318.75+195.8+201.3</f>
        <v>4715.8500000000004</v>
      </c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125"/>
      <c r="AE137" s="182">
        <f>SUM(Tabelle1[[#This Row],[bis Ende 2010
CHF inkl. MWST]:[2019
CHF inkl. MWST]])</f>
        <v>4715.8500000000004</v>
      </c>
      <c r="AF137" s="181"/>
      <c r="AG137" s="181">
        <f>Tabelle1[[#This Row],[Total Rechnungen]]</f>
        <v>4715.8500000000004</v>
      </c>
    </row>
    <row r="138" spans="1:33" s="2" customFormat="1" ht="12.6" hidden="1" customHeight="1" x14ac:dyDescent="0.15">
      <c r="A138" s="23" t="s">
        <v>547</v>
      </c>
      <c r="B138" s="337">
        <v>1355015434</v>
      </c>
      <c r="C138" s="100" t="s">
        <v>349</v>
      </c>
      <c r="D138" s="9" t="s">
        <v>16</v>
      </c>
      <c r="E138" s="9" t="s">
        <v>195</v>
      </c>
      <c r="F138" s="23">
        <f>29440*1.08</f>
        <v>31795.200000000001</v>
      </c>
      <c r="G138" s="9" t="s">
        <v>28</v>
      </c>
      <c r="H138" s="13" t="s">
        <v>100</v>
      </c>
      <c r="I138" s="35" t="s">
        <v>397</v>
      </c>
      <c r="J138" s="129" t="s">
        <v>475</v>
      </c>
      <c r="K138" s="30"/>
      <c r="L138" s="30"/>
      <c r="M138" s="30"/>
      <c r="N138" s="43"/>
      <c r="O138" s="44"/>
      <c r="P138" s="44"/>
      <c r="Q138" s="44"/>
      <c r="R138" s="23">
        <f>15950.65+4165.75+6662.05</f>
        <v>26778.45</v>
      </c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58"/>
      <c r="AE138" s="182">
        <f>SUM(Tabelle1[[#This Row],[bis Ende 2010
CHF inkl. MWST]:[2019
CHF inkl. MWST]])</f>
        <v>26778.45</v>
      </c>
      <c r="AF138" s="181"/>
      <c r="AG138" s="181">
        <f>Tabelle1[[#This Row],[Total Rechnungen]]</f>
        <v>26778.45</v>
      </c>
    </row>
    <row r="139" spans="1:33" s="2" customFormat="1" ht="12.6" hidden="1" customHeight="1" x14ac:dyDescent="0.15">
      <c r="A139" s="23" t="s">
        <v>638</v>
      </c>
      <c r="B139" s="337">
        <v>1355017177</v>
      </c>
      <c r="C139" s="100" t="s">
        <v>349</v>
      </c>
      <c r="D139" s="9" t="s">
        <v>146</v>
      </c>
      <c r="E139" s="9" t="s">
        <v>137</v>
      </c>
      <c r="F139" s="23">
        <f>13062.5*1.08</f>
        <v>14107.500000000002</v>
      </c>
      <c r="G139" s="9" t="s">
        <v>28</v>
      </c>
      <c r="H139" s="13" t="s">
        <v>101</v>
      </c>
      <c r="I139" s="35" t="s">
        <v>397</v>
      </c>
      <c r="J139" s="314" t="s">
        <v>485</v>
      </c>
      <c r="K139" s="21"/>
      <c r="L139" s="21"/>
      <c r="M139" s="21"/>
      <c r="N139" s="24"/>
      <c r="O139" s="45"/>
      <c r="P139" s="37"/>
      <c r="Q139" s="23">
        <v>14107.5</v>
      </c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58"/>
      <c r="AE139" s="182">
        <f>SUM(Tabelle1[[#This Row],[bis Ende 2010
CHF inkl. MWST]:[2019
CHF inkl. MWST]])</f>
        <v>14107.5</v>
      </c>
      <c r="AF139" s="181"/>
      <c r="AG139" s="181">
        <f>Tabelle1[[#This Row],[Total Rechnungen]]</f>
        <v>14107.5</v>
      </c>
    </row>
    <row r="140" spans="1:33" s="2" customFormat="1" ht="12.6" hidden="1" customHeight="1" x14ac:dyDescent="0.15">
      <c r="A140" s="23" t="s">
        <v>639</v>
      </c>
      <c r="B140" s="337">
        <v>1355017183</v>
      </c>
      <c r="C140" s="100" t="s">
        <v>349</v>
      </c>
      <c r="D140" s="9" t="s">
        <v>45</v>
      </c>
      <c r="E140" s="9" t="s">
        <v>142</v>
      </c>
      <c r="F140" s="23">
        <v>11150.25</v>
      </c>
      <c r="G140" s="9" t="s">
        <v>28</v>
      </c>
      <c r="H140" s="13" t="s">
        <v>97</v>
      </c>
      <c r="I140" s="35" t="s">
        <v>397</v>
      </c>
      <c r="J140" s="35" t="s">
        <v>482</v>
      </c>
      <c r="K140" s="37"/>
      <c r="L140" s="37"/>
      <c r="M140" s="37"/>
      <c r="N140" s="37"/>
      <c r="O140" s="45"/>
      <c r="P140" s="37"/>
      <c r="Q140" s="23">
        <v>11831.85</v>
      </c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182">
        <f>SUM(Tabelle1[[#This Row],[bis Ende 2010
CHF inkl. MWST]:[2019
CHF inkl. MWST]])</f>
        <v>11831.85</v>
      </c>
      <c r="AF140" s="181"/>
      <c r="AG140" s="181">
        <f>Tabelle1[[#This Row],[Total Rechnungen]]</f>
        <v>11831.85</v>
      </c>
    </row>
    <row r="141" spans="1:33" s="2" customFormat="1" ht="12.6" customHeight="1" x14ac:dyDescent="0.15">
      <c r="A141" s="23" t="s">
        <v>640</v>
      </c>
      <c r="B141" s="337">
        <v>1355023636</v>
      </c>
      <c r="C141" s="100" t="s">
        <v>350</v>
      </c>
      <c r="D141" s="370" t="s">
        <v>76</v>
      </c>
      <c r="E141" s="370" t="s">
        <v>168</v>
      </c>
      <c r="F141" s="123">
        <v>87521.05</v>
      </c>
      <c r="G141" s="370" t="s">
        <v>28</v>
      </c>
      <c r="H141" s="371" t="s">
        <v>97</v>
      </c>
      <c r="I141" s="372" t="s">
        <v>397</v>
      </c>
      <c r="J141" s="373" t="s">
        <v>491</v>
      </c>
      <c r="K141" s="75"/>
      <c r="L141" s="75"/>
      <c r="M141" s="75"/>
      <c r="N141" s="103"/>
      <c r="O141" s="104"/>
      <c r="P141" s="104"/>
      <c r="Q141" s="104"/>
      <c r="R141" s="100">
        <f>82676.16+9201.33</f>
        <v>91877.49</v>
      </c>
      <c r="S141" s="97"/>
      <c r="T141" s="97"/>
      <c r="U141" s="100">
        <f>169.08+1141.89</f>
        <v>1310.97</v>
      </c>
      <c r="V141" s="100">
        <f>7778.09+2653.46+3995.93</f>
        <v>14427.48</v>
      </c>
      <c r="W141" s="100">
        <f>156.7+680.39</f>
        <v>837.08999999999992</v>
      </c>
      <c r="X141" s="97"/>
      <c r="Y141" s="97"/>
      <c r="Z141" s="97"/>
      <c r="AA141" s="97"/>
      <c r="AB141" s="97"/>
      <c r="AC141" s="97"/>
      <c r="AD141" s="110"/>
      <c r="AE141" s="181">
        <f>SUM(Tabelle1[[#This Row],[bis Ende 2010
CHF inkl. MWST]:[Aufgelaufene Kosten 2022
CHF inkl. MWST]])</f>
        <v>108453.03</v>
      </c>
      <c r="AF141" s="181"/>
      <c r="AG141" s="181">
        <f>Tabelle1[[#This Row],[Total Rechnungen]]</f>
        <v>108453.03</v>
      </c>
    </row>
    <row r="142" spans="1:33" s="2" customFormat="1" ht="12.6" hidden="1" customHeight="1" x14ac:dyDescent="0.15">
      <c r="A142" s="23" t="s">
        <v>548</v>
      </c>
      <c r="B142" s="337">
        <v>1355023636</v>
      </c>
      <c r="C142" s="100" t="s">
        <v>349</v>
      </c>
      <c r="D142" s="99" t="s">
        <v>76</v>
      </c>
      <c r="E142" s="99" t="s">
        <v>271</v>
      </c>
      <c r="F142" s="100">
        <v>13624.05</v>
      </c>
      <c r="G142" s="99" t="s">
        <v>28</v>
      </c>
      <c r="H142" s="101" t="s">
        <v>97</v>
      </c>
      <c r="I142" s="102" t="s">
        <v>397</v>
      </c>
      <c r="J142" s="102" t="s">
        <v>491</v>
      </c>
      <c r="K142" s="75"/>
      <c r="L142" s="75"/>
      <c r="M142" s="75"/>
      <c r="N142" s="75"/>
      <c r="O142" s="75"/>
      <c r="P142" s="75"/>
      <c r="Q142" s="75"/>
      <c r="R142" s="131"/>
      <c r="S142" s="131"/>
      <c r="T142" s="131"/>
      <c r="U142" s="75"/>
      <c r="V142" s="108"/>
      <c r="W142" s="272"/>
      <c r="X142" s="190"/>
      <c r="Y142" s="190"/>
      <c r="Z142" s="190"/>
      <c r="AA142" s="190"/>
      <c r="AB142" s="190"/>
      <c r="AC142" s="190"/>
      <c r="AD142" s="114"/>
      <c r="AE142" s="182">
        <f>SUM(Tabelle1[[#This Row],[bis Ende 2010
CHF inkl. MWST]:[2021
CHF inkl. MWST]])</f>
        <v>0</v>
      </c>
      <c r="AF142" s="182"/>
      <c r="AG142" s="182">
        <f>Tabelle1[[#This Row],[Total Rechnungen]]+Tabelle1[[#This Row],[Restbudget Vertrag]]</f>
        <v>0</v>
      </c>
    </row>
    <row r="143" spans="1:33" s="2" customFormat="1" ht="12.6" hidden="1" customHeight="1" x14ac:dyDescent="0.15">
      <c r="A143" s="23" t="s">
        <v>549</v>
      </c>
      <c r="B143" s="337">
        <v>1355023636</v>
      </c>
      <c r="C143" s="100" t="s">
        <v>349</v>
      </c>
      <c r="D143" s="99" t="s">
        <v>76</v>
      </c>
      <c r="E143" s="260" t="s">
        <v>353</v>
      </c>
      <c r="F143" s="23">
        <f>9570*1.077</f>
        <v>10306.89</v>
      </c>
      <c r="G143" s="99" t="s">
        <v>28</v>
      </c>
      <c r="H143" s="101" t="s">
        <v>97</v>
      </c>
      <c r="I143" s="102" t="s">
        <v>397</v>
      </c>
      <c r="J143" s="102" t="s">
        <v>491</v>
      </c>
      <c r="K143" s="213"/>
      <c r="L143" s="213"/>
      <c r="M143" s="213"/>
      <c r="N143" s="213"/>
      <c r="O143" s="213"/>
      <c r="P143" s="213"/>
      <c r="Q143" s="213"/>
      <c r="R143" s="214"/>
      <c r="S143" s="214"/>
      <c r="T143" s="75"/>
      <c r="U143" s="75"/>
      <c r="V143" s="108"/>
      <c r="W143" s="272"/>
      <c r="X143" s="75"/>
      <c r="Y143" s="75"/>
      <c r="Z143" s="75"/>
      <c r="AA143" s="75"/>
      <c r="AB143" s="75"/>
      <c r="AC143" s="75"/>
      <c r="AD143" s="114"/>
      <c r="AE143" s="182">
        <f>SUM(Tabelle1[[#This Row],[bis Ende 2010
CHF inkl. MWST]:[2021
CHF inkl. MWST]])</f>
        <v>0</v>
      </c>
      <c r="AF143" s="247"/>
      <c r="AG143" s="182">
        <f>Tabelle1[[#This Row],[Total Rechnungen]]+Tabelle1[[#This Row],[Restbudget Vertrag]]</f>
        <v>0</v>
      </c>
    </row>
    <row r="144" spans="1:33" s="2" customFormat="1" ht="12.6" hidden="1" customHeight="1" x14ac:dyDescent="0.15">
      <c r="A144" s="359" t="s">
        <v>641</v>
      </c>
      <c r="B144" s="337">
        <v>1355023648</v>
      </c>
      <c r="C144" s="230" t="s">
        <v>349</v>
      </c>
      <c r="D144" s="9" t="s">
        <v>163</v>
      </c>
      <c r="E144" s="9" t="s">
        <v>164</v>
      </c>
      <c r="F144" s="23">
        <v>17680.55</v>
      </c>
      <c r="G144" s="9" t="s">
        <v>28</v>
      </c>
      <c r="H144" s="13" t="s">
        <v>97</v>
      </c>
      <c r="I144" s="102" t="s">
        <v>397</v>
      </c>
      <c r="J144" s="35" t="s">
        <v>479</v>
      </c>
      <c r="K144" s="21"/>
      <c r="L144" s="21"/>
      <c r="M144" s="21"/>
      <c r="N144" s="24"/>
      <c r="O144" s="45"/>
      <c r="P144" s="37"/>
      <c r="Q144" s="23">
        <v>17680.55</v>
      </c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9"/>
      <c r="AE144" s="182">
        <f>SUM(Tabelle1[[#This Row],[bis Ende 2010
CHF inkl. MWST]:[2019
CHF inkl. MWST]])</f>
        <v>17680.55</v>
      </c>
      <c r="AF144" s="181"/>
      <c r="AG144" s="181">
        <f>Tabelle1[[#This Row],[Total Rechnungen]]</f>
        <v>17680.55</v>
      </c>
    </row>
    <row r="145" spans="1:34" s="2" customFormat="1" ht="12.6" hidden="1" customHeight="1" x14ac:dyDescent="0.15">
      <c r="A145" s="23" t="s">
        <v>747</v>
      </c>
      <c r="B145" s="337">
        <v>1355024041</v>
      </c>
      <c r="C145" s="230" t="s">
        <v>349</v>
      </c>
      <c r="D145" s="9" t="s">
        <v>36</v>
      </c>
      <c r="E145" s="9" t="s">
        <v>135</v>
      </c>
      <c r="F145" s="23">
        <f>(50473*0.95+50473*0.03)*1.08</f>
        <v>53420.623200000002</v>
      </c>
      <c r="G145" s="9" t="s">
        <v>28</v>
      </c>
      <c r="H145" s="13" t="s">
        <v>99</v>
      </c>
      <c r="I145" s="102" t="s">
        <v>397</v>
      </c>
      <c r="J145" s="35" t="s">
        <v>480</v>
      </c>
      <c r="K145" s="30"/>
      <c r="L145" s="30"/>
      <c r="M145" s="30"/>
      <c r="N145" s="30"/>
      <c r="O145" s="30"/>
      <c r="P145" s="55"/>
      <c r="Q145" s="23">
        <v>23058.65</v>
      </c>
      <c r="R145" s="23">
        <f>564.85+1300.65+5148.95+1091.15</f>
        <v>8105.6</v>
      </c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110"/>
      <c r="AE145" s="182">
        <f>SUM(Tabelle1[[#This Row],[bis Ende 2010
CHF inkl. MWST]:[2019
CHF inkl. MWST]])</f>
        <v>31164.25</v>
      </c>
      <c r="AF145" s="182"/>
      <c r="AG145" s="181">
        <f>Tabelle1[[#This Row],[Total Rechnungen]]</f>
        <v>31164.25</v>
      </c>
    </row>
    <row r="146" spans="1:34" s="2" customFormat="1" ht="12.6" hidden="1" customHeight="1" x14ac:dyDescent="0.15">
      <c r="A146" s="23" t="s">
        <v>642</v>
      </c>
      <c r="B146" s="337">
        <v>1355024041</v>
      </c>
      <c r="C146" s="23" t="s">
        <v>349</v>
      </c>
      <c r="D146" s="9" t="s">
        <v>36</v>
      </c>
      <c r="E146" s="9" t="s">
        <v>358</v>
      </c>
      <c r="F146" s="23">
        <f>(14632*0.95+14632*0.03)*1.08</f>
        <v>15486.5088</v>
      </c>
      <c r="G146" s="9" t="s">
        <v>28</v>
      </c>
      <c r="H146" s="13" t="s">
        <v>99</v>
      </c>
      <c r="I146" s="102" t="s">
        <v>397</v>
      </c>
      <c r="J146" s="102" t="s">
        <v>480</v>
      </c>
      <c r="K146" s="75"/>
      <c r="L146" s="75"/>
      <c r="M146" s="75"/>
      <c r="N146" s="75"/>
      <c r="O146" s="75"/>
      <c r="P146" s="75"/>
      <c r="Q146" s="75"/>
      <c r="R146" s="131"/>
      <c r="S146" s="98"/>
      <c r="T146" s="131"/>
      <c r="U146" s="100">
        <v>1017.5</v>
      </c>
      <c r="V146" s="100">
        <f>959.55+683.9+5781.65+3081.1</f>
        <v>10506.199999999999</v>
      </c>
      <c r="W146" s="190"/>
      <c r="X146" s="190"/>
      <c r="Y146" s="190"/>
      <c r="Z146" s="190"/>
      <c r="AA146" s="190"/>
      <c r="AB146" s="190"/>
      <c r="AC146" s="190"/>
      <c r="AD146" s="110"/>
      <c r="AE146" s="181">
        <f>SUM(Tabelle1[[#This Row],[bis Ende 2010
CHF inkl. MWST]:[2021
CHF inkl. MWST]])</f>
        <v>11523.699999999999</v>
      </c>
      <c r="AF146" s="181"/>
      <c r="AG146" s="181">
        <f>Tabelle1[[#This Row],[Total Rechnungen]]+Tabelle1[[#This Row],[Restbudget Vertrag]]</f>
        <v>11523.699999999999</v>
      </c>
      <c r="AH146" s="29"/>
    </row>
    <row r="147" spans="1:34" s="2" customFormat="1" ht="12.6" customHeight="1" x14ac:dyDescent="0.15">
      <c r="A147" s="19" t="s">
        <v>642</v>
      </c>
      <c r="B147" s="335">
        <v>1355024041</v>
      </c>
      <c r="C147" s="19" t="s">
        <v>350</v>
      </c>
      <c r="D147" s="8" t="s">
        <v>36</v>
      </c>
      <c r="E147" s="8" t="s">
        <v>359</v>
      </c>
      <c r="F147" s="19">
        <f>(34622*0.95+34622*0.03)*1.08</f>
        <v>36643.924800000001</v>
      </c>
      <c r="G147" s="8" t="s">
        <v>28</v>
      </c>
      <c r="H147" s="12" t="s">
        <v>99</v>
      </c>
      <c r="I147" s="56" t="s">
        <v>397</v>
      </c>
      <c r="J147" s="56" t="s">
        <v>480</v>
      </c>
      <c r="K147" s="30"/>
      <c r="L147" s="30"/>
      <c r="M147" s="30"/>
      <c r="N147" s="43"/>
      <c r="O147" s="44"/>
      <c r="P147" s="30"/>
      <c r="Q147" s="30"/>
      <c r="R147" s="30"/>
      <c r="S147" s="30"/>
      <c r="T147" s="30"/>
      <c r="U147" s="30"/>
      <c r="V147" s="30"/>
      <c r="W147" s="278">
        <f>1028.05+1471.7+3886.3+1379.2</f>
        <v>7765.25</v>
      </c>
      <c r="X147" s="161">
        <f>10000-Tabelle1[[#This Row],[Aufgelaufene Kosten 2022
CHF inkl. MWST]]</f>
        <v>2234.75</v>
      </c>
      <c r="Y147" s="278"/>
      <c r="Z147" s="161">
        <v>15000</v>
      </c>
      <c r="AA147" s="161">
        <v>20000</v>
      </c>
      <c r="AB147" s="161">
        <v>20000</v>
      </c>
      <c r="AC147" s="161">
        <v>2000</v>
      </c>
      <c r="AD147" s="40" t="s">
        <v>346</v>
      </c>
      <c r="AE147" s="180">
        <f>SUM(Tabelle1[[#This Row],[bis Ende 2010
CHF inkl. MWST]:[Aufgelaufene Kosten 2022
CHF inkl. MWST]])</f>
        <v>7765.25</v>
      </c>
      <c r="AF147" s="180">
        <f>Tabelle1[[#This Row],[Summe Vertrag
CHF inkl. MWST]]-Tabelle1[[#This Row],[Total Rechnungen]]</f>
        <v>28878.674800000001</v>
      </c>
      <c r="AG147" s="180">
        <f>Tabelle1[[#This Row],[Total Rechnungen]]+Tabelle1[[#This Row],[Restbudget Vertrag]]</f>
        <v>36643.924800000001</v>
      </c>
    </row>
    <row r="148" spans="1:34" s="2" customFormat="1" ht="12.6" customHeight="1" x14ac:dyDescent="0.15">
      <c r="A148" s="92" t="s">
        <v>643</v>
      </c>
      <c r="B148" s="335">
        <v>1355024401</v>
      </c>
      <c r="C148" s="92" t="s">
        <v>350</v>
      </c>
      <c r="D148" s="8" t="s">
        <v>56</v>
      </c>
      <c r="E148" s="91" t="s">
        <v>172</v>
      </c>
      <c r="F148" s="92">
        <f>85569.85*1.08</f>
        <v>92415.438000000009</v>
      </c>
      <c r="G148" s="91" t="s">
        <v>28</v>
      </c>
      <c r="H148" s="93" t="s">
        <v>99</v>
      </c>
      <c r="I148" s="94" t="s">
        <v>397</v>
      </c>
      <c r="J148" s="94" t="s">
        <v>480</v>
      </c>
      <c r="K148" s="107"/>
      <c r="L148" s="107"/>
      <c r="M148" s="107"/>
      <c r="N148" s="104"/>
      <c r="O148" s="104"/>
      <c r="P148" s="98"/>
      <c r="Q148" s="100">
        <f>4135.15+12140.55</f>
        <v>16275.699999999999</v>
      </c>
      <c r="R148" s="100">
        <f>9001.15+8618.85+4224.45+3846.95</f>
        <v>25691.4</v>
      </c>
      <c r="S148" s="100">
        <f>2478.15+2056.05+934.45+1088.9</f>
        <v>6557.5500000000011</v>
      </c>
      <c r="T148" s="100">
        <f>1394.25+665.5+1224.55+3426.85</f>
        <v>6711.15</v>
      </c>
      <c r="U148" s="100">
        <f>2146.2+5062.9+3430.25+4117.9</f>
        <v>14757.249999999998</v>
      </c>
      <c r="V148" s="100">
        <f>2996.4+6535.45+6295.65+3011.6</f>
        <v>18839.099999999999</v>
      </c>
      <c r="W148" s="179">
        <f>7115.6+5245.55+5661.8+4135.55+7086.35</f>
        <v>29244.85</v>
      </c>
      <c r="X148" s="97"/>
      <c r="Y148" s="280"/>
      <c r="Z148" s="72">
        <v>35000</v>
      </c>
      <c r="AA148" s="72">
        <v>30000</v>
      </c>
      <c r="AB148" s="72">
        <v>30000</v>
      </c>
      <c r="AC148" s="72">
        <v>20000</v>
      </c>
      <c r="AD148" s="73" t="s">
        <v>346</v>
      </c>
      <c r="AE148" s="180">
        <f>SUM(Tabelle1[[#This Row],[bis Ende 2010
CHF inkl. MWST]:[Aufgelaufene Kosten 2022
CHF inkl. MWST]])</f>
        <v>118077</v>
      </c>
      <c r="AF148" s="180">
        <f>Tabelle1[[#This Row],[Summe Vertrag
CHF inkl. MWST]]+F149-Tabelle1[[#This Row],[Total Rechnungen]]</f>
        <v>40772.79528000002</v>
      </c>
      <c r="AG148" s="180">
        <f>Tabelle1[[#This Row],[Total Rechnungen]]+Tabelle1[[#This Row],[Restbudget Vertrag]]</f>
        <v>158849.79528000002</v>
      </c>
    </row>
    <row r="149" spans="1:34" s="2" customFormat="1" ht="12.6" hidden="1" customHeight="1" x14ac:dyDescent="0.15">
      <c r="A149" s="23" t="s">
        <v>568</v>
      </c>
      <c r="B149" s="337">
        <v>1355024401</v>
      </c>
      <c r="C149" s="100" t="s">
        <v>349</v>
      </c>
      <c r="D149" s="9" t="s">
        <v>56</v>
      </c>
      <c r="E149" s="9" t="s">
        <v>447</v>
      </c>
      <c r="F149" s="23">
        <f>61684.64*1.077</f>
        <v>66434.357279999997</v>
      </c>
      <c r="G149" s="99" t="s">
        <v>28</v>
      </c>
      <c r="H149" s="101" t="s">
        <v>99</v>
      </c>
      <c r="I149" s="102" t="s">
        <v>397</v>
      </c>
      <c r="J149" s="102" t="s">
        <v>480</v>
      </c>
      <c r="K149" s="30"/>
      <c r="L149" s="30"/>
      <c r="M149" s="30"/>
      <c r="N149" s="30"/>
      <c r="O149" s="30"/>
      <c r="P149" s="30"/>
      <c r="Q149" s="30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114"/>
      <c r="AE149" s="297"/>
      <c r="AF149" s="298"/>
      <c r="AG149" s="298"/>
    </row>
    <row r="150" spans="1:34" s="2" customFormat="1" ht="12.6" hidden="1" customHeight="1" x14ac:dyDescent="0.15">
      <c r="A150" s="23" t="s">
        <v>644</v>
      </c>
      <c r="B150" s="337">
        <v>1355025541</v>
      </c>
      <c r="C150" s="23" t="s">
        <v>349</v>
      </c>
      <c r="D150" s="9" t="s">
        <v>16</v>
      </c>
      <c r="E150" s="9" t="s">
        <v>188</v>
      </c>
      <c r="F150" s="23">
        <v>18041.2</v>
      </c>
      <c r="G150" s="9" t="s">
        <v>28</v>
      </c>
      <c r="H150" s="13" t="s">
        <v>99</v>
      </c>
      <c r="I150" s="102" t="s">
        <v>397</v>
      </c>
      <c r="J150" s="35" t="s">
        <v>480</v>
      </c>
      <c r="K150" s="21"/>
      <c r="L150" s="21"/>
      <c r="M150" s="21"/>
      <c r="N150" s="24"/>
      <c r="O150" s="45"/>
      <c r="P150" s="37"/>
      <c r="Q150" s="23">
        <v>14747.5</v>
      </c>
      <c r="R150" s="23">
        <v>8011.7</v>
      </c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114"/>
      <c r="AE150" s="182">
        <f>SUM(Tabelle1[[#This Row],[bis Ende 2010
CHF inkl. MWST]:[2019
CHF inkl. MWST]])</f>
        <v>22759.200000000001</v>
      </c>
      <c r="AF150" s="181"/>
      <c r="AG150" s="181">
        <f>Tabelle1[[#This Row],[Total Rechnungen]]</f>
        <v>22759.200000000001</v>
      </c>
    </row>
    <row r="151" spans="1:34" s="2" customFormat="1" ht="12.6" hidden="1" customHeight="1" x14ac:dyDescent="0.15">
      <c r="A151" s="23" t="s">
        <v>550</v>
      </c>
      <c r="B151" s="337">
        <v>1355025541</v>
      </c>
      <c r="C151" s="23" t="s">
        <v>349</v>
      </c>
      <c r="D151" s="9" t="s">
        <v>16</v>
      </c>
      <c r="E151" s="9" t="s">
        <v>188</v>
      </c>
      <c r="F151" s="23">
        <v>4747.7</v>
      </c>
      <c r="G151" s="9" t="s">
        <v>28</v>
      </c>
      <c r="H151" s="13" t="s">
        <v>99</v>
      </c>
      <c r="I151" s="102" t="s">
        <v>397</v>
      </c>
      <c r="J151" s="35" t="s">
        <v>480</v>
      </c>
      <c r="K151" s="21"/>
      <c r="L151" s="21"/>
      <c r="M151" s="21"/>
      <c r="N151" s="24"/>
      <c r="O151" s="45"/>
      <c r="P151" s="37"/>
      <c r="Q151" s="37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114"/>
      <c r="AE151" s="182">
        <f>SUM(Tabelle1[[#This Row],[bis Ende 2010
CHF inkl. MWST]:[2019
CHF inkl. MWST]])</f>
        <v>0</v>
      </c>
      <c r="AF151" s="181"/>
      <c r="AG151" s="181">
        <f>Tabelle1[[#This Row],[Total Rechnungen]]</f>
        <v>0</v>
      </c>
    </row>
    <row r="152" spans="1:34" s="2" customFormat="1" ht="12.6" hidden="1" customHeight="1" x14ac:dyDescent="0.15">
      <c r="A152" s="100" t="s">
        <v>645</v>
      </c>
      <c r="B152" s="337">
        <v>1355025919</v>
      </c>
      <c r="C152" s="23" t="s">
        <v>349</v>
      </c>
      <c r="D152" s="99" t="s">
        <v>22</v>
      </c>
      <c r="E152" s="99" t="s">
        <v>167</v>
      </c>
      <c r="F152" s="123">
        <v>12158.4</v>
      </c>
      <c r="G152" s="99" t="s">
        <v>27</v>
      </c>
      <c r="H152" s="101" t="s">
        <v>100</v>
      </c>
      <c r="I152" s="102" t="s">
        <v>397</v>
      </c>
      <c r="J152" s="102" t="s">
        <v>475</v>
      </c>
      <c r="K152" s="75"/>
      <c r="L152" s="75"/>
      <c r="M152" s="75"/>
      <c r="N152" s="103"/>
      <c r="O152" s="104"/>
      <c r="P152" s="106"/>
      <c r="Q152" s="104"/>
      <c r="R152" s="100">
        <v>11768.25</v>
      </c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110"/>
      <c r="AE152" s="182">
        <f>SUM(Tabelle1[[#This Row],[bis Ende 2010
CHF inkl. MWST]:[2019
CHF inkl. MWST]])</f>
        <v>11768.25</v>
      </c>
      <c r="AF152" s="181"/>
      <c r="AG152" s="181">
        <f>Tabelle1[[#This Row],[Total Rechnungen]]</f>
        <v>11768.25</v>
      </c>
    </row>
    <row r="153" spans="1:34" s="2" customFormat="1" ht="12.6" hidden="1" customHeight="1" x14ac:dyDescent="0.15">
      <c r="A153" s="23" t="s">
        <v>646</v>
      </c>
      <c r="B153" s="337"/>
      <c r="C153" s="23" t="s">
        <v>349</v>
      </c>
      <c r="D153" s="99" t="s">
        <v>191</v>
      </c>
      <c r="E153" s="99" t="s">
        <v>192</v>
      </c>
      <c r="F153" s="100">
        <v>120</v>
      </c>
      <c r="G153" s="9" t="s">
        <v>28</v>
      </c>
      <c r="H153" s="13" t="s">
        <v>98</v>
      </c>
      <c r="I153" s="102" t="s">
        <v>397</v>
      </c>
      <c r="J153" s="102" t="s">
        <v>475</v>
      </c>
      <c r="K153" s="107"/>
      <c r="L153" s="107"/>
      <c r="M153" s="107"/>
      <c r="N153" s="104"/>
      <c r="O153" s="104"/>
      <c r="P153" s="98"/>
      <c r="Q153" s="100">
        <v>120</v>
      </c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110"/>
      <c r="AE153" s="182">
        <f>SUM(Tabelle1[[#This Row],[bis Ende 2010
CHF inkl. MWST]:[2019
CHF inkl. MWST]])</f>
        <v>120</v>
      </c>
      <c r="AF153" s="181"/>
      <c r="AG153" s="181">
        <f>Tabelle1[[#This Row],[Total Rechnungen]]</f>
        <v>120</v>
      </c>
    </row>
    <row r="154" spans="1:34" s="2" customFormat="1" ht="12.6" hidden="1" customHeight="1" x14ac:dyDescent="0.15">
      <c r="A154" s="23" t="s">
        <v>646</v>
      </c>
      <c r="B154" s="337"/>
      <c r="C154" s="23" t="s">
        <v>349</v>
      </c>
      <c r="D154" s="9" t="s">
        <v>173</v>
      </c>
      <c r="E154" s="9" t="s">
        <v>178</v>
      </c>
      <c r="F154" s="23">
        <v>1033</v>
      </c>
      <c r="G154" s="9" t="s">
        <v>28</v>
      </c>
      <c r="H154" s="13" t="s">
        <v>98</v>
      </c>
      <c r="I154" s="102" t="s">
        <v>397</v>
      </c>
      <c r="J154" s="35" t="s">
        <v>475</v>
      </c>
      <c r="K154" s="25"/>
      <c r="L154" s="25"/>
      <c r="M154" s="25"/>
      <c r="N154" s="44"/>
      <c r="O154" s="44"/>
      <c r="P154" s="37"/>
      <c r="Q154" s="23">
        <v>1033</v>
      </c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114"/>
      <c r="AE154" s="182">
        <f>SUM(Tabelle1[[#This Row],[bis Ende 2010
CHF inkl. MWST]:[2019
CHF inkl. MWST]])</f>
        <v>1033</v>
      </c>
      <c r="AF154" s="181"/>
      <c r="AG154" s="181">
        <f>Tabelle1[[#This Row],[Total Rechnungen]]</f>
        <v>1033</v>
      </c>
    </row>
    <row r="155" spans="1:34" s="2" customFormat="1" ht="12.6" customHeight="1" x14ac:dyDescent="0.15">
      <c r="A155" s="23" t="s">
        <v>647</v>
      </c>
      <c r="B155" s="337"/>
      <c r="C155" s="100" t="s">
        <v>350</v>
      </c>
      <c r="D155" s="9" t="s">
        <v>473</v>
      </c>
      <c r="E155" s="9" t="s">
        <v>474</v>
      </c>
      <c r="F155" s="23">
        <v>1592.9</v>
      </c>
      <c r="G155" s="9" t="s">
        <v>28</v>
      </c>
      <c r="H155" s="13" t="s">
        <v>98</v>
      </c>
      <c r="I155" s="102" t="s">
        <v>397</v>
      </c>
      <c r="J155" s="35" t="s">
        <v>475</v>
      </c>
      <c r="K155" s="30"/>
      <c r="L155" s="30"/>
      <c r="M155" s="30"/>
      <c r="N155" s="30"/>
      <c r="O155" s="30"/>
      <c r="P155" s="30"/>
      <c r="Q155" s="30"/>
      <c r="R155" s="75"/>
      <c r="S155" s="75"/>
      <c r="T155" s="75"/>
      <c r="U155" s="75"/>
      <c r="V155" s="75"/>
      <c r="W155" s="377">
        <v>1592.9</v>
      </c>
      <c r="X155" s="75"/>
      <c r="Y155" s="75"/>
      <c r="Z155" s="75"/>
      <c r="AA155" s="75"/>
      <c r="AB155" s="75"/>
      <c r="AC155" s="75"/>
      <c r="AD155" s="114"/>
      <c r="AE155" s="24">
        <f>Tabelle1[[#This Row],[Aufgelaufene Kosten 2022
CHF inkl. MWST]]</f>
        <v>1592.9</v>
      </c>
      <c r="AF155" s="181"/>
      <c r="AG155" s="181">
        <f>Tabelle1[[#This Row],[Total Rechnungen]]</f>
        <v>1592.9</v>
      </c>
    </row>
    <row r="156" spans="1:34" s="2" customFormat="1" ht="12.6" customHeight="1" x14ac:dyDescent="0.15">
      <c r="A156" s="23" t="s">
        <v>743</v>
      </c>
      <c r="B156" s="337"/>
      <c r="C156" s="100" t="s">
        <v>350</v>
      </c>
      <c r="D156" s="9" t="s">
        <v>473</v>
      </c>
      <c r="E156" s="9" t="s">
        <v>744</v>
      </c>
      <c r="F156" s="23">
        <v>2299.65</v>
      </c>
      <c r="G156" s="9" t="s">
        <v>28</v>
      </c>
      <c r="H156" s="13" t="s">
        <v>98</v>
      </c>
      <c r="I156" s="102" t="s">
        <v>397</v>
      </c>
      <c r="J156" s="35" t="s">
        <v>475</v>
      </c>
      <c r="K156" s="374"/>
      <c r="L156" s="374"/>
      <c r="M156" s="374"/>
      <c r="N156" s="374"/>
      <c r="O156" s="374"/>
      <c r="P156" s="374"/>
      <c r="Q156" s="374"/>
      <c r="R156" s="375"/>
      <c r="S156" s="375"/>
      <c r="T156" s="75"/>
      <c r="U156" s="75"/>
      <c r="V156" s="75"/>
      <c r="W156" s="75"/>
      <c r="X156" s="75"/>
      <c r="Y156" s="100">
        <v>2299.65</v>
      </c>
      <c r="Z156" s="75"/>
      <c r="AA156" s="75"/>
      <c r="AB156" s="75"/>
      <c r="AC156" s="75"/>
      <c r="AD156" s="114"/>
      <c r="AE156" s="37">
        <f>Tabelle1[[#This Row],[Aufgelaufene Kosten 2023
CHF inkl. MWST]]</f>
        <v>2299.65</v>
      </c>
      <c r="AF156" s="37"/>
      <c r="AG156" s="181">
        <f>Tabelle1[[#This Row],[Total Rechnungen]]</f>
        <v>2299.65</v>
      </c>
    </row>
    <row r="157" spans="1:34" s="2" customFormat="1" ht="12.6" hidden="1" customHeight="1" x14ac:dyDescent="0.15">
      <c r="A157" s="287" t="s">
        <v>648</v>
      </c>
      <c r="B157" s="337">
        <v>1355029416</v>
      </c>
      <c r="C157" s="287" t="s">
        <v>349</v>
      </c>
      <c r="D157" s="288" t="s">
        <v>176</v>
      </c>
      <c r="E157" s="288" t="s">
        <v>177</v>
      </c>
      <c r="F157" s="23">
        <v>21600</v>
      </c>
      <c r="G157" s="289" t="s">
        <v>28</v>
      </c>
      <c r="H157" s="290" t="s">
        <v>101</v>
      </c>
      <c r="I157" s="102" t="s">
        <v>397</v>
      </c>
      <c r="J157" s="314" t="s">
        <v>485</v>
      </c>
      <c r="K157" s="30"/>
      <c r="L157" s="30"/>
      <c r="M157" s="30"/>
      <c r="N157" s="43"/>
      <c r="O157" s="44"/>
      <c r="P157" s="44"/>
      <c r="Q157" s="44"/>
      <c r="R157" s="23">
        <f>7830+3366.9</f>
        <v>11196.9</v>
      </c>
      <c r="S157" s="45"/>
      <c r="T157" s="45"/>
      <c r="U157" s="75"/>
      <c r="V157" s="75"/>
      <c r="W157" s="45"/>
      <c r="X157" s="45"/>
      <c r="Y157" s="45"/>
      <c r="Z157" s="45"/>
      <c r="AA157" s="113"/>
      <c r="AB157" s="113"/>
      <c r="AC157" s="113"/>
      <c r="AD157" s="114"/>
      <c r="AE157" s="181">
        <f>SUM(Tabelle1[[#This Row],[bis Ende 2010
CHF inkl. MWST]:[2021
CHF inkl. MWST]])</f>
        <v>11196.9</v>
      </c>
      <c r="AF157" s="181"/>
      <c r="AG157" s="181">
        <f>Tabelle1[[#This Row],[Total Rechnungen]]+Tabelle1[[#This Row],[Restbudget Vertrag]]</f>
        <v>11196.9</v>
      </c>
    </row>
    <row r="158" spans="1:34" s="2" customFormat="1" ht="12.6" hidden="1" customHeight="1" x14ac:dyDescent="0.15">
      <c r="A158" s="23" t="s">
        <v>649</v>
      </c>
      <c r="B158" s="337">
        <v>1355029768</v>
      </c>
      <c r="C158" s="100" t="s">
        <v>349</v>
      </c>
      <c r="D158" s="99" t="s">
        <v>223</v>
      </c>
      <c r="E158" s="99" t="s">
        <v>222</v>
      </c>
      <c r="F158" s="100">
        <v>12555</v>
      </c>
      <c r="G158" s="99" t="s">
        <v>28</v>
      </c>
      <c r="H158" s="101" t="s">
        <v>99</v>
      </c>
      <c r="I158" s="102" t="s">
        <v>398</v>
      </c>
      <c r="J158" s="102" t="s">
        <v>480</v>
      </c>
      <c r="K158" s="75"/>
      <c r="L158" s="75"/>
      <c r="M158" s="75"/>
      <c r="N158" s="75"/>
      <c r="O158" s="75"/>
      <c r="P158" s="75"/>
      <c r="Q158" s="75"/>
      <c r="R158" s="100">
        <v>12555</v>
      </c>
      <c r="S158" s="131"/>
      <c r="T158" s="131"/>
      <c r="U158" s="131"/>
      <c r="V158" s="131"/>
      <c r="W158" s="131"/>
      <c r="X158" s="131"/>
      <c r="Y158" s="131"/>
      <c r="Z158" s="131"/>
      <c r="AA158" s="131"/>
      <c r="AB158" s="131"/>
      <c r="AC158" s="131"/>
      <c r="AD158" s="76"/>
      <c r="AE158" s="182">
        <f>SUM(Tabelle1[[#This Row],[bis Ende 2010
CHF inkl. MWST]:[2019
CHF inkl. MWST]])</f>
        <v>12555</v>
      </c>
      <c r="AF158" s="182"/>
      <c r="AG158" s="182">
        <f>Tabelle1[[#This Row],[Total Rechnungen]]</f>
        <v>12555</v>
      </c>
    </row>
    <row r="159" spans="1:34" s="2" customFormat="1" ht="12.6" hidden="1" customHeight="1" x14ac:dyDescent="0.15">
      <c r="A159" s="23" t="s">
        <v>650</v>
      </c>
      <c r="B159" s="337">
        <v>1355029879</v>
      </c>
      <c r="C159" s="100" t="s">
        <v>349</v>
      </c>
      <c r="D159" s="360" t="s">
        <v>22</v>
      </c>
      <c r="E159" s="360" t="s">
        <v>197</v>
      </c>
      <c r="F159" s="100">
        <v>41531.949999999997</v>
      </c>
      <c r="G159" s="99" t="s">
        <v>28</v>
      </c>
      <c r="H159" s="101" t="s">
        <v>100</v>
      </c>
      <c r="I159" s="102" t="s">
        <v>397</v>
      </c>
      <c r="J159" s="129" t="s">
        <v>475</v>
      </c>
      <c r="K159" s="75"/>
      <c r="L159" s="75"/>
      <c r="M159" s="75"/>
      <c r="N159" s="103"/>
      <c r="O159" s="104"/>
      <c r="P159" s="104"/>
      <c r="Q159" s="104"/>
      <c r="R159" s="100">
        <f>11266.25+7302.8</f>
        <v>18569.05</v>
      </c>
      <c r="S159" s="100">
        <f>498.85+384.6</f>
        <v>883.45</v>
      </c>
      <c r="T159" s="105">
        <v>5931</v>
      </c>
      <c r="U159" s="131"/>
      <c r="V159" s="273"/>
      <c r="W159" s="131"/>
      <c r="X159" s="131"/>
      <c r="Y159" s="131"/>
      <c r="Z159" s="194"/>
      <c r="AA159" s="194"/>
      <c r="AB159" s="194"/>
      <c r="AC159" s="194"/>
      <c r="AD159" s="110"/>
      <c r="AE159" s="181">
        <f>SUM(Tabelle1[[#This Row],[bis Ende 2010
CHF inkl. MWST]:[Aufgelaufene Kosten 2022
CHF inkl. MWST]])</f>
        <v>25383.5</v>
      </c>
      <c r="AF159" s="181"/>
      <c r="AG159" s="181">
        <f>Tabelle1[[#This Row],[Total Rechnungen]]+Tabelle1[[#This Row],[Restbudget Vertrag]]</f>
        <v>25383.5</v>
      </c>
    </row>
    <row r="160" spans="1:34" s="2" customFormat="1" ht="12.6" hidden="1" customHeight="1" x14ac:dyDescent="0.15">
      <c r="A160" s="100" t="s">
        <v>651</v>
      </c>
      <c r="B160" s="337"/>
      <c r="C160" s="100" t="s">
        <v>349</v>
      </c>
      <c r="D160" s="9" t="s">
        <v>16</v>
      </c>
      <c r="E160" s="9" t="s">
        <v>233</v>
      </c>
      <c r="F160" s="144">
        <v>0</v>
      </c>
      <c r="G160" s="9" t="s">
        <v>28</v>
      </c>
      <c r="H160" s="101" t="s">
        <v>99</v>
      </c>
      <c r="I160" s="102" t="s">
        <v>397</v>
      </c>
      <c r="J160" s="102" t="s">
        <v>480</v>
      </c>
      <c r="K160" s="21"/>
      <c r="L160" s="21"/>
      <c r="M160" s="21"/>
      <c r="N160" s="24"/>
      <c r="O160" s="45"/>
      <c r="P160" s="37"/>
      <c r="Q160" s="45"/>
      <c r="R160" s="100">
        <v>764.25</v>
      </c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114"/>
      <c r="AE160" s="182">
        <f>SUM(Tabelle1[[#This Row],[bis Ende 2010
CHF inkl. MWST]:[2019
CHF inkl. MWST]])</f>
        <v>764.25</v>
      </c>
      <c r="AF160" s="181"/>
      <c r="AG160" s="181">
        <f>Tabelle1[[#This Row],[Total Rechnungen]]</f>
        <v>764.25</v>
      </c>
    </row>
    <row r="161" spans="1:33" s="2" customFormat="1" ht="12.6" hidden="1" customHeight="1" x14ac:dyDescent="0.15">
      <c r="A161" s="100" t="s">
        <v>651</v>
      </c>
      <c r="B161" s="337"/>
      <c r="C161" s="100" t="s">
        <v>349</v>
      </c>
      <c r="D161" s="99" t="s">
        <v>169</v>
      </c>
      <c r="E161" s="99" t="s">
        <v>170</v>
      </c>
      <c r="F161" s="100">
        <v>1712.9</v>
      </c>
      <c r="G161" s="99" t="s">
        <v>28</v>
      </c>
      <c r="H161" s="101" t="s">
        <v>99</v>
      </c>
      <c r="I161" s="102" t="s">
        <v>397</v>
      </c>
      <c r="J161" s="102" t="s">
        <v>480</v>
      </c>
      <c r="K161" s="95"/>
      <c r="L161" s="95"/>
      <c r="M161" s="95"/>
      <c r="N161" s="96"/>
      <c r="O161" s="97"/>
      <c r="P161" s="98"/>
      <c r="Q161" s="98"/>
      <c r="R161" s="100">
        <v>1712.9</v>
      </c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110"/>
      <c r="AE161" s="182">
        <f>SUM(Tabelle1[[#This Row],[bis Ende 2010
CHF inkl. MWST]:[2019
CHF inkl. MWST]])</f>
        <v>1712.9</v>
      </c>
      <c r="AF161" s="181"/>
      <c r="AG161" s="181">
        <f>Tabelle1[[#This Row],[Total Rechnungen]]</f>
        <v>1712.9</v>
      </c>
    </row>
    <row r="162" spans="1:33" s="2" customFormat="1" ht="12.6" hidden="1" customHeight="1" x14ac:dyDescent="0.15">
      <c r="A162" s="23" t="s">
        <v>651</v>
      </c>
      <c r="B162" s="337"/>
      <c r="C162" s="100" t="s">
        <v>349</v>
      </c>
      <c r="D162" s="9" t="s">
        <v>196</v>
      </c>
      <c r="E162" s="9" t="s">
        <v>207</v>
      </c>
      <c r="F162" s="23">
        <v>6128</v>
      </c>
      <c r="G162" s="9" t="s">
        <v>28</v>
      </c>
      <c r="H162" s="13" t="s">
        <v>99</v>
      </c>
      <c r="I162" s="102" t="s">
        <v>397</v>
      </c>
      <c r="J162" s="35" t="s">
        <v>480</v>
      </c>
      <c r="K162" s="30"/>
      <c r="L162" s="30"/>
      <c r="M162" s="30"/>
      <c r="N162" s="30"/>
      <c r="O162" s="30"/>
      <c r="P162" s="30"/>
      <c r="Q162" s="37"/>
      <c r="R162" s="23">
        <v>6128</v>
      </c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134"/>
      <c r="AE162" s="182">
        <f>SUM(Tabelle1[[#This Row],[bis Ende 2010
CHF inkl. MWST]:[2019
CHF inkl. MWST]])</f>
        <v>6128</v>
      </c>
      <c r="AF162" s="181"/>
      <c r="AG162" s="181">
        <f>Tabelle1[[#This Row],[Total Rechnungen]]</f>
        <v>6128</v>
      </c>
    </row>
    <row r="163" spans="1:33" s="2" customFormat="1" ht="12.6" hidden="1" customHeight="1" x14ac:dyDescent="0.15">
      <c r="A163" s="100" t="s">
        <v>652</v>
      </c>
      <c r="B163" s="337"/>
      <c r="C163" s="100" t="s">
        <v>349</v>
      </c>
      <c r="D163" s="99" t="s">
        <v>196</v>
      </c>
      <c r="E163" s="99" t="s">
        <v>208</v>
      </c>
      <c r="F163" s="100">
        <v>4730</v>
      </c>
      <c r="G163" s="99" t="s">
        <v>28</v>
      </c>
      <c r="H163" s="101" t="s">
        <v>99</v>
      </c>
      <c r="I163" s="102" t="s">
        <v>397</v>
      </c>
      <c r="J163" s="102" t="s">
        <v>480</v>
      </c>
      <c r="K163" s="75"/>
      <c r="L163" s="75"/>
      <c r="M163" s="75"/>
      <c r="N163" s="75"/>
      <c r="O163" s="75"/>
      <c r="P163" s="75"/>
      <c r="Q163" s="131"/>
      <c r="R163" s="100">
        <v>4730</v>
      </c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134"/>
      <c r="AE163" s="182">
        <f>SUM(Tabelle1[[#This Row],[bis Ende 2010
CHF inkl. MWST]:[2019
CHF inkl. MWST]])</f>
        <v>4730</v>
      </c>
      <c r="AF163" s="181"/>
      <c r="AG163" s="181">
        <f>Tabelle1[[#This Row],[Total Rechnungen]]</f>
        <v>4730</v>
      </c>
    </row>
    <row r="164" spans="1:33" s="2" customFormat="1" ht="12.6" hidden="1" customHeight="1" x14ac:dyDescent="0.15">
      <c r="A164" s="100" t="s">
        <v>652</v>
      </c>
      <c r="B164" s="337"/>
      <c r="C164" s="100" t="s">
        <v>349</v>
      </c>
      <c r="D164" s="99" t="s">
        <v>227</v>
      </c>
      <c r="E164" s="99" t="s">
        <v>228</v>
      </c>
      <c r="F164" s="100">
        <f>4875*1.08</f>
        <v>5265</v>
      </c>
      <c r="G164" s="99" t="s">
        <v>28</v>
      </c>
      <c r="H164" s="101" t="s">
        <v>99</v>
      </c>
      <c r="I164" s="102" t="s">
        <v>397</v>
      </c>
      <c r="J164" s="102" t="s">
        <v>480</v>
      </c>
      <c r="K164" s="75"/>
      <c r="L164" s="75"/>
      <c r="M164" s="75"/>
      <c r="N164" s="75"/>
      <c r="O164" s="75"/>
      <c r="P164" s="75"/>
      <c r="Q164" s="75"/>
      <c r="R164" s="100">
        <v>5265</v>
      </c>
      <c r="S164" s="131"/>
      <c r="T164" s="131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76"/>
      <c r="AE164" s="182">
        <f>SUM(Tabelle1[[#This Row],[bis Ende 2010
CHF inkl. MWST]:[2019
CHF inkl. MWST]])</f>
        <v>5265</v>
      </c>
      <c r="AF164" s="181"/>
      <c r="AG164" s="181">
        <f>Tabelle1[[#This Row],[Total Rechnungen]]</f>
        <v>5265</v>
      </c>
    </row>
    <row r="165" spans="1:33" s="2" customFormat="1" ht="12.6" hidden="1" customHeight="1" x14ac:dyDescent="0.15">
      <c r="A165" s="23" t="s">
        <v>652</v>
      </c>
      <c r="B165" s="337"/>
      <c r="C165" s="100" t="s">
        <v>349</v>
      </c>
      <c r="D165" s="9" t="s">
        <v>61</v>
      </c>
      <c r="E165" s="9" t="s">
        <v>264</v>
      </c>
      <c r="F165" s="23">
        <v>582.12</v>
      </c>
      <c r="G165" s="9" t="s">
        <v>28</v>
      </c>
      <c r="H165" s="13" t="s">
        <v>97</v>
      </c>
      <c r="I165" s="102" t="s">
        <v>397</v>
      </c>
      <c r="J165" s="35" t="s">
        <v>479</v>
      </c>
      <c r="K165" s="30"/>
      <c r="L165" s="30"/>
      <c r="M165" s="30"/>
      <c r="N165" s="30"/>
      <c r="O165" s="30"/>
      <c r="P165" s="30"/>
      <c r="Q165" s="30"/>
      <c r="R165" s="23">
        <v>582.12</v>
      </c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8"/>
      <c r="AE165" s="182">
        <f>SUM(Tabelle1[[#This Row],[bis Ende 2010
CHF inkl. MWST]:[2019
CHF inkl. MWST]])</f>
        <v>582.12</v>
      </c>
      <c r="AF165" s="181"/>
      <c r="AG165" s="181">
        <f>Tabelle1[[#This Row],[Total Rechnungen]]</f>
        <v>582.12</v>
      </c>
    </row>
    <row r="166" spans="1:33" s="2" customFormat="1" hidden="1" x14ac:dyDescent="0.15">
      <c r="A166" s="100" t="s">
        <v>652</v>
      </c>
      <c r="B166" s="337"/>
      <c r="C166" s="100" t="s">
        <v>349</v>
      </c>
      <c r="D166" s="99" t="s">
        <v>218</v>
      </c>
      <c r="E166" s="99" t="s">
        <v>219</v>
      </c>
      <c r="F166" s="100">
        <v>4800</v>
      </c>
      <c r="G166" s="99" t="s">
        <v>28</v>
      </c>
      <c r="H166" s="101" t="s">
        <v>99</v>
      </c>
      <c r="I166" s="102" t="s">
        <v>397</v>
      </c>
      <c r="J166" s="102" t="s">
        <v>480</v>
      </c>
      <c r="K166" s="75"/>
      <c r="L166" s="75"/>
      <c r="M166" s="75"/>
      <c r="N166" s="103"/>
      <c r="O166" s="104"/>
      <c r="P166" s="106"/>
      <c r="Q166" s="104"/>
      <c r="R166" s="100">
        <v>3092.15</v>
      </c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110"/>
      <c r="AE166" s="221">
        <f>SUM(Tabelle1[[#This Row],[bis Ende 2010
CHF inkl. MWST]:[2019
CHF inkl. MWST]])</f>
        <v>3092.15</v>
      </c>
      <c r="AF166" s="181"/>
      <c r="AG166" s="181">
        <f>Tabelle1[[#This Row],[Total Rechnungen]]</f>
        <v>3092.15</v>
      </c>
    </row>
    <row r="167" spans="1:33" s="2" customFormat="1" ht="12.6" hidden="1" customHeight="1" x14ac:dyDescent="0.15">
      <c r="A167" s="23" t="s">
        <v>653</v>
      </c>
      <c r="B167" s="337"/>
      <c r="C167" s="100" t="s">
        <v>349</v>
      </c>
      <c r="D167" s="7" t="s">
        <v>31</v>
      </c>
      <c r="E167" s="7" t="s">
        <v>284</v>
      </c>
      <c r="F167" s="23">
        <f>(3135+1041.45)*1.077</f>
        <v>4498.03665</v>
      </c>
      <c r="G167" s="9" t="s">
        <v>28</v>
      </c>
      <c r="H167" s="13" t="s">
        <v>99</v>
      </c>
      <c r="I167" s="35" t="s">
        <v>398</v>
      </c>
      <c r="J167" s="102" t="s">
        <v>480</v>
      </c>
      <c r="K167" s="162"/>
      <c r="L167" s="162"/>
      <c r="M167" s="162"/>
      <c r="N167" s="162"/>
      <c r="O167" s="162"/>
      <c r="P167" s="162"/>
      <c r="Q167" s="162"/>
      <c r="R167" s="163"/>
      <c r="S167" s="166"/>
      <c r="T167" s="23">
        <v>4037.6</v>
      </c>
      <c r="U167" s="166"/>
      <c r="V167" s="166"/>
      <c r="W167" s="166"/>
      <c r="X167" s="166"/>
      <c r="Y167" s="166"/>
      <c r="Z167" s="166"/>
      <c r="AA167" s="166"/>
      <c r="AB167" s="166"/>
      <c r="AC167" s="166"/>
      <c r="AD167" s="114"/>
      <c r="AE167" s="182">
        <f>SUM(Tabelle1[[#This Row],[bis Ende 2010
CHF inkl. MWST]:[2019
CHF inkl. MWST]])</f>
        <v>4037.6</v>
      </c>
      <c r="AF167" s="182"/>
      <c r="AG167" s="182">
        <f>Tabelle1[[#This Row],[Total Rechnungen]]</f>
        <v>4037.6</v>
      </c>
    </row>
    <row r="168" spans="1:33" s="2" customFormat="1" ht="12.6" hidden="1" customHeight="1" x14ac:dyDescent="0.15">
      <c r="A168" s="23" t="s">
        <v>653</v>
      </c>
      <c r="B168" s="337"/>
      <c r="C168" s="100" t="s">
        <v>349</v>
      </c>
      <c r="D168" s="7" t="s">
        <v>285</v>
      </c>
      <c r="E168" s="7" t="s">
        <v>286</v>
      </c>
      <c r="F168" s="23">
        <v>1895.5</v>
      </c>
      <c r="G168" s="9" t="s">
        <v>28</v>
      </c>
      <c r="H168" s="13" t="s">
        <v>99</v>
      </c>
      <c r="I168" s="35" t="s">
        <v>398</v>
      </c>
      <c r="J168" s="35" t="s">
        <v>480</v>
      </c>
      <c r="K168" s="162"/>
      <c r="L168" s="162"/>
      <c r="M168" s="162"/>
      <c r="N168" s="162"/>
      <c r="O168" s="162"/>
      <c r="P168" s="162"/>
      <c r="Q168" s="162"/>
      <c r="R168" s="162"/>
      <c r="S168" s="23">
        <v>1895.5</v>
      </c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57"/>
      <c r="AE168" s="182">
        <f>SUM(Tabelle1[[#This Row],[bis Ende 2010
CHF inkl. MWST]:[2019
CHF inkl. MWST]])</f>
        <v>1895.5</v>
      </c>
      <c r="AF168" s="182"/>
      <c r="AG168" s="182">
        <f>Tabelle1[[#This Row],[Total Rechnungen]]</f>
        <v>1895.5</v>
      </c>
    </row>
    <row r="169" spans="1:33" s="2" customFormat="1" ht="12.6" hidden="1" customHeight="1" x14ac:dyDescent="0.15">
      <c r="A169" s="23" t="s">
        <v>654</v>
      </c>
      <c r="B169" s="337"/>
      <c r="C169" s="100" t="s">
        <v>349</v>
      </c>
      <c r="D169" s="9" t="s">
        <v>413</v>
      </c>
      <c r="E169" s="9" t="s">
        <v>414</v>
      </c>
      <c r="F169" s="23">
        <v>2008</v>
      </c>
      <c r="G169" s="9" t="s">
        <v>28</v>
      </c>
      <c r="H169" s="13" t="s">
        <v>99</v>
      </c>
      <c r="I169" s="35" t="s">
        <v>398</v>
      </c>
      <c r="J169" s="35" t="s">
        <v>480</v>
      </c>
      <c r="K169" s="30"/>
      <c r="L169" s="30"/>
      <c r="M169" s="30"/>
      <c r="N169" s="30"/>
      <c r="O169" s="30"/>
      <c r="P169" s="30"/>
      <c r="Q169" s="30"/>
      <c r="R169" s="75"/>
      <c r="S169" s="75"/>
      <c r="T169" s="75"/>
      <c r="U169" s="75"/>
      <c r="V169" s="100">
        <v>2008</v>
      </c>
      <c r="W169" s="75"/>
      <c r="X169" s="75"/>
      <c r="Y169" s="75"/>
      <c r="Z169" s="75"/>
      <c r="AA169" s="75"/>
      <c r="AB169" s="75"/>
      <c r="AC169" s="75"/>
      <c r="AD169" s="57"/>
      <c r="AE169" s="181">
        <f>SUM(Tabelle1[[#This Row],[bis Ende 2010
CHF inkl. MWST]:[2021
CHF inkl. MWST]])</f>
        <v>2008</v>
      </c>
      <c r="AF169" s="283"/>
      <c r="AG169" s="181">
        <f>Tabelle1[[#This Row],[Total Rechnungen]]+Tabelle1[[#This Row],[Restbudget Vertrag]]</f>
        <v>2008</v>
      </c>
    </row>
    <row r="170" spans="1:33" s="2" customFormat="1" ht="12.6" customHeight="1" x14ac:dyDescent="0.15">
      <c r="A170" s="23" t="s">
        <v>655</v>
      </c>
      <c r="B170" s="337"/>
      <c r="C170" s="100" t="s">
        <v>350</v>
      </c>
      <c r="D170" s="9" t="s">
        <v>456</v>
      </c>
      <c r="E170" s="9" t="s">
        <v>455</v>
      </c>
      <c r="F170" s="23">
        <v>3326.6</v>
      </c>
      <c r="G170" s="9" t="s">
        <v>28</v>
      </c>
      <c r="H170" s="13" t="s">
        <v>100</v>
      </c>
      <c r="I170" s="35" t="s">
        <v>397</v>
      </c>
      <c r="J170" s="35" t="s">
        <v>475</v>
      </c>
      <c r="K170" s="295"/>
      <c r="L170" s="295"/>
      <c r="M170" s="295"/>
      <c r="N170" s="295"/>
      <c r="O170" s="295"/>
      <c r="P170" s="295"/>
      <c r="Q170" s="295"/>
      <c r="R170" s="296"/>
      <c r="S170" s="296"/>
      <c r="T170" s="75"/>
      <c r="U170" s="75"/>
      <c r="V170" s="75"/>
      <c r="W170" s="377">
        <v>3727.95</v>
      </c>
      <c r="X170" s="98"/>
      <c r="Y170" s="98"/>
      <c r="Z170" s="75"/>
      <c r="AA170" s="75"/>
      <c r="AB170" s="75"/>
      <c r="AC170" s="75"/>
      <c r="AD170" s="114"/>
      <c r="AE170" s="181">
        <f>SUM(Tabelle1[[#This Row],[bis Ende 2010
CHF inkl. MWST]:[Aufgelaufene Kosten 2022
CHF inkl. MWST]])</f>
        <v>3727.95</v>
      </c>
      <c r="AF170" s="392"/>
      <c r="AG170" s="181">
        <f>Tabelle1[[#This Row],[Total Rechnungen]]+Tabelle1[[#This Row],[Restbudget Vertrag]]</f>
        <v>3727.95</v>
      </c>
    </row>
    <row r="171" spans="1:33" s="2" customFormat="1" ht="12.6" customHeight="1" x14ac:dyDescent="0.15">
      <c r="A171" s="23" t="s">
        <v>655</v>
      </c>
      <c r="B171" s="337"/>
      <c r="C171" s="100" t="s">
        <v>350</v>
      </c>
      <c r="D171" s="9" t="s">
        <v>452</v>
      </c>
      <c r="E171" s="9" t="s">
        <v>453</v>
      </c>
      <c r="F171" s="23">
        <f>4626*1.077</f>
        <v>4982.2020000000002</v>
      </c>
      <c r="G171" s="9" t="s">
        <v>27</v>
      </c>
      <c r="H171" s="13" t="s">
        <v>101</v>
      </c>
      <c r="I171" s="35" t="s">
        <v>397</v>
      </c>
      <c r="J171" s="102" t="s">
        <v>477</v>
      </c>
      <c r="K171" s="295"/>
      <c r="L171" s="295"/>
      <c r="M171" s="295"/>
      <c r="N171" s="295"/>
      <c r="O171" s="295"/>
      <c r="P171" s="295"/>
      <c r="Q171" s="295"/>
      <c r="R171" s="296"/>
      <c r="S171" s="296"/>
      <c r="T171" s="75"/>
      <c r="U171" s="75"/>
      <c r="V171" s="75"/>
      <c r="W171" s="377">
        <v>3315.65</v>
      </c>
      <c r="X171" s="190"/>
      <c r="Y171" s="190"/>
      <c r="Z171" s="75"/>
      <c r="AA171" s="75"/>
      <c r="AB171" s="75"/>
      <c r="AC171" s="75"/>
      <c r="AD171" s="114"/>
      <c r="AE171" s="181">
        <f>SUM(Tabelle1[[#This Row],[bis Ende 2010
CHF inkl. MWST]:[Aufgelaufene Kosten 2022
CHF inkl. MWST]])</f>
        <v>3315.65</v>
      </c>
      <c r="AF171" s="323"/>
      <c r="AG171" s="222">
        <f>Tabelle1[[#This Row],[Total Rechnungen]]</f>
        <v>3315.65</v>
      </c>
    </row>
    <row r="172" spans="1:33" s="2" customFormat="1" ht="12.6" customHeight="1" x14ac:dyDescent="0.15">
      <c r="A172" s="23" t="s">
        <v>655</v>
      </c>
      <c r="B172" s="337"/>
      <c r="C172" s="100" t="s">
        <v>350</v>
      </c>
      <c r="D172" s="9" t="s">
        <v>472</v>
      </c>
      <c r="E172" s="9" t="s">
        <v>478</v>
      </c>
      <c r="F172" s="23">
        <v>546.04999999999995</v>
      </c>
      <c r="G172" s="9" t="s">
        <v>28</v>
      </c>
      <c r="H172" s="13" t="s">
        <v>99</v>
      </c>
      <c r="I172" s="35" t="s">
        <v>398</v>
      </c>
      <c r="J172" s="35" t="s">
        <v>480</v>
      </c>
      <c r="K172" s="30"/>
      <c r="L172" s="30"/>
      <c r="M172" s="30"/>
      <c r="N172" s="30"/>
      <c r="O172" s="30"/>
      <c r="P172" s="30"/>
      <c r="Q172" s="30"/>
      <c r="R172" s="75"/>
      <c r="S172" s="75"/>
      <c r="T172" s="75"/>
      <c r="U172" s="75"/>
      <c r="V172" s="75"/>
      <c r="W172" s="377">
        <v>546.04999999999995</v>
      </c>
      <c r="X172" s="75"/>
      <c r="Y172" s="75"/>
      <c r="Z172" s="75"/>
      <c r="AA172" s="75"/>
      <c r="AB172" s="75"/>
      <c r="AC172" s="75"/>
      <c r="AD172" s="114"/>
      <c r="AE172" s="24">
        <f>Tabelle1[[#This Row],[Aufgelaufene Kosten 2022
CHF inkl. MWST]]</f>
        <v>546.04999999999995</v>
      </c>
      <c r="AF172" s="182"/>
      <c r="AG172" s="182">
        <f>Tabelle1[[#This Row],[Total Rechnungen]]</f>
        <v>546.04999999999995</v>
      </c>
    </row>
    <row r="173" spans="1:33" s="2" customFormat="1" ht="12.6" customHeight="1" x14ac:dyDescent="0.15">
      <c r="A173" s="216" t="s">
        <v>655</v>
      </c>
      <c r="B173" s="240"/>
      <c r="C173" s="100" t="s">
        <v>350</v>
      </c>
      <c r="D173" s="260" t="s">
        <v>120</v>
      </c>
      <c r="E173" s="260" t="s">
        <v>462</v>
      </c>
      <c r="F173" s="23">
        <f>(2000+350)*1.077</f>
        <v>2530.9499999999998</v>
      </c>
      <c r="G173" s="9" t="s">
        <v>27</v>
      </c>
      <c r="H173" s="13" t="s">
        <v>101</v>
      </c>
      <c r="I173" s="35" t="s">
        <v>397</v>
      </c>
      <c r="J173" s="35" t="s">
        <v>477</v>
      </c>
      <c r="K173" s="295"/>
      <c r="L173" s="295"/>
      <c r="M173" s="295"/>
      <c r="N173" s="295"/>
      <c r="O173" s="295"/>
      <c r="P173" s="295"/>
      <c r="Q173" s="295"/>
      <c r="R173" s="296"/>
      <c r="S173" s="296"/>
      <c r="T173" s="75"/>
      <c r="U173" s="75"/>
      <c r="V173" s="75"/>
      <c r="W173" s="377">
        <v>2315.5500000000002</v>
      </c>
      <c r="X173" s="131"/>
      <c r="Y173" s="131"/>
      <c r="Z173" s="75"/>
      <c r="AA173" s="75"/>
      <c r="AB173" s="75"/>
      <c r="AC173" s="75"/>
      <c r="AD173" s="114"/>
      <c r="AE173" s="181">
        <f>SUM(Tabelle1[[#This Row],[bis Ende 2010
CHF inkl. MWST]:[Aufgelaufene Kosten 2022
CHF inkl. MWST]])</f>
        <v>2315.5500000000002</v>
      </c>
      <c r="AF173" s="322"/>
      <c r="AG173" s="222">
        <f>Tabelle1[[#This Row],[Total Rechnungen]]</f>
        <v>2315.5500000000002</v>
      </c>
    </row>
    <row r="174" spans="1:33" s="2" customFormat="1" ht="12.6" customHeight="1" x14ac:dyDescent="0.15">
      <c r="A174" s="216" t="s">
        <v>655</v>
      </c>
      <c r="B174" s="240"/>
      <c r="C174" s="100" t="s">
        <v>350</v>
      </c>
      <c r="D174" s="9" t="s">
        <v>463</v>
      </c>
      <c r="E174" s="9" t="s">
        <v>464</v>
      </c>
      <c r="F174" s="23">
        <f>1470*1.077</f>
        <v>1583.1899999999998</v>
      </c>
      <c r="G174" s="9" t="s">
        <v>27</v>
      </c>
      <c r="H174" s="13" t="s">
        <v>101</v>
      </c>
      <c r="I174" s="35" t="s">
        <v>397</v>
      </c>
      <c r="J174" s="35" t="s">
        <v>477</v>
      </c>
      <c r="K174" s="295"/>
      <c r="L174" s="295"/>
      <c r="M174" s="295"/>
      <c r="N174" s="295"/>
      <c r="O174" s="295"/>
      <c r="P174" s="295"/>
      <c r="Q174" s="295"/>
      <c r="R174" s="296"/>
      <c r="S174" s="296"/>
      <c r="T174" s="75"/>
      <c r="U174" s="75"/>
      <c r="V174" s="75"/>
      <c r="W174" s="377">
        <v>1292.4000000000001</v>
      </c>
      <c r="X174" s="131"/>
      <c r="Y174" s="131"/>
      <c r="Z174" s="75"/>
      <c r="AA174" s="75"/>
      <c r="AB174" s="75"/>
      <c r="AC174" s="75"/>
      <c r="AD174" s="114"/>
      <c r="AE174" s="181">
        <f>SUM(Tabelle1[[#This Row],[bis Ende 2010
CHF inkl. MWST]:[Aufgelaufene Kosten 2022
CHF inkl. MWST]])</f>
        <v>1292.4000000000001</v>
      </c>
      <c r="AF174" s="322"/>
      <c r="AG174" s="222">
        <f>Tabelle1[[#This Row],[Total Rechnungen]]</f>
        <v>1292.4000000000001</v>
      </c>
    </row>
    <row r="175" spans="1:33" s="2" customFormat="1" ht="12.6" customHeight="1" x14ac:dyDescent="0.15">
      <c r="A175" s="216" t="s">
        <v>655</v>
      </c>
      <c r="B175" s="337">
        <v>1355003757</v>
      </c>
      <c r="C175" s="100" t="s">
        <v>350</v>
      </c>
      <c r="D175" s="9" t="s">
        <v>465</v>
      </c>
      <c r="E175" s="9" t="s">
        <v>466</v>
      </c>
      <c r="F175" s="23">
        <f>2835.75*1.077</f>
        <v>3054.10275</v>
      </c>
      <c r="G175" s="9" t="s">
        <v>27</v>
      </c>
      <c r="H175" s="13" t="s">
        <v>101</v>
      </c>
      <c r="I175" s="35" t="s">
        <v>397</v>
      </c>
      <c r="J175" s="35" t="s">
        <v>477</v>
      </c>
      <c r="K175" s="295"/>
      <c r="L175" s="295"/>
      <c r="M175" s="295"/>
      <c r="N175" s="295"/>
      <c r="O175" s="295"/>
      <c r="P175" s="295"/>
      <c r="Q175" s="295"/>
      <c r="R175" s="296"/>
      <c r="S175" s="296"/>
      <c r="T175" s="75"/>
      <c r="U175" s="75"/>
      <c r="V175" s="75"/>
      <c r="W175" s="377">
        <v>3054.1</v>
      </c>
      <c r="X175" s="131"/>
      <c r="Y175" s="131"/>
      <c r="Z175" s="75"/>
      <c r="AA175" s="75"/>
      <c r="AB175" s="75"/>
      <c r="AC175" s="75"/>
      <c r="AD175" s="114"/>
      <c r="AE175" s="181">
        <f>SUM(Tabelle1[[#This Row],[bis Ende 2010
CHF inkl. MWST]:[Aufgelaufene Kosten 2022
CHF inkl. MWST]])</f>
        <v>3054.1</v>
      </c>
      <c r="AF175" s="322"/>
      <c r="AG175" s="222">
        <f>Tabelle1[[#This Row],[Total Rechnungen]]+Tabelle1[[#This Row],[Restbudget Vertrag]]</f>
        <v>3054.1</v>
      </c>
    </row>
    <row r="176" spans="1:33" s="2" customFormat="1" ht="12.6" hidden="1" customHeight="1" x14ac:dyDescent="0.15">
      <c r="A176" s="23" t="s">
        <v>656</v>
      </c>
      <c r="B176" s="337">
        <v>1355031351</v>
      </c>
      <c r="C176" s="100" t="s">
        <v>349</v>
      </c>
      <c r="D176" s="9" t="s">
        <v>209</v>
      </c>
      <c r="E176" s="9" t="s">
        <v>214</v>
      </c>
      <c r="F176" s="23">
        <v>33097.300000000003</v>
      </c>
      <c r="G176" s="9" t="s">
        <v>28</v>
      </c>
      <c r="H176" s="13" t="s">
        <v>97</v>
      </c>
      <c r="I176" s="35" t="s">
        <v>398</v>
      </c>
      <c r="J176" s="35" t="s">
        <v>479</v>
      </c>
      <c r="K176" s="30"/>
      <c r="L176" s="30"/>
      <c r="M176" s="30"/>
      <c r="N176" s="30"/>
      <c r="O176" s="30"/>
      <c r="P176" s="30"/>
      <c r="Q176" s="30"/>
      <c r="R176" s="23">
        <f>8954.35+14179.25</f>
        <v>23133.599999999999</v>
      </c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8"/>
      <c r="AE176" s="182">
        <f>SUM(Tabelle1[[#This Row],[bis Ende 2010
CHF inkl. MWST]:[2019
CHF inkl. MWST]])</f>
        <v>23133.599999999999</v>
      </c>
      <c r="AF176" s="182"/>
      <c r="AG176" s="182">
        <f>Tabelle1[[#This Row],[Total Rechnungen]]</f>
        <v>23133.599999999999</v>
      </c>
    </row>
    <row r="177" spans="1:33" s="2" customFormat="1" ht="12.6" hidden="1" customHeight="1" x14ac:dyDescent="0.15">
      <c r="A177" s="23" t="s">
        <v>657</v>
      </c>
      <c r="B177" s="337">
        <v>1355032342</v>
      </c>
      <c r="C177" s="100" t="s">
        <v>349</v>
      </c>
      <c r="D177" s="9" t="s">
        <v>16</v>
      </c>
      <c r="E177" s="9" t="s">
        <v>226</v>
      </c>
      <c r="F177" s="23">
        <v>54184.05</v>
      </c>
      <c r="G177" s="9" t="s">
        <v>28</v>
      </c>
      <c r="H177" s="13" t="s">
        <v>99</v>
      </c>
      <c r="I177" s="35" t="s">
        <v>397</v>
      </c>
      <c r="J177" s="35" t="s">
        <v>480</v>
      </c>
      <c r="K177" s="30"/>
      <c r="L177" s="30"/>
      <c r="M177" s="30"/>
      <c r="N177" s="30"/>
      <c r="O177" s="30"/>
      <c r="P177" s="30"/>
      <c r="Q177" s="30"/>
      <c r="R177" s="23">
        <f>7370.4+6128.5+7111.6</f>
        <v>20610.5</v>
      </c>
      <c r="S177" s="23">
        <f>7845.65+3950.3+1894.9</f>
        <v>13690.85</v>
      </c>
      <c r="T177" s="23">
        <f>3237.45+295.9+1164+850.15+2262.25</f>
        <v>7809.75</v>
      </c>
      <c r="U177" s="23">
        <f>826.85+8379.6+4769.45</f>
        <v>13975.900000000001</v>
      </c>
      <c r="V177" s="55"/>
      <c r="W177" s="55"/>
      <c r="X177" s="55"/>
      <c r="Y177" s="55"/>
      <c r="Z177" s="55"/>
      <c r="AA177" s="55"/>
      <c r="AB177" s="55"/>
      <c r="AC177" s="55"/>
      <c r="AD177" s="83"/>
      <c r="AE177" s="181">
        <f>SUM(Tabelle1[[#This Row],[bis Ende 2010
CHF inkl. MWST]:[2020
CHF inkl. MWST]])</f>
        <v>56087</v>
      </c>
      <c r="AF177" s="181"/>
      <c r="AG177" s="181">
        <f>Tabelle1[[#This Row],[Total Rechnungen]]</f>
        <v>56087</v>
      </c>
    </row>
    <row r="178" spans="1:33" s="2" customFormat="1" ht="12.6" hidden="1" customHeight="1" x14ac:dyDescent="0.15">
      <c r="A178" s="23" t="s">
        <v>658</v>
      </c>
      <c r="B178" s="337">
        <v>1355032464</v>
      </c>
      <c r="C178" s="23" t="s">
        <v>349</v>
      </c>
      <c r="D178" s="9" t="s">
        <v>16</v>
      </c>
      <c r="E178" s="9" t="s">
        <v>225</v>
      </c>
      <c r="F178" s="23">
        <v>23798.9</v>
      </c>
      <c r="G178" s="9" t="s">
        <v>28</v>
      </c>
      <c r="H178" s="13" t="s">
        <v>100</v>
      </c>
      <c r="I178" s="35" t="s">
        <v>397</v>
      </c>
      <c r="J178" s="35" t="s">
        <v>475</v>
      </c>
      <c r="K178" s="30"/>
      <c r="L178" s="30"/>
      <c r="M178" s="30"/>
      <c r="N178" s="30"/>
      <c r="O178" s="30"/>
      <c r="P178" s="30"/>
      <c r="Q178" s="30"/>
      <c r="R178" s="23">
        <f>3047.25+1305.6</f>
        <v>4352.8500000000004</v>
      </c>
      <c r="S178" s="23">
        <f>1829.15+1602.8</f>
        <v>3431.95</v>
      </c>
      <c r="T178" s="23">
        <f>591.8+2073.8+2373.85</f>
        <v>5039.4500000000007</v>
      </c>
      <c r="U178" s="23">
        <f>1006.1+887.7+295.9+295.9+88.75</f>
        <v>2574.3500000000004</v>
      </c>
      <c r="V178" s="55"/>
      <c r="W178" s="55"/>
      <c r="X178" s="55"/>
      <c r="Y178" s="55"/>
      <c r="Z178" s="55"/>
      <c r="AA178" s="55"/>
      <c r="AB178" s="55"/>
      <c r="AC178" s="55"/>
      <c r="AD178" s="83"/>
      <c r="AE178" s="182">
        <f>SUM(Tabelle1[[#This Row],[bis Ende 2010
CHF inkl. MWST]:[2021
CHF inkl. MWST]])</f>
        <v>15398.6</v>
      </c>
      <c r="AF178" s="182"/>
      <c r="AG178" s="182">
        <f>Tabelle1[[#This Row],[Total Rechnungen]]</f>
        <v>15398.6</v>
      </c>
    </row>
    <row r="179" spans="1:33" s="2" customFormat="1" ht="12.6" hidden="1" customHeight="1" x14ac:dyDescent="0.15">
      <c r="A179" s="100" t="s">
        <v>659</v>
      </c>
      <c r="B179" s="337">
        <v>1355034794</v>
      </c>
      <c r="C179" s="100" t="s">
        <v>349</v>
      </c>
      <c r="D179" s="99" t="s">
        <v>16</v>
      </c>
      <c r="E179" s="99" t="s">
        <v>232</v>
      </c>
      <c r="F179" s="100">
        <f>49908.5*1.08</f>
        <v>53901.18</v>
      </c>
      <c r="G179" s="99" t="s">
        <v>28</v>
      </c>
      <c r="H179" s="101" t="s">
        <v>99</v>
      </c>
      <c r="I179" s="35" t="s">
        <v>397</v>
      </c>
      <c r="J179" s="102" t="s">
        <v>480</v>
      </c>
      <c r="K179" s="75"/>
      <c r="L179" s="75"/>
      <c r="M179" s="75"/>
      <c r="N179" s="75"/>
      <c r="O179" s="75"/>
      <c r="P179" s="75"/>
      <c r="Q179" s="131"/>
      <c r="R179" s="100">
        <v>3769.15</v>
      </c>
      <c r="S179" s="100">
        <f>30891.5+3292.65+879.4</f>
        <v>35063.550000000003</v>
      </c>
      <c r="T179" s="100">
        <v>6466.2</v>
      </c>
      <c r="U179" s="131"/>
      <c r="V179" s="131"/>
      <c r="W179" s="131"/>
      <c r="X179" s="131"/>
      <c r="Y179" s="131"/>
      <c r="Z179" s="131"/>
      <c r="AA179" s="131"/>
      <c r="AB179" s="131"/>
      <c r="AC179" s="131"/>
      <c r="AD179" s="169"/>
      <c r="AE179" s="182">
        <f>SUM(Tabelle1[[#This Row],[bis Ende 2010
CHF inkl. MWST]:[2019
CHF inkl. MWST]])</f>
        <v>45298.9</v>
      </c>
      <c r="AF179" s="181"/>
      <c r="AG179" s="181">
        <f>Tabelle1[[#This Row],[Total Rechnungen]]</f>
        <v>45298.9</v>
      </c>
    </row>
    <row r="180" spans="1:33" s="2" customFormat="1" ht="12.6" hidden="1" customHeight="1" x14ac:dyDescent="0.15">
      <c r="A180" s="23" t="s">
        <v>660</v>
      </c>
      <c r="B180" s="337">
        <v>1355034826</v>
      </c>
      <c r="C180" s="100" t="s">
        <v>349</v>
      </c>
      <c r="D180" s="99" t="s">
        <v>265</v>
      </c>
      <c r="E180" s="99" t="s">
        <v>258</v>
      </c>
      <c r="F180" s="100">
        <v>37276.199999999997</v>
      </c>
      <c r="G180" s="99" t="s">
        <v>28</v>
      </c>
      <c r="H180" s="101" t="s">
        <v>97</v>
      </c>
      <c r="I180" s="102" t="s">
        <v>398</v>
      </c>
      <c r="J180" s="102" t="s">
        <v>480</v>
      </c>
      <c r="K180" s="75"/>
      <c r="L180" s="75"/>
      <c r="M180" s="75"/>
      <c r="N180" s="75"/>
      <c r="O180" s="75"/>
      <c r="P180" s="75"/>
      <c r="Q180" s="75"/>
      <c r="R180" s="100">
        <v>36498.6</v>
      </c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131"/>
      <c r="AD180" s="117"/>
      <c r="AE180" s="182">
        <f>SUM(Tabelle1[[#This Row],[bis Ende 2010
CHF inkl. MWST]:[2019
CHF inkl. MWST]])</f>
        <v>36498.6</v>
      </c>
      <c r="AF180" s="182"/>
      <c r="AG180" s="182">
        <f>Tabelle1[[#This Row],[Total Rechnungen]]</f>
        <v>36498.6</v>
      </c>
    </row>
    <row r="181" spans="1:33" s="2" customFormat="1" ht="12.6" hidden="1" customHeight="1" x14ac:dyDescent="0.15">
      <c r="A181" s="23" t="s">
        <v>661</v>
      </c>
      <c r="B181" s="337">
        <v>1355034825</v>
      </c>
      <c r="C181" s="100" t="s">
        <v>349</v>
      </c>
      <c r="D181" s="99" t="s">
        <v>210</v>
      </c>
      <c r="E181" s="99" t="s">
        <v>211</v>
      </c>
      <c r="F181" s="100">
        <v>43554.95</v>
      </c>
      <c r="G181" s="99" t="s">
        <v>28</v>
      </c>
      <c r="H181" s="101" t="s">
        <v>97</v>
      </c>
      <c r="I181" s="102" t="s">
        <v>398</v>
      </c>
      <c r="J181" s="35" t="s">
        <v>479</v>
      </c>
      <c r="K181" s="75"/>
      <c r="L181" s="75"/>
      <c r="M181" s="75"/>
      <c r="N181" s="75"/>
      <c r="O181" s="75"/>
      <c r="P181" s="75"/>
      <c r="Q181" s="75"/>
      <c r="R181" s="100">
        <v>40990.75</v>
      </c>
      <c r="S181" s="131"/>
      <c r="T181" s="131"/>
      <c r="U181" s="131"/>
      <c r="V181" s="131"/>
      <c r="W181" s="131"/>
      <c r="X181" s="131"/>
      <c r="Y181" s="131"/>
      <c r="Z181" s="131"/>
      <c r="AA181" s="131"/>
      <c r="AB181" s="131"/>
      <c r="AC181" s="131"/>
      <c r="AD181" s="76"/>
      <c r="AE181" s="182">
        <f>SUM(Tabelle1[[#This Row],[bis Ende 2010
CHF inkl. MWST]:[2019
CHF inkl. MWST]])</f>
        <v>40990.75</v>
      </c>
      <c r="AF181" s="182"/>
      <c r="AG181" s="182">
        <f>Tabelle1[[#This Row],[Total Rechnungen]]</f>
        <v>40990.75</v>
      </c>
    </row>
    <row r="182" spans="1:33" s="2" customFormat="1" ht="12.6" hidden="1" customHeight="1" x14ac:dyDescent="0.15">
      <c r="A182" s="100" t="s">
        <v>662</v>
      </c>
      <c r="B182" s="337">
        <v>1355035555</v>
      </c>
      <c r="C182" s="100" t="s">
        <v>349</v>
      </c>
      <c r="D182" s="99" t="s">
        <v>16</v>
      </c>
      <c r="E182" s="99" t="s">
        <v>216</v>
      </c>
      <c r="F182" s="100">
        <f>30240+8618.4</f>
        <v>38858.400000000001</v>
      </c>
      <c r="G182" s="99" t="s">
        <v>28</v>
      </c>
      <c r="H182" s="101" t="s">
        <v>97</v>
      </c>
      <c r="I182" s="102" t="s">
        <v>398</v>
      </c>
      <c r="J182" s="102" t="s">
        <v>479</v>
      </c>
      <c r="K182" s="137"/>
      <c r="L182" s="137"/>
      <c r="M182" s="137"/>
      <c r="N182" s="137"/>
      <c r="O182" s="137"/>
      <c r="P182" s="137"/>
      <c r="Q182" s="137"/>
      <c r="R182" s="100">
        <f>12927.6+18380.55</f>
        <v>31308.15</v>
      </c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58"/>
      <c r="AE182" s="182">
        <f>SUM(Tabelle1[[#This Row],[bis Ende 2010
CHF inkl. MWST]:[2019
CHF inkl. MWST]])</f>
        <v>31308.15</v>
      </c>
      <c r="AF182" s="182"/>
      <c r="AG182" s="182">
        <f>Tabelle1[[#This Row],[Total Rechnungen]]</f>
        <v>31308.15</v>
      </c>
    </row>
    <row r="183" spans="1:33" s="2" customFormat="1" ht="12.6" hidden="1" customHeight="1" x14ac:dyDescent="0.15">
      <c r="A183" s="23" t="s">
        <v>663</v>
      </c>
      <c r="B183" s="337"/>
      <c r="C183" s="100" t="s">
        <v>349</v>
      </c>
      <c r="D183" s="9" t="s">
        <v>267</v>
      </c>
      <c r="E183" s="9" t="s">
        <v>268</v>
      </c>
      <c r="F183" s="144">
        <v>0</v>
      </c>
      <c r="G183" s="9" t="s">
        <v>27</v>
      </c>
      <c r="H183" s="13" t="s">
        <v>100</v>
      </c>
      <c r="I183" s="35" t="s">
        <v>399</v>
      </c>
      <c r="J183" s="35" t="s">
        <v>475</v>
      </c>
      <c r="K183" s="25"/>
      <c r="L183" s="25"/>
      <c r="M183" s="25"/>
      <c r="N183" s="44"/>
      <c r="O183" s="44"/>
      <c r="P183" s="37"/>
      <c r="Q183" s="23">
        <v>2224.8000000000002</v>
      </c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114"/>
      <c r="AE183" s="182">
        <f>SUM(Tabelle1[[#This Row],[bis Ende 2010
CHF inkl. MWST]:[2019
CHF inkl. MWST]])</f>
        <v>2224.8000000000002</v>
      </c>
      <c r="AF183" s="181"/>
      <c r="AG183" s="181">
        <f>Tabelle1[[#This Row],[Total Rechnungen]]</f>
        <v>2224.8000000000002</v>
      </c>
    </row>
    <row r="184" spans="1:33" s="2" customFormat="1" ht="12.6" hidden="1" customHeight="1" x14ac:dyDescent="0.15">
      <c r="A184" s="23" t="s">
        <v>663</v>
      </c>
      <c r="B184" s="337"/>
      <c r="C184" s="100" t="s">
        <v>349</v>
      </c>
      <c r="D184" s="9" t="s">
        <v>269</v>
      </c>
      <c r="E184" s="9" t="s">
        <v>268</v>
      </c>
      <c r="F184" s="144">
        <v>0</v>
      </c>
      <c r="G184" s="9" t="s">
        <v>27</v>
      </c>
      <c r="H184" s="13" t="s">
        <v>100</v>
      </c>
      <c r="I184" s="35" t="s">
        <v>399</v>
      </c>
      <c r="J184" s="35" t="s">
        <v>475</v>
      </c>
      <c r="K184" s="25"/>
      <c r="L184" s="25"/>
      <c r="M184" s="25"/>
      <c r="N184" s="44"/>
      <c r="O184" s="44"/>
      <c r="P184" s="37"/>
      <c r="Q184" s="23">
        <v>1000</v>
      </c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114"/>
      <c r="AE184" s="182">
        <f>SUM(Tabelle1[[#This Row],[bis Ende 2010
CHF inkl. MWST]:[2019
CHF inkl. MWST]])</f>
        <v>1000</v>
      </c>
      <c r="AF184" s="181"/>
      <c r="AG184" s="181">
        <f>Tabelle1[[#This Row],[Total Rechnungen]]</f>
        <v>1000</v>
      </c>
    </row>
    <row r="185" spans="1:33" s="2" customFormat="1" ht="12.6" customHeight="1" x14ac:dyDescent="0.15">
      <c r="A185" s="23" t="s">
        <v>664</v>
      </c>
      <c r="B185" s="337"/>
      <c r="C185" s="100" t="s">
        <v>350</v>
      </c>
      <c r="D185" s="9" t="s">
        <v>471</v>
      </c>
      <c r="E185" s="9" t="s">
        <v>476</v>
      </c>
      <c r="F185" s="287">
        <v>1986.95</v>
      </c>
      <c r="G185" s="9" t="s">
        <v>27</v>
      </c>
      <c r="H185" s="13" t="s">
        <v>101</v>
      </c>
      <c r="I185" s="35" t="s">
        <v>399</v>
      </c>
      <c r="J185" s="102" t="s">
        <v>477</v>
      </c>
      <c r="K185" s="295"/>
      <c r="L185" s="295"/>
      <c r="M185" s="295"/>
      <c r="N185" s="295"/>
      <c r="O185" s="295"/>
      <c r="P185" s="295"/>
      <c r="Q185" s="295"/>
      <c r="R185" s="296"/>
      <c r="S185" s="296"/>
      <c r="T185" s="75"/>
      <c r="U185" s="75"/>
      <c r="V185" s="75"/>
      <c r="W185" s="100">
        <v>1986.95</v>
      </c>
      <c r="X185" s="75"/>
      <c r="Y185" s="75"/>
      <c r="Z185" s="75"/>
      <c r="AA185" s="75"/>
      <c r="AB185" s="75"/>
      <c r="AC185" s="75"/>
      <c r="AD185" s="114"/>
      <c r="AE185" s="182">
        <f>SUM(Tabelle1[[#This Row],[bis Ende 2010
CHF inkl. MWST]:[Aufgelaufene Kosten 2022
CHF inkl. MWST]])</f>
        <v>1986.95</v>
      </c>
      <c r="AF185" s="181"/>
      <c r="AG185" s="181">
        <f>Tabelle1[[#This Row],[Total Rechnungen]]</f>
        <v>1986.95</v>
      </c>
    </row>
    <row r="186" spans="1:33" s="2" customFormat="1" ht="12.6" customHeight="1" x14ac:dyDescent="0.15">
      <c r="A186" s="19" t="s">
        <v>665</v>
      </c>
      <c r="B186" s="335">
        <v>1355041014</v>
      </c>
      <c r="C186" s="92" t="s">
        <v>350</v>
      </c>
      <c r="D186" s="91" t="s">
        <v>424</v>
      </c>
      <c r="E186" s="91" t="s">
        <v>235</v>
      </c>
      <c r="F186" s="92">
        <f>141940*1.077</f>
        <v>152869.38</v>
      </c>
      <c r="G186" s="91" t="s">
        <v>28</v>
      </c>
      <c r="H186" s="93" t="s">
        <v>98</v>
      </c>
      <c r="I186" s="94" t="s">
        <v>397</v>
      </c>
      <c r="J186" s="94" t="s">
        <v>475</v>
      </c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100">
        <v>1927.35</v>
      </c>
      <c r="W186" s="279">
        <f>948.3+1384.8+1129.9+928.1+1871+108.95</f>
        <v>6371.05</v>
      </c>
      <c r="X186" s="195">
        <f>17000-Tabelle1[[#This Row],[Aufgelaufene Kosten 2022
CHF inkl. MWST]]</f>
        <v>10628.95</v>
      </c>
      <c r="Y186" s="279"/>
      <c r="Z186" s="195">
        <v>35000</v>
      </c>
      <c r="AA186" s="195">
        <v>30000</v>
      </c>
      <c r="AB186" s="195">
        <v>30000</v>
      </c>
      <c r="AC186" s="195">
        <v>24993.73</v>
      </c>
      <c r="AD186" s="40" t="s">
        <v>201</v>
      </c>
      <c r="AE186" s="180">
        <f>SUM(Tabelle1[[#This Row],[bis Ende 2010
CHF inkl. MWST]:[Aufgelaufene Kosten 2022
CHF inkl. MWST]])</f>
        <v>8298.4</v>
      </c>
      <c r="AF186" s="180">
        <f>Tabelle1[[#This Row],[Summe Vertrag
CHF inkl. MWST]]-Tabelle1[[#This Row],[Total Rechnungen]]</f>
        <v>144570.98000000001</v>
      </c>
      <c r="AG186" s="180">
        <f>Tabelle1[[#This Row],[Restbudget Vertrag]]</f>
        <v>144570.98000000001</v>
      </c>
    </row>
    <row r="187" spans="1:33" s="2" customFormat="1" ht="12.6" customHeight="1" x14ac:dyDescent="0.15">
      <c r="A187" s="92" t="s">
        <v>666</v>
      </c>
      <c r="B187" s="335">
        <v>1355046659</v>
      </c>
      <c r="C187" s="92" t="s">
        <v>350</v>
      </c>
      <c r="D187" s="91" t="s">
        <v>16</v>
      </c>
      <c r="E187" s="91" t="s">
        <v>366</v>
      </c>
      <c r="F187" s="92">
        <v>73359.850000000006</v>
      </c>
      <c r="G187" s="91" t="s">
        <v>28</v>
      </c>
      <c r="H187" s="93" t="s">
        <v>99</v>
      </c>
      <c r="I187" s="94" t="s">
        <v>397</v>
      </c>
      <c r="J187" s="94" t="s">
        <v>480</v>
      </c>
      <c r="K187" s="75"/>
      <c r="L187" s="75"/>
      <c r="M187" s="75"/>
      <c r="N187" s="75"/>
      <c r="O187" s="75"/>
      <c r="P187" s="75"/>
      <c r="Q187" s="75"/>
      <c r="R187" s="98"/>
      <c r="S187" s="100">
        <v>534.1</v>
      </c>
      <c r="T187" s="131"/>
      <c r="U187" s="100">
        <f>428.2+697</f>
        <v>1125.2</v>
      </c>
      <c r="V187" s="100">
        <f>59.2+266.3+4912.05</f>
        <v>5237.55</v>
      </c>
      <c r="W187" s="179">
        <f>4884.15+2893.1+350.55+146.05+116.85+204.5</f>
        <v>8595.2000000000007</v>
      </c>
      <c r="X187" s="131"/>
      <c r="Y187" s="277"/>
      <c r="Z187" s="118">
        <v>15000</v>
      </c>
      <c r="AA187" s="118">
        <v>15000</v>
      </c>
      <c r="AB187" s="118">
        <v>15000</v>
      </c>
      <c r="AC187" s="118">
        <v>8000</v>
      </c>
      <c r="AD187" s="73" t="s">
        <v>346</v>
      </c>
      <c r="AE187" s="180">
        <f>SUM(Tabelle1[[#This Row],[bis Ende 2010
CHF inkl. MWST]:[Aufgelaufene Kosten 2022
CHF inkl. MWST]])</f>
        <v>15492.050000000001</v>
      </c>
      <c r="AF187" s="180">
        <f>Tabelle1[[#This Row],[Summe Vertrag
CHF inkl. MWST]]-Tabelle1[[#This Row],[Total Rechnungen]]</f>
        <v>57867.8</v>
      </c>
      <c r="AG187" s="180">
        <f>Tabelle1[[#This Row],[Total Rechnungen]]+Tabelle1[[#This Row],[Restbudget Vertrag]]</f>
        <v>73359.850000000006</v>
      </c>
    </row>
    <row r="188" spans="1:33" s="2" customFormat="1" ht="12.6" hidden="1" customHeight="1" x14ac:dyDescent="0.15">
      <c r="A188" s="100" t="s">
        <v>667</v>
      </c>
      <c r="B188" s="337">
        <v>1355047526</v>
      </c>
      <c r="C188" s="100" t="s">
        <v>349</v>
      </c>
      <c r="D188" s="99" t="s">
        <v>503</v>
      </c>
      <c r="E188" s="99" t="s">
        <v>274</v>
      </c>
      <c r="F188" s="100">
        <v>58055.8</v>
      </c>
      <c r="G188" s="99" t="s">
        <v>28</v>
      </c>
      <c r="H188" s="101" t="s">
        <v>100</v>
      </c>
      <c r="I188" s="102" t="s">
        <v>397</v>
      </c>
      <c r="J188" s="102" t="s">
        <v>475</v>
      </c>
      <c r="K188" s="75"/>
      <c r="L188" s="75"/>
      <c r="M188" s="75"/>
      <c r="N188" s="75"/>
      <c r="O188" s="75"/>
      <c r="P188" s="75"/>
      <c r="Q188" s="75"/>
      <c r="R188" s="75"/>
      <c r="S188" s="131"/>
      <c r="T188" s="131"/>
      <c r="U188" s="100">
        <v>58055.8</v>
      </c>
      <c r="V188" s="131"/>
      <c r="W188" s="190"/>
      <c r="X188" s="190"/>
      <c r="Y188" s="190"/>
      <c r="Z188" s="190"/>
      <c r="AA188" s="190"/>
      <c r="AB188" s="190"/>
      <c r="AC188" s="190"/>
      <c r="AD188" s="158"/>
      <c r="AE188" s="181">
        <f>SUM(Tabelle1[[#This Row],[bis Ende 2010
CHF inkl. MWST]:[2020
CHF inkl. MWST]])</f>
        <v>58055.8</v>
      </c>
      <c r="AF188" s="181"/>
      <c r="AG188" s="181">
        <f>Tabelle1[[#This Row],[Total Rechnungen]]+Tabelle1[[#This Row],[Restbudget Vertrag]]</f>
        <v>58055.8</v>
      </c>
    </row>
    <row r="189" spans="1:33" s="2" customFormat="1" ht="12.6" hidden="1" customHeight="1" x14ac:dyDescent="0.15">
      <c r="A189" s="23" t="s">
        <v>668</v>
      </c>
      <c r="B189" s="337"/>
      <c r="C189" s="100" t="s">
        <v>349</v>
      </c>
      <c r="D189" s="9" t="s">
        <v>279</v>
      </c>
      <c r="E189" s="9" t="s">
        <v>240</v>
      </c>
      <c r="F189" s="23">
        <v>74114.850000000006</v>
      </c>
      <c r="G189" s="9" t="s">
        <v>28</v>
      </c>
      <c r="H189" s="13" t="s">
        <v>99</v>
      </c>
      <c r="I189" s="35" t="s">
        <v>398</v>
      </c>
      <c r="J189" s="102" t="s">
        <v>480</v>
      </c>
      <c r="K189" s="137"/>
      <c r="L189" s="137"/>
      <c r="M189" s="137"/>
      <c r="N189" s="137"/>
      <c r="O189" s="137"/>
      <c r="P189" s="137"/>
      <c r="Q189" s="137"/>
      <c r="R189" s="137"/>
      <c r="S189" s="166"/>
      <c r="T189" s="23">
        <v>74114.850000000006</v>
      </c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58"/>
      <c r="AE189" s="182">
        <f>SUM(Tabelle1[[#This Row],[bis Ende 2010
CHF inkl. MWST]:[2019
CHF inkl. MWST]])</f>
        <v>74114.850000000006</v>
      </c>
      <c r="AF189" s="182"/>
      <c r="AG189" s="182">
        <f>Tabelle1[[#This Row],[Total Rechnungen]]</f>
        <v>74114.850000000006</v>
      </c>
    </row>
    <row r="190" spans="1:33" s="2" customFormat="1" ht="12.6" hidden="1" customHeight="1" x14ac:dyDescent="0.15">
      <c r="A190" s="23" t="s">
        <v>669</v>
      </c>
      <c r="B190" s="337">
        <v>1355004707</v>
      </c>
      <c r="C190" s="100" t="s">
        <v>349</v>
      </c>
      <c r="D190" s="9" t="s">
        <v>275</v>
      </c>
      <c r="E190" s="9" t="s">
        <v>276</v>
      </c>
      <c r="F190" s="23">
        <v>19774.95</v>
      </c>
      <c r="G190" s="9" t="s">
        <v>28</v>
      </c>
      <c r="H190" s="13" t="s">
        <v>97</v>
      </c>
      <c r="I190" s="35" t="s">
        <v>398</v>
      </c>
      <c r="J190" s="35" t="s">
        <v>479</v>
      </c>
      <c r="K190" s="137"/>
      <c r="L190" s="137"/>
      <c r="M190" s="137"/>
      <c r="N190" s="137"/>
      <c r="O190" s="137"/>
      <c r="P190" s="137"/>
      <c r="Q190" s="137"/>
      <c r="R190" s="137"/>
      <c r="S190" s="23">
        <v>13819.95</v>
      </c>
      <c r="T190" s="166"/>
      <c r="U190" s="166"/>
      <c r="V190" s="166"/>
      <c r="W190" s="166"/>
      <c r="X190" s="166"/>
      <c r="Y190" s="166"/>
      <c r="Z190" s="166"/>
      <c r="AA190" s="166"/>
      <c r="AB190" s="166"/>
      <c r="AC190" s="166"/>
      <c r="AD190" s="114"/>
      <c r="AE190" s="182">
        <f>SUM(Tabelle1[[#This Row],[bis Ende 2010
CHF inkl. MWST]:[2019
CHF inkl. MWST]])</f>
        <v>13819.95</v>
      </c>
      <c r="AF190" s="182"/>
      <c r="AG190" s="182">
        <f>Tabelle1[[#This Row],[Total Rechnungen]]</f>
        <v>13819.95</v>
      </c>
    </row>
    <row r="191" spans="1:33" s="2" customFormat="1" ht="12.6" hidden="1" customHeight="1" x14ac:dyDescent="0.15">
      <c r="A191" s="23" t="s">
        <v>670</v>
      </c>
      <c r="B191" s="337">
        <v>1355004714</v>
      </c>
      <c r="C191" s="100" t="s">
        <v>349</v>
      </c>
      <c r="D191" s="9" t="s">
        <v>278</v>
      </c>
      <c r="E191" s="9" t="s">
        <v>277</v>
      </c>
      <c r="F191" s="23">
        <v>12267.85</v>
      </c>
      <c r="G191" s="9" t="s">
        <v>28</v>
      </c>
      <c r="H191" s="13" t="s">
        <v>97</v>
      </c>
      <c r="I191" s="35" t="s">
        <v>398</v>
      </c>
      <c r="J191" s="35" t="s">
        <v>479</v>
      </c>
      <c r="K191" s="30"/>
      <c r="L191" s="30"/>
      <c r="M191" s="30"/>
      <c r="N191" s="30"/>
      <c r="O191" s="30"/>
      <c r="P191" s="30"/>
      <c r="Q191" s="30"/>
      <c r="R191" s="75"/>
      <c r="S191" s="37"/>
      <c r="T191" s="23">
        <v>10930.45</v>
      </c>
      <c r="U191" s="166"/>
      <c r="V191" s="166"/>
      <c r="W191" s="166"/>
      <c r="X191" s="166"/>
      <c r="Y191" s="166"/>
      <c r="Z191" s="166"/>
      <c r="AA191" s="166"/>
      <c r="AB191" s="166"/>
      <c r="AC191" s="166"/>
      <c r="AD191" s="114"/>
      <c r="AE191" s="182">
        <f>SUM(Tabelle1[[#This Row],[bis Ende 2010
CHF inkl. MWST]:[2019
CHF inkl. MWST]])</f>
        <v>10930.45</v>
      </c>
      <c r="AF191" s="182"/>
      <c r="AG191" s="182">
        <f>Tabelle1[[#This Row],[Total Rechnungen]]</f>
        <v>10930.45</v>
      </c>
    </row>
    <row r="192" spans="1:33" s="2" customFormat="1" ht="12.6" customHeight="1" x14ac:dyDescent="0.15">
      <c r="A192" s="172" t="s">
        <v>671</v>
      </c>
      <c r="B192" s="335">
        <v>1355008567</v>
      </c>
      <c r="C192" s="172" t="s">
        <v>350</v>
      </c>
      <c r="D192" s="171" t="s">
        <v>503</v>
      </c>
      <c r="E192" s="171" t="s">
        <v>147</v>
      </c>
      <c r="F192" s="172">
        <v>145600</v>
      </c>
      <c r="G192" s="171" t="s">
        <v>28</v>
      </c>
      <c r="H192" s="176" t="s">
        <v>98</v>
      </c>
      <c r="I192" s="177" t="s">
        <v>397</v>
      </c>
      <c r="J192" s="177" t="s">
        <v>475</v>
      </c>
      <c r="K192" s="30"/>
      <c r="L192" s="30"/>
      <c r="M192" s="30"/>
      <c r="N192" s="30"/>
      <c r="O192" s="30"/>
      <c r="P192" s="30"/>
      <c r="Q192" s="30"/>
      <c r="R192" s="30"/>
      <c r="S192" s="30"/>
      <c r="T192" s="55"/>
      <c r="U192" s="23">
        <f>2448.75+2796</f>
        <v>5244.75</v>
      </c>
      <c r="V192" s="54">
        <f>5881.4+3914.25</f>
        <v>9795.65</v>
      </c>
      <c r="W192" s="279">
        <f>2469.25+5150.95+6836.7+1146.7</f>
        <v>15603.6</v>
      </c>
      <c r="X192" s="195">
        <f>17000-Tabelle1[[#This Row],[Aufgelaufene Kosten 2022
CHF inkl. MWST]]</f>
        <v>1396.3999999999996</v>
      </c>
      <c r="Y192" s="279"/>
      <c r="Z192" s="195">
        <v>30000</v>
      </c>
      <c r="AA192" s="195">
        <v>30000</v>
      </c>
      <c r="AB192" s="195">
        <v>30000</v>
      </c>
      <c r="AC192" s="195">
        <v>10641.6</v>
      </c>
      <c r="AD192" s="40" t="s">
        <v>201</v>
      </c>
      <c r="AE192" s="180">
        <f>SUM(Tabelle1[[#This Row],[bis Ende 2010
CHF inkl. MWST]:[Aufgelaufene Kosten 2022
CHF inkl. MWST]])</f>
        <v>30644</v>
      </c>
      <c r="AF192" s="180">
        <f>Tabelle1[[#This Row],[Summe Vertrag
CHF inkl. MWST]]-Tabelle1[[#This Row],[Total Rechnungen]]</f>
        <v>114956</v>
      </c>
      <c r="AG192" s="180">
        <f>Tabelle1[[#This Row],[Restbudget Vertrag]]</f>
        <v>114956</v>
      </c>
    </row>
    <row r="193" spans="1:33" s="2" customFormat="1" ht="12.6" hidden="1" customHeight="1" x14ac:dyDescent="0.15">
      <c r="A193" s="23" t="s">
        <v>672</v>
      </c>
      <c r="B193" s="337">
        <v>1355010451</v>
      </c>
      <c r="C193" s="23" t="s">
        <v>349</v>
      </c>
      <c r="D193" s="9" t="s">
        <v>287</v>
      </c>
      <c r="E193" s="9" t="s">
        <v>288</v>
      </c>
      <c r="F193" s="23">
        <f>46258.25*1.077</f>
        <v>49820.135249999999</v>
      </c>
      <c r="G193" s="9" t="s">
        <v>28</v>
      </c>
      <c r="H193" s="13" t="s">
        <v>99</v>
      </c>
      <c r="I193" s="35" t="s">
        <v>398</v>
      </c>
      <c r="J193" s="35" t="s">
        <v>480</v>
      </c>
      <c r="K193" s="164"/>
      <c r="L193" s="164"/>
      <c r="M193" s="164"/>
      <c r="N193" s="164"/>
      <c r="O193" s="164"/>
      <c r="P193" s="164"/>
      <c r="Q193" s="164"/>
      <c r="R193" s="165"/>
      <c r="S193" s="100">
        <v>49820.14</v>
      </c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5"/>
      <c r="AD193" s="114"/>
      <c r="AE193" s="182">
        <f>SUM(Tabelle1[[#This Row],[bis Ende 2010
CHF inkl. MWST]:[2019
CHF inkl. MWST]])</f>
        <v>49820.14</v>
      </c>
      <c r="AF193" s="182"/>
      <c r="AG193" s="182">
        <f>Tabelle1[[#This Row],[Total Rechnungen]]</f>
        <v>49820.14</v>
      </c>
    </row>
    <row r="194" spans="1:33" s="2" customFormat="1" ht="12.6" hidden="1" customHeight="1" x14ac:dyDescent="0.15">
      <c r="A194" s="100" t="s">
        <v>673</v>
      </c>
      <c r="B194" s="337"/>
      <c r="C194" s="100" t="s">
        <v>349</v>
      </c>
      <c r="D194" s="99" t="s">
        <v>290</v>
      </c>
      <c r="E194" s="99" t="s">
        <v>291</v>
      </c>
      <c r="F194" s="100">
        <f>(68500+12700)*1.077</f>
        <v>87452.4</v>
      </c>
      <c r="G194" s="99" t="s">
        <v>28</v>
      </c>
      <c r="H194" s="101" t="s">
        <v>100</v>
      </c>
      <c r="I194" s="102" t="s">
        <v>397</v>
      </c>
      <c r="J194" s="102" t="s">
        <v>475</v>
      </c>
      <c r="K194" s="75"/>
      <c r="L194" s="75"/>
      <c r="M194" s="75"/>
      <c r="N194" s="75"/>
      <c r="O194" s="75"/>
      <c r="P194" s="75"/>
      <c r="Q194" s="75"/>
      <c r="R194" s="75"/>
      <c r="S194" s="131"/>
      <c r="T194" s="131"/>
      <c r="U194" s="100">
        <v>43553.9</v>
      </c>
      <c r="V194" s="100">
        <f>42330.4+1568.1</f>
        <v>43898.5</v>
      </c>
      <c r="W194" s="131"/>
      <c r="X194" s="190"/>
      <c r="Y194" s="190"/>
      <c r="Z194" s="190"/>
      <c r="AA194" s="190"/>
      <c r="AB194" s="190"/>
      <c r="AC194" s="190"/>
      <c r="AD194" s="114"/>
      <c r="AE194" s="182">
        <f>SUM(Tabelle1[[#This Row],[bis Ende 2010
CHF inkl. MWST]:[2021
CHF inkl. MWST]])</f>
        <v>87452.4</v>
      </c>
      <c r="AF194" s="182"/>
      <c r="AG194" s="182">
        <f>Tabelle1[[#This Row],[Total Rechnungen]]+Tabelle1[[#This Row],[Restbudget Vertrag]]</f>
        <v>87452.4</v>
      </c>
    </row>
    <row r="195" spans="1:33" s="2" customFormat="1" ht="12.6" hidden="1" customHeight="1" x14ac:dyDescent="0.15">
      <c r="A195" s="100" t="s">
        <v>674</v>
      </c>
      <c r="B195" s="337">
        <v>1355028210</v>
      </c>
      <c r="C195" s="100" t="s">
        <v>349</v>
      </c>
      <c r="D195" s="99" t="s">
        <v>317</v>
      </c>
      <c r="E195" s="99" t="s">
        <v>316</v>
      </c>
      <c r="F195" s="100">
        <v>29015</v>
      </c>
      <c r="G195" s="99" t="s">
        <v>28</v>
      </c>
      <c r="H195" s="101" t="s">
        <v>98</v>
      </c>
      <c r="I195" s="102" t="s">
        <v>397</v>
      </c>
      <c r="J195" s="102" t="s">
        <v>475</v>
      </c>
      <c r="K195" s="191"/>
      <c r="L195" s="191"/>
      <c r="M195" s="191"/>
      <c r="N195" s="191"/>
      <c r="O195" s="191"/>
      <c r="P195" s="191"/>
      <c r="Q195" s="191"/>
      <c r="R195" s="191"/>
      <c r="S195" s="191"/>
      <c r="T195" s="131"/>
      <c r="U195" s="100">
        <v>18527.09</v>
      </c>
      <c r="V195" s="190"/>
      <c r="W195" s="190"/>
      <c r="X195" s="190"/>
      <c r="Y195" s="190"/>
      <c r="Z195" s="190"/>
      <c r="AA195" s="190"/>
      <c r="AB195" s="190"/>
      <c r="AC195" s="190"/>
      <c r="AD195" s="114"/>
      <c r="AE195" s="182">
        <f>SUM(Tabelle1[[#This Row],[bis Ende 2010
CHF inkl. MWST]:[2021
CHF inkl. MWST]])</f>
        <v>18527.09</v>
      </c>
      <c r="AF195" s="221"/>
      <c r="AG195" s="221">
        <f>Tabelle1[[#This Row],[Total Rechnungen]]+Tabelle1[[#This Row],[Restbudget Vertrag]]</f>
        <v>18527.09</v>
      </c>
    </row>
    <row r="196" spans="1:33" s="2" customFormat="1" ht="12.6" customHeight="1" x14ac:dyDescent="0.15">
      <c r="A196" s="172" t="s">
        <v>675</v>
      </c>
      <c r="B196" s="335">
        <v>1355028305</v>
      </c>
      <c r="C196" s="172" t="s">
        <v>350</v>
      </c>
      <c r="D196" s="171" t="s">
        <v>343</v>
      </c>
      <c r="E196" s="171" t="s">
        <v>327</v>
      </c>
      <c r="F196" s="172">
        <f>35484033.75*1.077</f>
        <v>38216304.348749995</v>
      </c>
      <c r="G196" s="171" t="s">
        <v>29</v>
      </c>
      <c r="H196" s="176" t="s">
        <v>102</v>
      </c>
      <c r="I196" s="232" t="s">
        <v>398</v>
      </c>
      <c r="J196" s="232" t="s">
        <v>352</v>
      </c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23">
        <f>697572.2+268158.55</f>
        <v>965730.75</v>
      </c>
      <c r="W196" s="279">
        <f>218919.4+778329.65+229283.35+498592.75+285353.26+300202.39+1318160.55+217717.82+682670.85+698418.35+274283.6</f>
        <v>5501931.9699999997</v>
      </c>
      <c r="X196" s="195">
        <f>6300000*1.1-Tabelle1[[#This Row],[Aufgelaufene Kosten 2022
CHF inkl. MWST]]</f>
        <v>1428068.0300000012</v>
      </c>
      <c r="Y196" s="279"/>
      <c r="Z196" s="195">
        <v>16500000</v>
      </c>
      <c r="AA196" s="195">
        <v>9500000</v>
      </c>
      <c r="AB196" s="195">
        <v>6511859.79</v>
      </c>
      <c r="AC196" s="195">
        <v>0</v>
      </c>
      <c r="AD196" s="73" t="s">
        <v>502</v>
      </c>
      <c r="AE196" s="180">
        <f>SUM(Tabelle1[[#This Row],[2021
CHF inkl. MWST]:[Aufgelaufene Kosten 2022
CHF inkl. MWST]])</f>
        <v>6467662.7199999997</v>
      </c>
      <c r="AF196" s="180">
        <f>Tabelle1[[#This Row],[Summe Vertrag
CHF inkl. MWST]]+F197+F198+F199+F200+F201+F202+F203+F204-Tabelle1[[#This Row],[Total Rechnungen]]</f>
        <v>32791197.230149999</v>
      </c>
      <c r="AG196" s="192">
        <f>Tabelle1[[#This Row],[Total Rechnungen]]+Tabelle1[[#This Row],[Restbudget Vertrag]]</f>
        <v>39258859.950149998</v>
      </c>
    </row>
    <row r="197" spans="1:33" s="2" customFormat="1" ht="12.6" hidden="1" customHeight="1" x14ac:dyDescent="0.15">
      <c r="A197" s="23" t="s">
        <v>551</v>
      </c>
      <c r="B197" s="337">
        <v>1355028305</v>
      </c>
      <c r="C197" s="100" t="s">
        <v>349</v>
      </c>
      <c r="D197" s="260" t="s">
        <v>343</v>
      </c>
      <c r="E197" s="9" t="s">
        <v>438</v>
      </c>
      <c r="F197" s="23">
        <f>164420*1.077</f>
        <v>177080.34</v>
      </c>
      <c r="G197" s="9" t="s">
        <v>29</v>
      </c>
      <c r="H197" s="13" t="s">
        <v>102</v>
      </c>
      <c r="I197" s="232" t="s">
        <v>398</v>
      </c>
      <c r="J197" s="232" t="s">
        <v>352</v>
      </c>
      <c r="K197" s="295"/>
      <c r="L197" s="295"/>
      <c r="M197" s="295"/>
      <c r="N197" s="295"/>
      <c r="O197" s="295"/>
      <c r="P197" s="295"/>
      <c r="Q197" s="295"/>
      <c r="R197" s="296"/>
      <c r="S197" s="296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114"/>
      <c r="AE197" s="297"/>
      <c r="AF197" s="298"/>
      <c r="AG197" s="298"/>
    </row>
    <row r="198" spans="1:33" s="2" customFormat="1" ht="12.6" hidden="1" customHeight="1" x14ac:dyDescent="0.15">
      <c r="A198" s="23" t="s">
        <v>552</v>
      </c>
      <c r="B198" s="337">
        <v>1355028305</v>
      </c>
      <c r="C198" s="100" t="s">
        <v>349</v>
      </c>
      <c r="D198" s="260" t="s">
        <v>343</v>
      </c>
      <c r="E198" s="260" t="s">
        <v>439</v>
      </c>
      <c r="F198" s="23">
        <f>172494.5*1.077</f>
        <v>185776.5765</v>
      </c>
      <c r="G198" s="9" t="s">
        <v>29</v>
      </c>
      <c r="H198" s="13" t="s">
        <v>102</v>
      </c>
      <c r="I198" s="232" t="s">
        <v>398</v>
      </c>
      <c r="J198" s="232" t="s">
        <v>352</v>
      </c>
      <c r="K198" s="295"/>
      <c r="L198" s="295"/>
      <c r="M198" s="295"/>
      <c r="N198" s="295"/>
      <c r="O198" s="295"/>
      <c r="P198" s="295"/>
      <c r="Q198" s="295"/>
      <c r="R198" s="296"/>
      <c r="S198" s="296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114"/>
      <c r="AE198" s="297"/>
      <c r="AF198" s="298"/>
      <c r="AG198" s="298"/>
    </row>
    <row r="199" spans="1:33" s="2" customFormat="1" ht="12.6" hidden="1" customHeight="1" x14ac:dyDescent="0.15">
      <c r="A199" s="23" t="s">
        <v>553</v>
      </c>
      <c r="B199" s="337">
        <v>1355028305</v>
      </c>
      <c r="C199" s="100" t="s">
        <v>349</v>
      </c>
      <c r="D199" s="260" t="s">
        <v>343</v>
      </c>
      <c r="E199" s="260" t="s">
        <v>440</v>
      </c>
      <c r="F199" s="23">
        <f>245111.8*1.077</f>
        <v>263985.40859999997</v>
      </c>
      <c r="G199" s="9" t="s">
        <v>29</v>
      </c>
      <c r="H199" s="13" t="s">
        <v>102</v>
      </c>
      <c r="I199" s="232" t="s">
        <v>398</v>
      </c>
      <c r="J199" s="232" t="s">
        <v>352</v>
      </c>
      <c r="K199" s="295"/>
      <c r="L199" s="295"/>
      <c r="M199" s="295"/>
      <c r="N199" s="295"/>
      <c r="O199" s="295"/>
      <c r="P199" s="295"/>
      <c r="Q199" s="295"/>
      <c r="R199" s="296"/>
      <c r="S199" s="296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114"/>
      <c r="AE199" s="297"/>
      <c r="AF199" s="298"/>
      <c r="AG199" s="298"/>
    </row>
    <row r="200" spans="1:33" s="2" customFormat="1" ht="12.6" hidden="1" customHeight="1" x14ac:dyDescent="0.15">
      <c r="A200" s="23" t="s">
        <v>554</v>
      </c>
      <c r="B200" s="337">
        <v>1355028305</v>
      </c>
      <c r="C200" s="100" t="s">
        <v>349</v>
      </c>
      <c r="D200" s="260" t="s">
        <v>343</v>
      </c>
      <c r="E200" s="260" t="s">
        <v>450</v>
      </c>
      <c r="F200" s="23">
        <f>-85711.5*1.077</f>
        <v>-92311.285499999998</v>
      </c>
      <c r="G200" s="9" t="s">
        <v>29</v>
      </c>
      <c r="H200" s="13" t="s">
        <v>102</v>
      </c>
      <c r="I200" s="232" t="s">
        <v>398</v>
      </c>
      <c r="J200" s="232" t="s">
        <v>352</v>
      </c>
      <c r="K200" s="295"/>
      <c r="L200" s="295"/>
      <c r="M200" s="295"/>
      <c r="N200" s="295"/>
      <c r="O200" s="295"/>
      <c r="P200" s="295"/>
      <c r="Q200" s="295"/>
      <c r="R200" s="296"/>
      <c r="S200" s="296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114"/>
      <c r="AE200" s="297"/>
      <c r="AF200" s="298"/>
      <c r="AG200" s="298"/>
    </row>
    <row r="201" spans="1:33" s="2" customFormat="1" ht="12.6" customHeight="1" x14ac:dyDescent="0.15">
      <c r="A201" s="216" t="s">
        <v>555</v>
      </c>
      <c r="B201" s="338">
        <v>1355028305</v>
      </c>
      <c r="C201" s="240" t="s">
        <v>351</v>
      </c>
      <c r="D201" s="284" t="s">
        <v>343</v>
      </c>
      <c r="E201" s="150" t="s">
        <v>520</v>
      </c>
      <c r="F201" s="216">
        <f>262202.7*1.077</f>
        <v>282392.30790000001</v>
      </c>
      <c r="G201" s="171" t="s">
        <v>29</v>
      </c>
      <c r="H201" s="176" t="s">
        <v>102</v>
      </c>
      <c r="I201" s="232" t="s">
        <v>398</v>
      </c>
      <c r="J201" s="232" t="s">
        <v>352</v>
      </c>
      <c r="K201" s="295"/>
      <c r="L201" s="295"/>
      <c r="M201" s="295"/>
      <c r="N201" s="295"/>
      <c r="O201" s="295"/>
      <c r="P201" s="295"/>
      <c r="Q201" s="295"/>
      <c r="R201" s="296"/>
      <c r="S201" s="296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114"/>
      <c r="AE201" s="297"/>
      <c r="AF201" s="298"/>
      <c r="AG201" s="298"/>
    </row>
    <row r="202" spans="1:33" s="2" customFormat="1" ht="12.6" customHeight="1" x14ac:dyDescent="0.15">
      <c r="A202" s="216" t="s">
        <v>556</v>
      </c>
      <c r="B202" s="338">
        <v>1355028305</v>
      </c>
      <c r="C202" s="240" t="s">
        <v>351</v>
      </c>
      <c r="D202" s="284" t="s">
        <v>343</v>
      </c>
      <c r="E202" s="150" t="s">
        <v>521</v>
      </c>
      <c r="F202" s="216">
        <f>148027.2*1.077</f>
        <v>159425.29440000001</v>
      </c>
      <c r="G202" s="171" t="s">
        <v>29</v>
      </c>
      <c r="H202" s="176" t="s">
        <v>102</v>
      </c>
      <c r="I202" s="232" t="s">
        <v>398</v>
      </c>
      <c r="J202" s="232" t="s">
        <v>352</v>
      </c>
      <c r="K202" s="30"/>
      <c r="L202" s="30"/>
      <c r="M202" s="30"/>
      <c r="N202" s="30"/>
      <c r="O202" s="30"/>
      <c r="P202" s="30"/>
      <c r="Q202" s="30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114"/>
      <c r="AE202" s="297"/>
      <c r="AF202" s="298"/>
      <c r="AG202" s="298"/>
    </row>
    <row r="203" spans="1:33" s="2" customFormat="1" ht="12.6" customHeight="1" x14ac:dyDescent="0.15">
      <c r="A203" s="216" t="s">
        <v>557</v>
      </c>
      <c r="B203" s="338">
        <v>1355028305</v>
      </c>
      <c r="C203" s="240" t="s">
        <v>351</v>
      </c>
      <c r="D203" s="284" t="s">
        <v>343</v>
      </c>
      <c r="E203" s="150" t="s">
        <v>523</v>
      </c>
      <c r="F203" s="216">
        <f>(56873.3+4600.2)*1.077</f>
        <v>66206.959499999997</v>
      </c>
      <c r="G203" s="171" t="s">
        <v>29</v>
      </c>
      <c r="H203" s="176" t="s">
        <v>102</v>
      </c>
      <c r="I203" s="232" t="s">
        <v>398</v>
      </c>
      <c r="J203" s="232" t="s">
        <v>352</v>
      </c>
      <c r="K203" s="295"/>
      <c r="L203" s="295"/>
      <c r="M203" s="295"/>
      <c r="N203" s="295"/>
      <c r="O203" s="295"/>
      <c r="P203" s="295"/>
      <c r="Q203" s="295"/>
      <c r="R203" s="296"/>
      <c r="S203" s="296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114"/>
      <c r="AE203" s="297"/>
      <c r="AF203" s="298"/>
      <c r="AG203" s="298"/>
    </row>
    <row r="204" spans="1:33" s="2" customFormat="1" ht="12.6" customHeight="1" x14ac:dyDescent="0.15">
      <c r="A204" s="39" t="s">
        <v>558</v>
      </c>
      <c r="B204" s="346">
        <v>1355028305</v>
      </c>
      <c r="C204" s="72" t="s">
        <v>351</v>
      </c>
      <c r="D204" s="40" t="s">
        <v>343</v>
      </c>
      <c r="E204" s="40"/>
      <c r="F204" s="300"/>
      <c r="G204" s="171" t="s">
        <v>29</v>
      </c>
      <c r="H204" s="176" t="s">
        <v>102</v>
      </c>
      <c r="I204" s="232" t="s">
        <v>398</v>
      </c>
      <c r="J204" s="232" t="s">
        <v>352</v>
      </c>
      <c r="K204" s="295"/>
      <c r="L204" s="295"/>
      <c r="M204" s="295"/>
      <c r="N204" s="295"/>
      <c r="O204" s="295"/>
      <c r="P204" s="295"/>
      <c r="Q204" s="295"/>
      <c r="R204" s="296"/>
      <c r="S204" s="296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114"/>
      <c r="AE204" s="297"/>
      <c r="AF204" s="298"/>
      <c r="AG204" s="298"/>
    </row>
    <row r="205" spans="1:33" s="2" customFormat="1" ht="12.6" hidden="1" customHeight="1" x14ac:dyDescent="0.15">
      <c r="A205" s="23" t="s">
        <v>676</v>
      </c>
      <c r="B205" s="337">
        <v>1355030305</v>
      </c>
      <c r="C205" s="23" t="s">
        <v>349</v>
      </c>
      <c r="D205" s="7" t="s">
        <v>16</v>
      </c>
      <c r="E205" s="7" t="s">
        <v>292</v>
      </c>
      <c r="F205" s="246">
        <v>62257.599999999999</v>
      </c>
      <c r="G205" s="9" t="s">
        <v>28</v>
      </c>
      <c r="H205" s="13" t="s">
        <v>100</v>
      </c>
      <c r="I205" s="35" t="s">
        <v>398</v>
      </c>
      <c r="J205" s="102" t="s">
        <v>475</v>
      </c>
      <c r="K205" s="167"/>
      <c r="L205" s="167"/>
      <c r="M205" s="167"/>
      <c r="N205" s="167"/>
      <c r="O205" s="167"/>
      <c r="P205" s="167"/>
      <c r="Q205" s="167"/>
      <c r="R205" s="168"/>
      <c r="S205" s="187"/>
      <c r="T205" s="131"/>
      <c r="U205" s="100">
        <f>32215.65+17501.1+2990</f>
        <v>52706.75</v>
      </c>
      <c r="V205" s="100">
        <f>6594.6+904.2</f>
        <v>7498.8</v>
      </c>
      <c r="W205" s="190"/>
      <c r="X205" s="190"/>
      <c r="Y205" s="190"/>
      <c r="Z205" s="190"/>
      <c r="AA205" s="190"/>
      <c r="AB205" s="190"/>
      <c r="AC205" s="190"/>
      <c r="AD205" s="110"/>
      <c r="AE205" s="181">
        <f>SUM(Tabelle1[[#This Row],[bis Ende 2010
CHF inkl. MWST]:[2021
CHF inkl. MWST]])</f>
        <v>60205.55</v>
      </c>
      <c r="AF205" s="181"/>
      <c r="AG205" s="222">
        <f>Tabelle1[[#This Row],[Total Rechnungen]]+Tabelle1[[#This Row],[Restbudget Vertrag]]</f>
        <v>60205.55</v>
      </c>
    </row>
    <row r="206" spans="1:33" s="2" customFormat="1" ht="12.6" customHeight="1" x14ac:dyDescent="0.15">
      <c r="A206" s="361" t="s">
        <v>677</v>
      </c>
      <c r="B206" s="335">
        <v>1355030652</v>
      </c>
      <c r="C206" s="293" t="s">
        <v>350</v>
      </c>
      <c r="D206" s="171" t="s">
        <v>388</v>
      </c>
      <c r="E206" s="171" t="s">
        <v>246</v>
      </c>
      <c r="F206" s="172">
        <f>531580.8*1.077</f>
        <v>572512.52159999998</v>
      </c>
      <c r="G206" s="171" t="s">
        <v>28</v>
      </c>
      <c r="H206" s="176" t="s">
        <v>99</v>
      </c>
      <c r="I206" s="177" t="s">
        <v>398</v>
      </c>
      <c r="J206" s="178" t="s">
        <v>480</v>
      </c>
      <c r="K206" s="30"/>
      <c r="L206" s="30"/>
      <c r="M206" s="30"/>
      <c r="N206" s="30"/>
      <c r="O206" s="30"/>
      <c r="P206" s="30"/>
      <c r="Q206" s="30"/>
      <c r="R206" s="75"/>
      <c r="S206" s="75"/>
      <c r="T206" s="75"/>
      <c r="U206" s="75"/>
      <c r="V206" s="131"/>
      <c r="W206" s="277">
        <f>125690.9*1.077</f>
        <v>135369.0993</v>
      </c>
      <c r="X206" s="118">
        <f>150000-Tabelle1[[#This Row],[Aufgelaufene Kosten 2022
CHF inkl. MWST]]</f>
        <v>14630.900699999998</v>
      </c>
      <c r="Y206" s="277"/>
      <c r="Z206" s="118">
        <v>200000</v>
      </c>
      <c r="AA206" s="118">
        <v>150000</v>
      </c>
      <c r="AB206" s="118">
        <v>50000</v>
      </c>
      <c r="AC206" s="118">
        <v>40000</v>
      </c>
      <c r="AD206" s="40" t="s">
        <v>346</v>
      </c>
      <c r="AE206" s="180">
        <f>SUM(Tabelle1[[#This Row],[bis Ende 2010
CHF inkl. MWST]:[Aufgelaufene Kosten 2022
CHF inkl. MWST]])</f>
        <v>135369.0993</v>
      </c>
      <c r="AF206" s="180">
        <f>Tabelle1[[#This Row],[Summe Vertrag
CHF inkl. MWST]]+F207-Tabelle1[[#This Row],[Total Rechnungen]]</f>
        <v>455202.55830000003</v>
      </c>
      <c r="AG206" s="192">
        <f>Tabelle1[[#This Row],[Total Rechnungen]]+Tabelle1[[#This Row],[Restbudget Vertrag]]</f>
        <v>590571.65760000004</v>
      </c>
    </row>
    <row r="207" spans="1:33" s="2" customFormat="1" ht="12.6" hidden="1" customHeight="1" x14ac:dyDescent="0.15">
      <c r="A207" s="23" t="s">
        <v>559</v>
      </c>
      <c r="B207" s="337">
        <v>1355030652</v>
      </c>
      <c r="C207" s="100" t="s">
        <v>349</v>
      </c>
      <c r="D207" s="9" t="s">
        <v>388</v>
      </c>
      <c r="E207" s="9" t="s">
        <v>447</v>
      </c>
      <c r="F207" s="23">
        <f>16768*1.077</f>
        <v>18059.135999999999</v>
      </c>
      <c r="G207" s="9" t="s">
        <v>28</v>
      </c>
      <c r="H207" s="13" t="s">
        <v>99</v>
      </c>
      <c r="I207" s="35" t="s">
        <v>398</v>
      </c>
      <c r="J207" s="102" t="s">
        <v>480</v>
      </c>
      <c r="K207" s="295"/>
      <c r="L207" s="295"/>
      <c r="M207" s="295"/>
      <c r="N207" s="295"/>
      <c r="O207" s="295"/>
      <c r="P207" s="295"/>
      <c r="Q207" s="295"/>
      <c r="R207" s="296"/>
      <c r="S207" s="296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114"/>
      <c r="AE207" s="297"/>
      <c r="AF207" s="305"/>
      <c r="AG207" s="305"/>
    </row>
    <row r="208" spans="1:33" s="2" customFormat="1" ht="12.6" customHeight="1" x14ac:dyDescent="0.15">
      <c r="A208" s="361" t="s">
        <v>678</v>
      </c>
      <c r="B208" s="335">
        <v>1355030656</v>
      </c>
      <c r="C208" s="302" t="s">
        <v>350</v>
      </c>
      <c r="D208" s="171" t="s">
        <v>400</v>
      </c>
      <c r="E208" s="171" t="s">
        <v>313</v>
      </c>
      <c r="F208" s="172">
        <f>1221505*1.077</f>
        <v>1315560.885</v>
      </c>
      <c r="G208" s="171" t="s">
        <v>28</v>
      </c>
      <c r="H208" s="176" t="s">
        <v>99</v>
      </c>
      <c r="I208" s="177" t="s">
        <v>398</v>
      </c>
      <c r="J208" s="178" t="s">
        <v>480</v>
      </c>
      <c r="K208" s="30"/>
      <c r="L208" s="30"/>
      <c r="M208" s="30"/>
      <c r="N208" s="30"/>
      <c r="O208" s="30"/>
      <c r="P208" s="30"/>
      <c r="Q208" s="30"/>
      <c r="R208" s="75"/>
      <c r="S208" s="75"/>
      <c r="T208" s="75"/>
      <c r="U208" s="75"/>
      <c r="V208" s="131"/>
      <c r="W208" s="179">
        <f>338251.5*1.077</f>
        <v>364296.86550000001</v>
      </c>
      <c r="X208" s="131"/>
      <c r="Y208" s="277"/>
      <c r="Z208" s="118">
        <v>300000</v>
      </c>
      <c r="AA208" s="118">
        <v>400000</v>
      </c>
      <c r="AB208" s="118">
        <v>250000</v>
      </c>
      <c r="AC208" s="131"/>
      <c r="AD208" s="40" t="s">
        <v>346</v>
      </c>
      <c r="AE208" s="180">
        <f>SUM(Tabelle1[[#This Row],[bis Ende 2010
CHF inkl. MWST]:[Aufgelaufene Kosten 2022
CHF inkl. MWST]])</f>
        <v>364296.86550000001</v>
      </c>
      <c r="AF208" s="180">
        <f>Tabelle1[[#This Row],[Summe Vertrag
CHF inkl. MWST]]-Tabelle1[[#This Row],[Total Rechnungen]]</f>
        <v>951264.01949999994</v>
      </c>
      <c r="AG208" s="192">
        <f>Tabelle1[[#This Row],[Total Rechnungen]]+Tabelle1[[#This Row],[Restbudget Vertrag]]</f>
        <v>1315560.885</v>
      </c>
    </row>
    <row r="209" spans="1:33" s="2" customFormat="1" ht="12.6" customHeight="1" x14ac:dyDescent="0.15">
      <c r="A209" s="362" t="s">
        <v>679</v>
      </c>
      <c r="B209" s="338">
        <v>1355030660</v>
      </c>
      <c r="C209" s="39" t="s">
        <v>351</v>
      </c>
      <c r="D209" s="40" t="s">
        <v>370</v>
      </c>
      <c r="E209" s="150" t="s">
        <v>314</v>
      </c>
      <c r="F209" s="39">
        <v>309099</v>
      </c>
      <c r="G209" s="150" t="s">
        <v>28</v>
      </c>
      <c r="H209" s="127" t="s">
        <v>99</v>
      </c>
      <c r="I209" s="231" t="s">
        <v>398</v>
      </c>
      <c r="J209" s="128" t="s">
        <v>480</v>
      </c>
      <c r="K209" s="137"/>
      <c r="L209" s="137"/>
      <c r="M209" s="137"/>
      <c r="N209" s="137"/>
      <c r="O209" s="137"/>
      <c r="P209" s="137"/>
      <c r="Q209" s="137"/>
      <c r="R209" s="138"/>
      <c r="S209" s="138"/>
      <c r="T209" s="138"/>
      <c r="U209" s="138"/>
      <c r="V209" s="138"/>
      <c r="W209" s="138"/>
      <c r="X209" s="253"/>
      <c r="Y209" s="281"/>
      <c r="Z209" s="193">
        <v>110000</v>
      </c>
      <c r="AA209" s="193">
        <v>110000</v>
      </c>
      <c r="AB209" s="138"/>
      <c r="AC209" s="138"/>
      <c r="AD209" s="40" t="s">
        <v>346</v>
      </c>
      <c r="AE209" s="180">
        <f>SUM(Tabelle1[[#This Row],[bis Ende 2010
CHF inkl. MWST]:[Aufgelaufene Kosten 2022
CHF inkl. MWST]])</f>
        <v>0</v>
      </c>
      <c r="AF209" s="180">
        <f>Tabelle1[[#This Row],[Summe Vertrag
CHF inkl. MWST]]-Tabelle1[[#This Row],[Total Rechnungen]]</f>
        <v>309099</v>
      </c>
      <c r="AG209" s="192">
        <f>Tabelle1[[#This Row],[Total Rechnungen]]+Tabelle1[[#This Row],[Restbudget Vertrag]]</f>
        <v>309099</v>
      </c>
    </row>
    <row r="210" spans="1:33" s="2" customFormat="1" ht="12.6" customHeight="1" x14ac:dyDescent="0.15">
      <c r="A210" s="92" t="s">
        <v>680</v>
      </c>
      <c r="B210" s="335">
        <v>1355032175</v>
      </c>
      <c r="C210" s="92" t="s">
        <v>350</v>
      </c>
      <c r="D210" s="171" t="s">
        <v>326</v>
      </c>
      <c r="E210" s="171" t="s">
        <v>325</v>
      </c>
      <c r="F210" s="172">
        <f>25000*1.077</f>
        <v>26925</v>
      </c>
      <c r="G210" s="171" t="s">
        <v>28</v>
      </c>
      <c r="H210" s="176" t="s">
        <v>98</v>
      </c>
      <c r="I210" s="177" t="s">
        <v>397</v>
      </c>
      <c r="J210" s="178" t="s">
        <v>475</v>
      </c>
      <c r="K210" s="198"/>
      <c r="L210" s="198"/>
      <c r="M210" s="198"/>
      <c r="N210" s="198"/>
      <c r="O210" s="198"/>
      <c r="P210" s="198"/>
      <c r="Q210" s="198"/>
      <c r="R210" s="199"/>
      <c r="S210" s="199"/>
      <c r="T210" s="75"/>
      <c r="U210" s="75"/>
      <c r="V210" s="75"/>
      <c r="W210" s="131"/>
      <c r="X210" s="97"/>
      <c r="Y210" s="280"/>
      <c r="Z210" s="72">
        <v>5500</v>
      </c>
      <c r="AA210" s="72">
        <v>5500</v>
      </c>
      <c r="AB210" s="72">
        <v>5500</v>
      </c>
      <c r="AC210" s="72">
        <v>5425</v>
      </c>
      <c r="AD210" s="73" t="s">
        <v>201</v>
      </c>
      <c r="AE210" s="180">
        <f>SUM(Tabelle1[[#This Row],[bis Ende 2010
CHF inkl. MWST]:[Aufgelaufene Kosten 2022
CHF inkl. MWST]])</f>
        <v>0</v>
      </c>
      <c r="AF210" s="201">
        <f>Tabelle1[[#This Row],[Summe Vertrag
CHF inkl. MWST]]-Tabelle1[[#This Row],[Total Rechnungen]]</f>
        <v>26925</v>
      </c>
      <c r="AG210" s="192">
        <f>Tabelle1[[#This Row],[Total Rechnungen]]+Tabelle1[[#This Row],[Restbudget Vertrag]]</f>
        <v>26925</v>
      </c>
    </row>
    <row r="211" spans="1:33" s="2" customFormat="1" ht="12.6" hidden="1" customHeight="1" x14ac:dyDescent="0.15">
      <c r="A211" s="23" t="s">
        <v>681</v>
      </c>
      <c r="B211" s="337">
        <v>1355033874</v>
      </c>
      <c r="C211" s="23" t="s">
        <v>349</v>
      </c>
      <c r="D211" s="9" t="s">
        <v>328</v>
      </c>
      <c r="E211" s="9" t="s">
        <v>295</v>
      </c>
      <c r="F211" s="23">
        <v>38233.949999999997</v>
      </c>
      <c r="G211" s="9" t="s">
        <v>28</v>
      </c>
      <c r="H211" s="13" t="s">
        <v>99</v>
      </c>
      <c r="I211" s="35" t="s">
        <v>398</v>
      </c>
      <c r="J211" s="102" t="s">
        <v>480</v>
      </c>
      <c r="K211" s="167"/>
      <c r="L211" s="167"/>
      <c r="M211" s="167"/>
      <c r="N211" s="167"/>
      <c r="O211" s="167"/>
      <c r="P211" s="167"/>
      <c r="Q211" s="167"/>
      <c r="R211" s="168"/>
      <c r="S211" s="168"/>
      <c r="T211" s="75"/>
      <c r="U211" s="100">
        <v>38581.599999999999</v>
      </c>
      <c r="V211" s="75"/>
      <c r="W211" s="75"/>
      <c r="X211" s="75"/>
      <c r="Y211" s="75"/>
      <c r="Z211" s="75"/>
      <c r="AA211" s="75"/>
      <c r="AB211" s="75"/>
      <c r="AC211" s="75"/>
      <c r="AD211" s="183"/>
      <c r="AE211" s="181">
        <f>SUM(Tabelle1[[#This Row],[bis Ende 2010
CHF inkl. MWST]:[2020
CHF inkl. MWST]])</f>
        <v>38581.599999999999</v>
      </c>
      <c r="AF211" s="181"/>
      <c r="AG211" s="181">
        <f>Tabelle1[[#This Row],[Total Rechnungen]]</f>
        <v>38581.599999999999</v>
      </c>
    </row>
    <row r="212" spans="1:33" s="2" customFormat="1" ht="12.6" customHeight="1" x14ac:dyDescent="0.15">
      <c r="A212" s="172" t="s">
        <v>682</v>
      </c>
      <c r="B212" s="335">
        <v>1355036841</v>
      </c>
      <c r="C212" s="172" t="s">
        <v>350</v>
      </c>
      <c r="D212" s="208" t="s">
        <v>332</v>
      </c>
      <c r="E212" s="171" t="s">
        <v>333</v>
      </c>
      <c r="F212" s="172">
        <v>52714.400000000001</v>
      </c>
      <c r="G212" s="171" t="s">
        <v>28</v>
      </c>
      <c r="H212" s="176" t="s">
        <v>99</v>
      </c>
      <c r="I212" s="177" t="s">
        <v>397</v>
      </c>
      <c r="J212" s="178" t="s">
        <v>480</v>
      </c>
      <c r="K212" s="204"/>
      <c r="L212" s="204"/>
      <c r="M212" s="204"/>
      <c r="N212" s="204"/>
      <c r="O212" s="204"/>
      <c r="P212" s="204"/>
      <c r="Q212" s="204"/>
      <c r="R212" s="205"/>
      <c r="S212" s="205"/>
      <c r="T212" s="75"/>
      <c r="U212" s="100">
        <f>3674.05+23242.25</f>
        <v>26916.3</v>
      </c>
      <c r="V212" s="100">
        <v>3426.8</v>
      </c>
      <c r="W212" s="277"/>
      <c r="X212" s="118">
        <v>5000</v>
      </c>
      <c r="Y212" s="277"/>
      <c r="Z212" s="118">
        <v>10000</v>
      </c>
      <c r="AA212" s="75"/>
      <c r="AB212" s="75"/>
      <c r="AC212" s="75"/>
      <c r="AD212" s="40" t="s">
        <v>346</v>
      </c>
      <c r="AE212" s="180">
        <f>SUM(Tabelle1[[#This Row],[bis Ende 2010
CHF inkl. MWST]:[Aufgelaufene Kosten 2022
CHF inkl. MWST]])</f>
        <v>30343.1</v>
      </c>
      <c r="AF212" s="207">
        <f>Tabelle1[[#This Row],[Summe Vertrag
CHF inkl. MWST]]-Tabelle1[[#This Row],[Total Rechnungen]]</f>
        <v>22371.300000000003</v>
      </c>
      <c r="AG212" s="192">
        <f>Tabelle1[[#This Row],[Total Rechnungen]]+Tabelle1[[#This Row],[Restbudget Vertrag]]</f>
        <v>52714.400000000001</v>
      </c>
    </row>
    <row r="213" spans="1:33" s="2" customFormat="1" ht="12.6" customHeight="1" x14ac:dyDescent="0.15">
      <c r="A213" s="172" t="s">
        <v>683</v>
      </c>
      <c r="B213" s="335">
        <v>1355038336</v>
      </c>
      <c r="C213" s="179" t="s">
        <v>350</v>
      </c>
      <c r="D213" s="171" t="s">
        <v>345</v>
      </c>
      <c r="E213" s="171" t="s">
        <v>360</v>
      </c>
      <c r="F213" s="172">
        <f>277879.2*1.077</f>
        <v>299275.89840000001</v>
      </c>
      <c r="G213" s="171" t="s">
        <v>28</v>
      </c>
      <c r="H213" s="176" t="s">
        <v>97</v>
      </c>
      <c r="I213" s="177" t="s">
        <v>397</v>
      </c>
      <c r="J213" s="315" t="s">
        <v>492</v>
      </c>
      <c r="K213" s="30"/>
      <c r="L213" s="30"/>
      <c r="M213" s="30"/>
      <c r="N213" s="30"/>
      <c r="O213" s="30"/>
      <c r="P213" s="30"/>
      <c r="Q213" s="30"/>
      <c r="R213" s="75"/>
      <c r="S213" s="75"/>
      <c r="T213" s="75"/>
      <c r="U213" s="75"/>
      <c r="V213" s="100">
        <f>23278.3+20325.95+29435.75+58058.65+9053.25+4019.65</f>
        <v>144171.54999999999</v>
      </c>
      <c r="W213" s="299">
        <f>8062.4+7817.65+5424.05+6066.2+6083.7+16991.3+15519.05+8996.2+14435.75+23500.15+20095.75+16884.4+19556.15+11238.5</f>
        <v>180671.25</v>
      </c>
      <c r="X213" s="53"/>
      <c r="Y213" s="381"/>
      <c r="Z213" s="173">
        <v>100000</v>
      </c>
      <c r="AA213" s="173">
        <v>10000</v>
      </c>
      <c r="AB213" s="173">
        <v>8734.7999999999993</v>
      </c>
      <c r="AC213" s="75"/>
      <c r="AD213" s="40" t="s">
        <v>201</v>
      </c>
      <c r="AE213" s="180">
        <f>SUM(Tabelle1[[#This Row],[bis Ende 2010
CHF inkl. MWST]:[Aufgelaufene Kosten 2022
CHF inkl. MWST]])</f>
        <v>324842.8</v>
      </c>
      <c r="AF213" s="236">
        <f>Tabelle1[[#This Row],[Summe Vertrag
CHF inkl. MWST]]+F214+F215+F216-Tabelle1[[#This Row],[Total Rechnungen]]</f>
        <v>74343.695899999992</v>
      </c>
      <c r="AG213" s="192">
        <f>Tabelle1[[#This Row],[Total Rechnungen]]+Tabelle1[[#This Row],[Restbudget Vertrag]]</f>
        <v>399186.49589999998</v>
      </c>
    </row>
    <row r="214" spans="1:33" s="2" customFormat="1" ht="12.6" hidden="1" customHeight="1" x14ac:dyDescent="0.15">
      <c r="A214" s="23" t="s">
        <v>560</v>
      </c>
      <c r="B214" s="337">
        <v>1355038336</v>
      </c>
      <c r="C214" s="100" t="s">
        <v>349</v>
      </c>
      <c r="D214" s="9" t="s">
        <v>345</v>
      </c>
      <c r="E214" s="260" t="s">
        <v>447</v>
      </c>
      <c r="F214" s="23">
        <f>42335*1.077</f>
        <v>45594.794999999998</v>
      </c>
      <c r="G214" s="9" t="s">
        <v>28</v>
      </c>
      <c r="H214" s="13" t="s">
        <v>97</v>
      </c>
      <c r="I214" s="35" t="s">
        <v>397</v>
      </c>
      <c r="J214" s="315" t="s">
        <v>492</v>
      </c>
      <c r="K214" s="295"/>
      <c r="L214" s="295"/>
      <c r="M214" s="295"/>
      <c r="N214" s="295"/>
      <c r="O214" s="295"/>
      <c r="P214" s="295"/>
      <c r="Q214" s="295"/>
      <c r="R214" s="296"/>
      <c r="S214" s="296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114"/>
      <c r="AE214" s="297"/>
      <c r="AF214" s="303"/>
      <c r="AG214" s="303"/>
    </row>
    <row r="215" spans="1:33" s="2" customFormat="1" ht="12.6" customHeight="1" x14ac:dyDescent="0.15">
      <c r="A215" s="172" t="s">
        <v>561</v>
      </c>
      <c r="B215" s="341">
        <v>1355038336</v>
      </c>
      <c r="C215" s="179" t="s">
        <v>350</v>
      </c>
      <c r="D215" s="171" t="s">
        <v>345</v>
      </c>
      <c r="E215" s="171" t="s">
        <v>508</v>
      </c>
      <c r="F215" s="172">
        <f>20912.5*1.077</f>
        <v>22522.762500000001</v>
      </c>
      <c r="G215" s="171" t="s">
        <v>28</v>
      </c>
      <c r="H215" s="176" t="s">
        <v>97</v>
      </c>
      <c r="I215" s="177" t="s">
        <v>397</v>
      </c>
      <c r="J215" s="315" t="s">
        <v>492</v>
      </c>
      <c r="K215" s="30"/>
      <c r="L215" s="30"/>
      <c r="M215" s="30"/>
      <c r="N215" s="30"/>
      <c r="O215" s="30"/>
      <c r="P215" s="30"/>
      <c r="Q215" s="30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114"/>
      <c r="AE215" s="297"/>
      <c r="AF215" s="303"/>
      <c r="AG215" s="303"/>
    </row>
    <row r="216" spans="1:33" s="2" customFormat="1" ht="12.6" customHeight="1" x14ac:dyDescent="0.15">
      <c r="A216" s="172" t="s">
        <v>564</v>
      </c>
      <c r="B216" s="341">
        <v>1355038336</v>
      </c>
      <c r="C216" s="179" t="s">
        <v>350</v>
      </c>
      <c r="D216" s="171" t="s">
        <v>345</v>
      </c>
      <c r="E216" s="208" t="s">
        <v>565</v>
      </c>
      <c r="F216" s="172">
        <f>29520*1.077</f>
        <v>31793.039999999997</v>
      </c>
      <c r="G216" s="171" t="s">
        <v>28</v>
      </c>
      <c r="H216" s="176" t="s">
        <v>97</v>
      </c>
      <c r="I216" s="177" t="s">
        <v>397</v>
      </c>
      <c r="J216" s="315" t="s">
        <v>492</v>
      </c>
      <c r="K216" s="352"/>
      <c r="L216" s="352"/>
      <c r="M216" s="352"/>
      <c r="N216" s="352"/>
      <c r="O216" s="352"/>
      <c r="P216" s="352"/>
      <c r="Q216" s="352"/>
      <c r="R216" s="353"/>
      <c r="S216" s="353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114"/>
      <c r="AE216" s="297"/>
      <c r="AF216" s="303"/>
      <c r="AG216" s="303"/>
    </row>
    <row r="217" spans="1:33" s="2" customFormat="1" ht="12.6" customHeight="1" x14ac:dyDescent="0.15">
      <c r="A217" s="172" t="s">
        <v>683</v>
      </c>
      <c r="B217" s="335">
        <v>1355038336</v>
      </c>
      <c r="C217" s="179" t="s">
        <v>350</v>
      </c>
      <c r="D217" s="171" t="s">
        <v>345</v>
      </c>
      <c r="E217" s="171" t="s">
        <v>360</v>
      </c>
      <c r="F217" s="172" t="s">
        <v>229</v>
      </c>
      <c r="G217" s="171" t="s">
        <v>28</v>
      </c>
      <c r="H217" s="176" t="s">
        <v>97</v>
      </c>
      <c r="I217" s="177" t="s">
        <v>397</v>
      </c>
      <c r="J217" s="315" t="s">
        <v>492</v>
      </c>
      <c r="K217" s="30"/>
      <c r="L217" s="30"/>
      <c r="M217" s="30"/>
      <c r="N217" s="30"/>
      <c r="O217" s="30"/>
      <c r="P217" s="30"/>
      <c r="Q217" s="30"/>
      <c r="R217" s="75"/>
      <c r="S217" s="75"/>
      <c r="T217" s="75"/>
      <c r="U217" s="75"/>
      <c r="V217" s="75"/>
      <c r="W217" s="100">
        <f>400.1+2962.4</f>
        <v>3362.5</v>
      </c>
      <c r="X217" s="131"/>
      <c r="Y217" s="277"/>
      <c r="Z217" s="118"/>
      <c r="AA217" s="118"/>
      <c r="AB217" s="118"/>
      <c r="AC217" s="118"/>
      <c r="AD217" s="40" t="s">
        <v>229</v>
      </c>
      <c r="AE217" s="180">
        <f>SUM(Tabelle1[[#This Row],[bis Ende 2010
CHF inkl. MWST]:[Aufgelaufene Kosten 2022
CHF inkl. MWST]])</f>
        <v>3362.5</v>
      </c>
      <c r="AF217" s="236"/>
      <c r="AG217" s="280">
        <f>Tabelle1[[#This Row],[Total Rechnungen]]+Tabelle1[[#This Row],[Restbudget Vertrag]]</f>
        <v>3362.5</v>
      </c>
    </row>
    <row r="218" spans="1:33" s="2" customFormat="1" ht="12.6" customHeight="1" x14ac:dyDescent="0.15">
      <c r="A218" s="172" t="s">
        <v>684</v>
      </c>
      <c r="B218" s="335">
        <v>1355042992</v>
      </c>
      <c r="C218" s="172" t="s">
        <v>350</v>
      </c>
      <c r="D218" s="228" t="s">
        <v>218</v>
      </c>
      <c r="E218" s="171" t="s">
        <v>347</v>
      </c>
      <c r="F218" s="172">
        <v>71924.899999999994</v>
      </c>
      <c r="G218" s="171" t="s">
        <v>28</v>
      </c>
      <c r="H218" s="176" t="s">
        <v>99</v>
      </c>
      <c r="I218" s="177" t="s">
        <v>397</v>
      </c>
      <c r="J218" s="177" t="s">
        <v>480</v>
      </c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75"/>
      <c r="V218" s="55"/>
      <c r="W218" s="172">
        <f>10767.25+18079</f>
        <v>28846.25</v>
      </c>
      <c r="X218" s="55"/>
      <c r="Y218" s="278"/>
      <c r="Z218" s="161">
        <v>25000</v>
      </c>
      <c r="AA218" s="161">
        <v>20000</v>
      </c>
      <c r="AB218" s="30"/>
      <c r="AC218" s="30"/>
      <c r="AD218" s="40" t="s">
        <v>346</v>
      </c>
      <c r="AE218" s="180">
        <f>SUM(Tabelle1[[#This Row],[bis Ende 2010
CHF inkl. MWST]:[Aufgelaufene Kosten 2022
CHF inkl. MWST]])</f>
        <v>28846.25</v>
      </c>
      <c r="AF218" s="229">
        <f>Tabelle1[[#This Row],[Summe Vertrag
CHF inkl. MWST]]-Tabelle1[[#This Row],[Total Rechnungen]]</f>
        <v>43078.649999999994</v>
      </c>
      <c r="AG218" s="192">
        <f>Tabelle1[[#This Row],[Total Rechnungen]]+Tabelle1[[#This Row],[Restbudget Vertrag]]</f>
        <v>71924.899999999994</v>
      </c>
    </row>
    <row r="219" spans="1:33" s="2" customFormat="1" ht="12.6" customHeight="1" x14ac:dyDescent="0.15">
      <c r="A219" s="216" t="s">
        <v>685</v>
      </c>
      <c r="B219" s="338">
        <v>1355044884</v>
      </c>
      <c r="C219" s="240" t="s">
        <v>351</v>
      </c>
      <c r="D219" s="150" t="s">
        <v>361</v>
      </c>
      <c r="E219" s="150" t="s">
        <v>362</v>
      </c>
      <c r="F219" s="216">
        <v>323100</v>
      </c>
      <c r="G219" s="150" t="s">
        <v>28</v>
      </c>
      <c r="H219" s="151" t="s">
        <v>99</v>
      </c>
      <c r="I219" s="231" t="s">
        <v>398</v>
      </c>
      <c r="J219" s="128" t="s">
        <v>480</v>
      </c>
      <c r="K219" s="30"/>
      <c r="L219" s="30"/>
      <c r="M219" s="30"/>
      <c r="N219" s="30"/>
      <c r="O219" s="30"/>
      <c r="P219" s="30"/>
      <c r="Q219" s="30"/>
      <c r="R219" s="75"/>
      <c r="S219" s="75"/>
      <c r="T219" s="75"/>
      <c r="U219" s="75"/>
      <c r="V219" s="75"/>
      <c r="W219" s="131"/>
      <c r="X219" s="131"/>
      <c r="Y219" s="118"/>
      <c r="Z219" s="118">
        <v>80000</v>
      </c>
      <c r="AA219" s="118">
        <v>200000</v>
      </c>
      <c r="AB219" s="118">
        <v>150000</v>
      </c>
      <c r="AC219" s="75"/>
      <c r="AD219" s="40" t="s">
        <v>346</v>
      </c>
      <c r="AE219" s="180">
        <f>SUM(Tabelle1[[#This Row],[bis Ende 2010
CHF inkl. MWST]:[Aufgelaufene Kosten 2022
CHF inkl. MWST]])</f>
        <v>0</v>
      </c>
      <c r="AF219" s="236">
        <f>Tabelle1[[#This Row],[Summe Vertrag
CHF inkl. MWST]]-Tabelle1[[#This Row],[Total Rechnungen]]</f>
        <v>323100</v>
      </c>
      <c r="AG219" s="192">
        <f>Tabelle1[[#This Row],[Total Rechnungen]]+Tabelle1[[#This Row],[Restbudget Vertrag]]</f>
        <v>323100</v>
      </c>
    </row>
    <row r="220" spans="1:33" s="2" customFormat="1" ht="12.6" customHeight="1" x14ac:dyDescent="0.15">
      <c r="A220" s="172" t="s">
        <v>686</v>
      </c>
      <c r="B220" s="335">
        <v>1355045784</v>
      </c>
      <c r="C220" s="179" t="s">
        <v>350</v>
      </c>
      <c r="D220" s="171" t="s">
        <v>16</v>
      </c>
      <c r="E220" s="171" t="s">
        <v>497</v>
      </c>
      <c r="F220" s="172">
        <v>363360.95</v>
      </c>
      <c r="G220" s="171" t="s">
        <v>28</v>
      </c>
      <c r="H220" s="176" t="s">
        <v>99</v>
      </c>
      <c r="I220" s="177" t="s">
        <v>397</v>
      </c>
      <c r="J220" s="177" t="s">
        <v>480</v>
      </c>
      <c r="K220" s="30"/>
      <c r="L220" s="30"/>
      <c r="M220" s="30"/>
      <c r="N220" s="30"/>
      <c r="O220" s="30"/>
      <c r="P220" s="30"/>
      <c r="Q220" s="30"/>
      <c r="R220" s="75"/>
      <c r="S220" s="75"/>
      <c r="T220" s="75"/>
      <c r="U220" s="23">
        <f>4212.4+295.9</f>
        <v>4508.2999999999993</v>
      </c>
      <c r="V220" s="100">
        <f>5539.45+4630.1+6818.45+4317.25</f>
        <v>21305.25</v>
      </c>
      <c r="W220" s="172">
        <f>4675.3+19408.1+7430.35+7097.26+4273.85+2249.45</f>
        <v>45134.31</v>
      </c>
      <c r="X220" s="376"/>
      <c r="Y220" s="278"/>
      <c r="Z220" s="161">
        <v>80000</v>
      </c>
      <c r="AA220" s="161">
        <v>80000</v>
      </c>
      <c r="AB220" s="161">
        <v>80000</v>
      </c>
      <c r="AC220" s="161">
        <v>35000</v>
      </c>
      <c r="AD220" s="40" t="s">
        <v>346</v>
      </c>
      <c r="AE220" s="180">
        <f>SUM(Tabelle1[[#This Row],[bis Ende 2010
CHF inkl. MWST]:[Aufgelaufene Kosten 2022
CHF inkl. MWST]])</f>
        <v>70947.86</v>
      </c>
      <c r="AF220" s="235">
        <f>Tabelle1[[#This Row],[Summe Vertrag
CHF inkl. MWST]]-Tabelle1[[#This Row],[Total Rechnungen]]</f>
        <v>292413.09000000003</v>
      </c>
      <c r="AG220" s="192">
        <f>Tabelle1[[#This Row],[Total Rechnungen]]+Tabelle1[[#This Row],[Restbudget Vertrag]]</f>
        <v>363360.95</v>
      </c>
    </row>
    <row r="221" spans="1:33" s="2" customFormat="1" ht="12.6" customHeight="1" x14ac:dyDescent="0.15">
      <c r="A221" s="172" t="s">
        <v>687</v>
      </c>
      <c r="B221" s="335">
        <v>1355045810</v>
      </c>
      <c r="C221" s="172" t="s">
        <v>350</v>
      </c>
      <c r="D221" s="171" t="s">
        <v>365</v>
      </c>
      <c r="E221" s="208" t="s">
        <v>344</v>
      </c>
      <c r="F221" s="172">
        <f>199268.75*1.077</f>
        <v>214612.44375000001</v>
      </c>
      <c r="G221" s="171" t="s">
        <v>28</v>
      </c>
      <c r="H221" s="176" t="s">
        <v>97</v>
      </c>
      <c r="I221" s="177" t="s">
        <v>398</v>
      </c>
      <c r="J221" s="178" t="s">
        <v>493</v>
      </c>
      <c r="K221" s="213"/>
      <c r="L221" s="213"/>
      <c r="M221" s="213"/>
      <c r="N221" s="213"/>
      <c r="O221" s="213"/>
      <c r="P221" s="213"/>
      <c r="Q221" s="213"/>
      <c r="R221" s="214"/>
      <c r="S221" s="214"/>
      <c r="T221" s="75"/>
      <c r="U221" s="75"/>
      <c r="V221" s="75"/>
      <c r="W221" s="179">
        <f>13425.9+20153.7+43161+23342.2+64384.8+53679.75</f>
        <v>218147.35</v>
      </c>
      <c r="X221" s="131"/>
      <c r="Y221" s="277"/>
      <c r="Z221" s="118"/>
      <c r="AA221" s="75"/>
      <c r="AB221" s="75"/>
      <c r="AC221" s="75"/>
      <c r="AD221" s="40" t="s">
        <v>201</v>
      </c>
      <c r="AE221" s="180">
        <f>SUM(Tabelle1[[#This Row],[bis Ende 2010
CHF inkl. MWST]:[Aufgelaufene Kosten 2022
CHF inkl. MWST]])</f>
        <v>218147.35</v>
      </c>
      <c r="AF221" s="215">
        <f>Tabelle1[[#This Row],[Summe Vertrag
CHF inkl. MWST]]-Tabelle1[[#This Row],[Total Rechnungen]]</f>
        <v>-3534.90625</v>
      </c>
      <c r="AG221" s="192">
        <f>Tabelle1[[#This Row],[Total Rechnungen]]+Tabelle1[[#This Row],[Restbudget Vertrag]]</f>
        <v>214612.44375000001</v>
      </c>
    </row>
    <row r="222" spans="1:33" s="2" customFormat="1" ht="12.6" customHeight="1" x14ac:dyDescent="0.15">
      <c r="A222" s="172" t="s">
        <v>688</v>
      </c>
      <c r="B222" s="335">
        <v>1355046236</v>
      </c>
      <c r="C222" s="172" t="s">
        <v>350</v>
      </c>
      <c r="D222" s="171" t="s">
        <v>383</v>
      </c>
      <c r="E222" s="171" t="s">
        <v>342</v>
      </c>
      <c r="F222" s="172">
        <f>961728.8*1.077</f>
        <v>1035781.9176</v>
      </c>
      <c r="G222" s="171" t="s">
        <v>27</v>
      </c>
      <c r="H222" s="176" t="s">
        <v>101</v>
      </c>
      <c r="I222" s="177" t="s">
        <v>397</v>
      </c>
      <c r="J222" s="177" t="s">
        <v>477</v>
      </c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55"/>
      <c r="V222" s="23">
        <v>7288.6</v>
      </c>
      <c r="W222" s="172">
        <f>29396.2+61331.1+37626.9+91.55+5607.95+4702.2+3460.4</f>
        <v>142216.30000000002</v>
      </c>
      <c r="X222" s="55"/>
      <c r="Y222" s="278"/>
      <c r="Z222" s="161">
        <v>170000</v>
      </c>
      <c r="AA222" s="161">
        <v>160000</v>
      </c>
      <c r="AB222" s="161">
        <v>160000</v>
      </c>
      <c r="AC222" s="161">
        <v>339097.12</v>
      </c>
      <c r="AD222" s="40" t="s">
        <v>201</v>
      </c>
      <c r="AE222" s="180">
        <f>SUM(Tabelle1[[#This Row],[bis Ende 2010
CHF inkl. MWST]:[Aufgelaufene Kosten 2022
CHF inkl. MWST]])</f>
        <v>149504.90000000002</v>
      </c>
      <c r="AF222" s="203">
        <f>Tabelle1[[#This Row],[Summe Vertrag
CHF inkl. MWST]]-Tabelle1[[#This Row],[Total Rechnungen]]</f>
        <v>886277.01760000002</v>
      </c>
      <c r="AG222" s="192">
        <f>Tabelle1[[#This Row],[Total Rechnungen]]+Tabelle1[[#This Row],[Restbudget Vertrag]]</f>
        <v>1035781.9176</v>
      </c>
    </row>
    <row r="223" spans="1:33" s="2" customFormat="1" ht="12.6" customHeight="1" x14ac:dyDescent="0.15">
      <c r="A223" s="172" t="s">
        <v>689</v>
      </c>
      <c r="B223" s="335">
        <v>1355047229</v>
      </c>
      <c r="C223" s="172" t="s">
        <v>350</v>
      </c>
      <c r="D223" s="208" t="s">
        <v>16</v>
      </c>
      <c r="E223" s="208" t="s">
        <v>356</v>
      </c>
      <c r="F223" s="172">
        <v>171625.35</v>
      </c>
      <c r="G223" s="171" t="s">
        <v>28</v>
      </c>
      <c r="H223" s="176" t="s">
        <v>100</v>
      </c>
      <c r="I223" s="177" t="s">
        <v>397</v>
      </c>
      <c r="J223" s="178" t="s">
        <v>475</v>
      </c>
      <c r="K223" s="213"/>
      <c r="L223" s="213"/>
      <c r="M223" s="213"/>
      <c r="N223" s="213"/>
      <c r="O223" s="213"/>
      <c r="P223" s="213"/>
      <c r="Q223" s="213"/>
      <c r="R223" s="214"/>
      <c r="S223" s="214"/>
      <c r="T223" s="75"/>
      <c r="U223" s="75"/>
      <c r="V223" s="100">
        <f>3887.85+7873.05+11096.25+7567.85</f>
        <v>30425</v>
      </c>
      <c r="W223" s="179">
        <f>2531.8+10949.75+9806.15+9062.05+1594</f>
        <v>33943.75</v>
      </c>
      <c r="X223" s="131"/>
      <c r="Y223" s="277"/>
      <c r="Z223" s="118">
        <v>28000</v>
      </c>
      <c r="AA223" s="118">
        <v>25000</v>
      </c>
      <c r="AB223" s="118">
        <v>25000</v>
      </c>
      <c r="AC223" s="118">
        <v>25668.55</v>
      </c>
      <c r="AD223" s="40" t="s">
        <v>201</v>
      </c>
      <c r="AE223" s="180">
        <f>SUM(Tabelle1[[#This Row],[bis Ende 2010
CHF inkl. MWST]:[Aufgelaufene Kosten 2022
CHF inkl. MWST]])</f>
        <v>64368.75</v>
      </c>
      <c r="AF223" s="237">
        <f>Tabelle1[[#This Row],[Summe Vertrag
CHF inkl. MWST]]-Tabelle1[[#This Row],[Total Rechnungen]]</f>
        <v>107256.6</v>
      </c>
      <c r="AG223" s="192">
        <f>Tabelle1[[#This Row],[Total Rechnungen]]+Tabelle1[[#This Row],[Restbudget Vertrag]]</f>
        <v>171625.35</v>
      </c>
    </row>
    <row r="224" spans="1:33" s="2" customFormat="1" ht="12.6" hidden="1" customHeight="1" x14ac:dyDescent="0.15">
      <c r="A224" s="23" t="s">
        <v>690</v>
      </c>
      <c r="B224" s="339">
        <v>1355047549</v>
      </c>
      <c r="C224" s="23" t="s">
        <v>349</v>
      </c>
      <c r="D224" s="9" t="s">
        <v>363</v>
      </c>
      <c r="E224" s="9" t="s">
        <v>238</v>
      </c>
      <c r="F224" s="23">
        <v>41081</v>
      </c>
      <c r="G224" s="9" t="s">
        <v>28</v>
      </c>
      <c r="H224" s="13" t="s">
        <v>100</v>
      </c>
      <c r="I224" s="35" t="s">
        <v>398</v>
      </c>
      <c r="J224" s="35" t="s">
        <v>483</v>
      </c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23">
        <f>7754.4+8794.8+23887.1</f>
        <v>40436.299999999996</v>
      </c>
      <c r="W224" s="30"/>
      <c r="X224" s="30"/>
      <c r="Y224" s="30"/>
      <c r="Z224" s="30"/>
      <c r="AA224" s="30"/>
      <c r="AB224" s="30"/>
      <c r="AC224" s="30"/>
      <c r="AD224" s="114"/>
      <c r="AE224" s="181">
        <f>SUM(Tabelle1[[#This Row],[bis Ende 2010
CHF inkl. MWST]:[2021
CHF inkl. MWST]])</f>
        <v>40436.299999999996</v>
      </c>
      <c r="AF224" s="181"/>
      <c r="AG224" s="222">
        <f>Tabelle1[[#This Row],[Total Rechnungen]]+Tabelle1[[#This Row],[Restbudget Vertrag]]</f>
        <v>40436.299999999996</v>
      </c>
    </row>
    <row r="225" spans="1:33" s="2" customFormat="1" ht="12.6" hidden="1" customHeight="1" x14ac:dyDescent="0.15">
      <c r="A225" s="23" t="s">
        <v>691</v>
      </c>
      <c r="B225" s="394">
        <v>1355047556</v>
      </c>
      <c r="C225" s="23" t="s">
        <v>349</v>
      </c>
      <c r="D225" s="9" t="s">
        <v>364</v>
      </c>
      <c r="E225" s="9" t="s">
        <v>238</v>
      </c>
      <c r="F225" s="23">
        <v>15090</v>
      </c>
      <c r="G225" s="9" t="s">
        <v>28</v>
      </c>
      <c r="H225" s="13" t="s">
        <v>100</v>
      </c>
      <c r="I225" s="35" t="s">
        <v>398</v>
      </c>
      <c r="J225" s="35" t="s">
        <v>483</v>
      </c>
      <c r="K225" s="30"/>
      <c r="L225" s="30"/>
      <c r="M225" s="30"/>
      <c r="N225" s="30"/>
      <c r="O225" s="30"/>
      <c r="P225" s="30"/>
      <c r="Q225" s="30"/>
      <c r="R225" s="75"/>
      <c r="S225" s="75"/>
      <c r="T225" s="75"/>
      <c r="U225" s="100">
        <v>15090</v>
      </c>
      <c r="V225" s="75"/>
      <c r="W225" s="75"/>
      <c r="X225" s="75"/>
      <c r="Y225" s="75"/>
      <c r="Z225" s="75"/>
      <c r="AA225" s="75"/>
      <c r="AB225" s="75"/>
      <c r="AC225" s="75"/>
      <c r="AD225" s="114"/>
      <c r="AE225" s="181">
        <f>SUM(Tabelle1[[#This Row],[bis Ende 2010
CHF inkl. MWST]:[2020
CHF inkl. MWST]])</f>
        <v>15090</v>
      </c>
      <c r="AF225" s="243"/>
      <c r="AG225" s="222">
        <f>Tabelle1[[#This Row],[Total Rechnungen]]</f>
        <v>15090</v>
      </c>
    </row>
    <row r="226" spans="1:33" s="2" customFormat="1" ht="12.6" hidden="1" customHeight="1" x14ac:dyDescent="0.15">
      <c r="A226" s="23" t="s">
        <v>692</v>
      </c>
      <c r="B226" s="339">
        <v>1355049591</v>
      </c>
      <c r="C226" s="23" t="s">
        <v>401</v>
      </c>
      <c r="D226" s="9" t="s">
        <v>31</v>
      </c>
      <c r="E226" s="9" t="s">
        <v>310</v>
      </c>
      <c r="F226" s="23">
        <v>0</v>
      </c>
      <c r="G226" s="9" t="s">
        <v>28</v>
      </c>
      <c r="H226" s="13" t="s">
        <v>99</v>
      </c>
      <c r="I226" s="35" t="s">
        <v>398</v>
      </c>
      <c r="J226" s="102" t="s">
        <v>480</v>
      </c>
      <c r="K226" s="30"/>
      <c r="L226" s="30"/>
      <c r="M226" s="30"/>
      <c r="N226" s="30"/>
      <c r="O226" s="30"/>
      <c r="P226" s="30"/>
      <c r="Q226" s="30"/>
      <c r="R226" s="75"/>
      <c r="S226" s="75"/>
      <c r="T226" s="75"/>
      <c r="U226" s="75"/>
      <c r="V226" s="131"/>
      <c r="W226" s="131"/>
      <c r="X226" s="75"/>
      <c r="Y226" s="75"/>
      <c r="Z226" s="75"/>
      <c r="AA226" s="75"/>
      <c r="AB226" s="75"/>
      <c r="AC226" s="75"/>
      <c r="AD226" s="114"/>
      <c r="AE226" s="181">
        <f>SUM(Tabelle1[[#This Row],[bis Ende 2010
CHF inkl. MWST]:[2021
CHF inkl. MWST]])</f>
        <v>0</v>
      </c>
      <c r="AF226" s="181"/>
      <c r="AG226" s="222">
        <f>Tabelle1[[#This Row],[Total Rechnungen]]+Tabelle1[[#This Row],[Restbudget Vertrag]]</f>
        <v>0</v>
      </c>
    </row>
    <row r="227" spans="1:33" s="2" customFormat="1" ht="12.6" customHeight="1" x14ac:dyDescent="0.15">
      <c r="A227" s="179" t="s">
        <v>693</v>
      </c>
      <c r="B227" s="335">
        <v>1355049592</v>
      </c>
      <c r="C227" s="172" t="s">
        <v>350</v>
      </c>
      <c r="D227" s="171" t="s">
        <v>328</v>
      </c>
      <c r="E227" s="292" t="s">
        <v>435</v>
      </c>
      <c r="F227" s="172">
        <f>141019*1.077</f>
        <v>151877.46299999999</v>
      </c>
      <c r="G227" s="171" t="s">
        <v>28</v>
      </c>
      <c r="H227" s="176" t="s">
        <v>99</v>
      </c>
      <c r="I227" s="177" t="s">
        <v>398</v>
      </c>
      <c r="J227" s="178" t="s">
        <v>480</v>
      </c>
      <c r="K227" s="30"/>
      <c r="L227" s="30"/>
      <c r="M227" s="30"/>
      <c r="N227" s="30"/>
      <c r="O227" s="30"/>
      <c r="P227" s="30"/>
      <c r="Q227" s="30"/>
      <c r="R227" s="75"/>
      <c r="S227" s="75"/>
      <c r="T227" s="75"/>
      <c r="U227" s="75"/>
      <c r="V227" s="131"/>
      <c r="W227" s="179">
        <v>45563.24</v>
      </c>
      <c r="X227" s="131"/>
      <c r="Y227" s="277"/>
      <c r="Z227" s="118">
        <v>110000</v>
      </c>
      <c r="AA227" s="75"/>
      <c r="AB227" s="75"/>
      <c r="AC227" s="75"/>
      <c r="AD227" s="40" t="s">
        <v>346</v>
      </c>
      <c r="AE227" s="180">
        <f>SUM(Tabelle1[[#This Row],[bis Ende 2010
CHF inkl. MWST]:[Aufgelaufene Kosten 2022
CHF inkl. MWST]])</f>
        <v>45563.24</v>
      </c>
      <c r="AF227" s="180">
        <f>Tabelle1[[#This Row],[Summe Vertrag
CHF inkl. MWST]]-Tabelle1[[#This Row],[Total Rechnungen]]</f>
        <v>106314.223</v>
      </c>
      <c r="AG227" s="192">
        <f>Tabelle1[[#This Row],[Total Rechnungen]]+Tabelle1[[#This Row],[Restbudget Vertrag]]</f>
        <v>151877.46299999999</v>
      </c>
    </row>
    <row r="228" spans="1:33" s="2" customFormat="1" ht="12.6" customHeight="1" x14ac:dyDescent="0.15">
      <c r="A228" s="23" t="s">
        <v>694</v>
      </c>
      <c r="B228" s="337">
        <v>1355049594</v>
      </c>
      <c r="C228" s="23" t="s">
        <v>350</v>
      </c>
      <c r="D228" s="9" t="s">
        <v>389</v>
      </c>
      <c r="E228" s="9" t="s">
        <v>248</v>
      </c>
      <c r="F228" s="23">
        <f>326985*1.077</f>
        <v>352162.84499999997</v>
      </c>
      <c r="G228" s="99" t="s">
        <v>28</v>
      </c>
      <c r="H228" s="101" t="s">
        <v>99</v>
      </c>
      <c r="I228" s="35" t="s">
        <v>398</v>
      </c>
      <c r="J228" s="102" t="s">
        <v>480</v>
      </c>
      <c r="K228" s="137"/>
      <c r="L228" s="137"/>
      <c r="M228" s="137"/>
      <c r="N228" s="137"/>
      <c r="O228" s="137"/>
      <c r="P228" s="137"/>
      <c r="Q228" s="137"/>
      <c r="R228" s="138"/>
      <c r="S228" s="138"/>
      <c r="T228" s="138"/>
      <c r="U228" s="138"/>
      <c r="V228" s="253"/>
      <c r="W228" s="100">
        <v>238299.15</v>
      </c>
      <c r="X228" s="253"/>
      <c r="Y228" s="253"/>
      <c r="Z228" s="138"/>
      <c r="AA228" s="138"/>
      <c r="AB228" s="138"/>
      <c r="AC228" s="138"/>
      <c r="AD228" s="114"/>
      <c r="AE228" s="181">
        <f>SUM(Tabelle1[[#This Row],[bis Ende 2010
CHF inkl. MWST]:[Aufgelaufene Kosten 2022
CHF inkl. MWST]])</f>
        <v>238299.15</v>
      </c>
      <c r="AF228" s="181"/>
      <c r="AG228" s="222">
        <f>Tabelle1[[#This Row],[Total Rechnungen]]+Tabelle1[[#This Row],[Restbudget Vertrag]]</f>
        <v>238299.15</v>
      </c>
    </row>
    <row r="229" spans="1:33" s="2" customFormat="1" ht="12.6" customHeight="1" x14ac:dyDescent="0.15">
      <c r="A229" s="179" t="s">
        <v>695</v>
      </c>
      <c r="B229" s="335">
        <v>1355049598</v>
      </c>
      <c r="C229" s="172" t="s">
        <v>350</v>
      </c>
      <c r="D229" s="175" t="s">
        <v>31</v>
      </c>
      <c r="E229" s="171" t="s">
        <v>239</v>
      </c>
      <c r="F229" s="172">
        <f>2080900.7*1.077</f>
        <v>2241130.0538999997</v>
      </c>
      <c r="G229" s="175" t="s">
        <v>28</v>
      </c>
      <c r="H229" s="245" t="s">
        <v>99</v>
      </c>
      <c r="I229" s="177" t="s">
        <v>398</v>
      </c>
      <c r="J229" s="178" t="s">
        <v>480</v>
      </c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253"/>
      <c r="W229" s="281">
        <v>564599.54</v>
      </c>
      <c r="X229" s="193">
        <f>600000-Tabelle1[[#This Row],[Aufgelaufene Kosten 2022
CHF inkl. MWST]]+51661</f>
        <v>87061.459999999963</v>
      </c>
      <c r="Y229" s="281"/>
      <c r="Z229" s="193">
        <v>600000</v>
      </c>
      <c r="AA229" s="193">
        <v>600000</v>
      </c>
      <c r="AB229" s="193">
        <v>500000</v>
      </c>
      <c r="AC229" s="193">
        <v>100000</v>
      </c>
      <c r="AD229" s="40" t="s">
        <v>346</v>
      </c>
      <c r="AE229" s="180">
        <f>SUM(Tabelle1[[#This Row],[bis Ende 2010
CHF inkl. MWST]:[Aufgelaufene Kosten 2022
CHF inkl. MWST]])</f>
        <v>564599.54</v>
      </c>
      <c r="AF229" s="180">
        <f>Tabelle1[[#This Row],[Summe Vertrag
CHF inkl. MWST]]+F230+F231-Tabelle1[[#This Row],[Total Rechnungen]]</f>
        <v>1781988.1998999994</v>
      </c>
      <c r="AG229" s="192">
        <f>Tabelle1[[#This Row],[Total Rechnungen]]+Tabelle1[[#This Row],[Restbudget Vertrag]]</f>
        <v>2346587.7398999995</v>
      </c>
    </row>
    <row r="230" spans="1:33" s="2" customFormat="1" ht="12.6" hidden="1" customHeight="1" x14ac:dyDescent="0.15">
      <c r="A230" s="23" t="s">
        <v>562</v>
      </c>
      <c r="B230" s="337">
        <v>1355049598</v>
      </c>
      <c r="C230" s="100" t="s">
        <v>349</v>
      </c>
      <c r="D230" s="99" t="s">
        <v>31</v>
      </c>
      <c r="E230" s="9" t="s">
        <v>459</v>
      </c>
      <c r="F230" s="23">
        <f>47967.3*1.077</f>
        <v>51660.782100000004</v>
      </c>
      <c r="G230" s="9" t="s">
        <v>28</v>
      </c>
      <c r="H230" s="101" t="s">
        <v>99</v>
      </c>
      <c r="I230" s="102" t="s">
        <v>398</v>
      </c>
      <c r="J230" s="102" t="s">
        <v>480</v>
      </c>
      <c r="K230" s="295"/>
      <c r="L230" s="295"/>
      <c r="M230" s="295"/>
      <c r="N230" s="295"/>
      <c r="O230" s="295"/>
      <c r="P230" s="295"/>
      <c r="Q230" s="295"/>
      <c r="R230" s="296"/>
      <c r="S230" s="296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114"/>
      <c r="AE230" s="297"/>
      <c r="AF230" s="309"/>
      <c r="AG230" s="309"/>
    </row>
    <row r="231" spans="1:33" s="2" customFormat="1" ht="12.6" hidden="1" customHeight="1" x14ac:dyDescent="0.15">
      <c r="A231" s="23" t="s">
        <v>739</v>
      </c>
      <c r="B231" s="337">
        <v>1355049598</v>
      </c>
      <c r="C231" s="100" t="s">
        <v>349</v>
      </c>
      <c r="D231" s="99" t="s">
        <v>31</v>
      </c>
      <c r="E231" s="260" t="s">
        <v>740</v>
      </c>
      <c r="F231" s="23">
        <f>49950.7*1.077</f>
        <v>53796.903899999998</v>
      </c>
      <c r="G231" s="9" t="s">
        <v>28</v>
      </c>
      <c r="H231" s="101" t="s">
        <v>99</v>
      </c>
      <c r="I231" s="102" t="s">
        <v>398</v>
      </c>
      <c r="J231" s="102" t="s">
        <v>480</v>
      </c>
      <c r="K231" s="374"/>
      <c r="L231" s="374"/>
      <c r="M231" s="374"/>
      <c r="N231" s="374"/>
      <c r="O231" s="374"/>
      <c r="P231" s="374"/>
      <c r="Q231" s="374"/>
      <c r="R231" s="375"/>
      <c r="S231" s="3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114"/>
      <c r="AE231" s="297"/>
      <c r="AF231" s="309"/>
      <c r="AG231" s="309"/>
    </row>
    <row r="232" spans="1:33" s="2" customFormat="1" ht="12.6" customHeight="1" x14ac:dyDescent="0.15">
      <c r="A232" s="179" t="s">
        <v>696</v>
      </c>
      <c r="B232" s="335">
        <v>1355049854</v>
      </c>
      <c r="C232" s="172" t="s">
        <v>350</v>
      </c>
      <c r="D232" s="175" t="s">
        <v>369</v>
      </c>
      <c r="E232" s="171" t="s">
        <v>335</v>
      </c>
      <c r="F232" s="172">
        <f>25695*1.077</f>
        <v>27673.514999999999</v>
      </c>
      <c r="G232" s="175" t="s">
        <v>28</v>
      </c>
      <c r="H232" s="245" t="s">
        <v>98</v>
      </c>
      <c r="I232" s="178" t="s">
        <v>397</v>
      </c>
      <c r="J232" s="177" t="s">
        <v>475</v>
      </c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131"/>
      <c r="W232" s="277"/>
      <c r="X232" s="72">
        <v>4000</v>
      </c>
      <c r="Y232" s="280"/>
      <c r="Z232" s="72">
        <v>6000</v>
      </c>
      <c r="AA232" s="118">
        <v>6000</v>
      </c>
      <c r="AB232" s="118">
        <v>6000</v>
      </c>
      <c r="AC232" s="118">
        <v>5673.52</v>
      </c>
      <c r="AD232" s="40" t="s">
        <v>201</v>
      </c>
      <c r="AE232" s="180">
        <f>SUM(Tabelle1[[#This Row],[bis Ende 2010
CHF inkl. MWST]:[Aufgelaufene Kosten 2022
CHF inkl. MWST]])</f>
        <v>0</v>
      </c>
      <c r="AF232" s="180">
        <f>Tabelle1[[#This Row],[Summe Vertrag
CHF inkl. MWST]]-Tabelle1[[#This Row],[Total Rechnungen]]</f>
        <v>27673.514999999999</v>
      </c>
      <c r="AG232" s="192">
        <f>Tabelle1[[#This Row],[Total Rechnungen]]+Tabelle1[[#This Row],[Restbudget Vertrag]]</f>
        <v>27673.514999999999</v>
      </c>
    </row>
    <row r="233" spans="1:33" s="2" customFormat="1" ht="12.6" customHeight="1" x14ac:dyDescent="0.15">
      <c r="A233" s="179" t="s">
        <v>697</v>
      </c>
      <c r="B233" s="335">
        <v>1355001405</v>
      </c>
      <c r="C233" s="172" t="s">
        <v>350</v>
      </c>
      <c r="D233" s="175" t="s">
        <v>384</v>
      </c>
      <c r="E233" s="175" t="s">
        <v>174</v>
      </c>
      <c r="F233" s="179">
        <f>129092.65*1.077</f>
        <v>139032.78404999999</v>
      </c>
      <c r="G233" s="175" t="s">
        <v>28</v>
      </c>
      <c r="H233" s="245" t="s">
        <v>100</v>
      </c>
      <c r="I233" s="178" t="s">
        <v>398</v>
      </c>
      <c r="J233" s="178" t="s">
        <v>475</v>
      </c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131"/>
      <c r="W233" s="279">
        <f>11385.05</f>
        <v>11385.05</v>
      </c>
      <c r="X233" s="195">
        <f>13000-Tabelle1[[#This Row],[Aufgelaufene Kosten 2022
CHF inkl. MWST]]</f>
        <v>1614.9500000000007</v>
      </c>
      <c r="Y233" s="279"/>
      <c r="Z233" s="195">
        <v>30000</v>
      </c>
      <c r="AA233" s="195">
        <v>30000</v>
      </c>
      <c r="AB233" s="195">
        <v>30000</v>
      </c>
      <c r="AC233" s="195">
        <v>19032.78</v>
      </c>
      <c r="AD233" s="40" t="s">
        <v>201</v>
      </c>
      <c r="AE233" s="180">
        <f>SUM(Tabelle1[[#This Row],[bis Ende 2010
CHF inkl. MWST]:[Aufgelaufene Kosten 2022
CHF inkl. MWST]])</f>
        <v>11385.05</v>
      </c>
      <c r="AF233" s="180">
        <f>Tabelle1[[#This Row],[Summe Vertrag
CHF inkl. MWST]]-Tabelle1[[#This Row],[Total Rechnungen]]</f>
        <v>127647.73404999998</v>
      </c>
      <c r="AG233" s="192">
        <f>Tabelle1[[#This Row],[Total Rechnungen]]+Tabelle1[[#This Row],[Restbudget Vertrag]]</f>
        <v>139032.78404999999</v>
      </c>
    </row>
    <row r="234" spans="1:33" s="2" customFormat="1" ht="12.6" customHeight="1" x14ac:dyDescent="0.15">
      <c r="A234" s="100" t="s">
        <v>698</v>
      </c>
      <c r="B234" s="337">
        <v>1355002046</v>
      </c>
      <c r="C234" s="23" t="s">
        <v>350</v>
      </c>
      <c r="D234" s="9" t="s">
        <v>16</v>
      </c>
      <c r="E234" s="9" t="s">
        <v>367</v>
      </c>
      <c r="F234" s="23">
        <v>303516.25</v>
      </c>
      <c r="G234" s="9" t="s">
        <v>28</v>
      </c>
      <c r="H234" s="13" t="s">
        <v>99</v>
      </c>
      <c r="I234" s="35" t="s">
        <v>398</v>
      </c>
      <c r="J234" s="102" t="s">
        <v>480</v>
      </c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23">
        <f>43033.2+3451.35+202415.15</f>
        <v>248899.69999999998</v>
      </c>
      <c r="W234" s="54">
        <v>48451.45</v>
      </c>
      <c r="X234" s="55"/>
      <c r="Y234" s="55"/>
      <c r="Z234" s="30"/>
      <c r="AA234" s="30"/>
      <c r="AB234" s="30"/>
      <c r="AC234" s="30"/>
      <c r="AD234" s="75"/>
      <c r="AE234" s="181">
        <f>SUM(Tabelle1[[#This Row],[bis Ende 2010
CHF inkl. MWST]:[Aufgelaufene Kosten 2022
CHF inkl. MWST]])</f>
        <v>297351.14999999997</v>
      </c>
      <c r="AF234" s="181"/>
      <c r="AG234" s="222">
        <f>Tabelle1[[#This Row],[Total Rechnungen]]+Tabelle1[[#This Row],[Restbudget Vertrag]]</f>
        <v>297351.14999999997</v>
      </c>
    </row>
    <row r="235" spans="1:33" s="2" customFormat="1" ht="12.6" customHeight="1" x14ac:dyDescent="0.15">
      <c r="A235" s="179" t="s">
        <v>699</v>
      </c>
      <c r="B235" s="335">
        <v>1355004478</v>
      </c>
      <c r="C235" s="172" t="s">
        <v>350</v>
      </c>
      <c r="D235" s="175" t="s">
        <v>522</v>
      </c>
      <c r="E235" s="175" t="s">
        <v>387</v>
      </c>
      <c r="F235" s="179">
        <f>17391*1.077</f>
        <v>18730.107</v>
      </c>
      <c r="G235" s="175" t="s">
        <v>28</v>
      </c>
      <c r="H235" s="245" t="s">
        <v>97</v>
      </c>
      <c r="I235" s="178" t="s">
        <v>397</v>
      </c>
      <c r="J235" s="178" t="s">
        <v>482</v>
      </c>
      <c r="K235" s="75"/>
      <c r="L235" s="75"/>
      <c r="M235" s="75"/>
      <c r="N235" s="75"/>
      <c r="O235" s="75"/>
      <c r="P235" s="75"/>
      <c r="Q235" s="75"/>
      <c r="R235" s="75"/>
      <c r="S235" s="131"/>
      <c r="T235" s="131"/>
      <c r="U235" s="131"/>
      <c r="V235" s="131"/>
      <c r="W235" s="54">
        <v>8964.4</v>
      </c>
      <c r="X235" s="84"/>
      <c r="Y235" s="84"/>
      <c r="Z235" s="195">
        <f>Tabelle1[[#This Row],[Summe Vertrag
CHF inkl. MWST]]-Tabelle1[[#This Row],[Aufgelaufene Kosten 2022
CHF inkl. MWST]]</f>
        <v>9765.7070000000003</v>
      </c>
      <c r="AA235" s="84"/>
      <c r="AB235" s="84"/>
      <c r="AC235" s="84"/>
      <c r="AD235" s="40" t="s">
        <v>201</v>
      </c>
      <c r="AE235" s="180">
        <f>SUM(Tabelle1[[#This Row],[bis Ende 2010
CHF inkl. MWST]:[Aufgelaufene Kosten 2022
CHF inkl. MWST]])</f>
        <v>8964.4</v>
      </c>
      <c r="AF235" s="180">
        <f>Tabelle1[[#This Row],[Summe Vertrag
CHF inkl. MWST]]-Tabelle1[[#This Row],[Total Rechnungen]]</f>
        <v>9765.7070000000003</v>
      </c>
      <c r="AG235" s="192">
        <f>Tabelle1[[#This Row],[Total Rechnungen]]+Tabelle1[[#This Row],[Restbudget Vertrag]]</f>
        <v>18730.107</v>
      </c>
    </row>
    <row r="236" spans="1:33" s="2" customFormat="1" ht="12.6" customHeight="1" x14ac:dyDescent="0.15">
      <c r="A236" s="179" t="s">
        <v>700</v>
      </c>
      <c r="B236" s="335">
        <v>1355004486</v>
      </c>
      <c r="C236" s="172" t="s">
        <v>350</v>
      </c>
      <c r="D236" s="175" t="s">
        <v>386</v>
      </c>
      <c r="E236" s="175" t="s">
        <v>382</v>
      </c>
      <c r="F236" s="179">
        <f>8000*1.077</f>
        <v>8616</v>
      </c>
      <c r="G236" s="175" t="s">
        <v>28</v>
      </c>
      <c r="H236" s="245" t="s">
        <v>97</v>
      </c>
      <c r="I236" s="178" t="s">
        <v>397</v>
      </c>
      <c r="J236" s="178" t="s">
        <v>482</v>
      </c>
      <c r="K236" s="75"/>
      <c r="L236" s="75"/>
      <c r="M236" s="75"/>
      <c r="N236" s="75"/>
      <c r="O236" s="75"/>
      <c r="P236" s="75"/>
      <c r="Q236" s="75"/>
      <c r="R236" s="75"/>
      <c r="S236" s="131"/>
      <c r="T236" s="131"/>
      <c r="U236" s="131"/>
      <c r="V236" s="131"/>
      <c r="W236" s="84"/>
      <c r="X236" s="84"/>
      <c r="Y236" s="84"/>
      <c r="Z236" s="195">
        <v>8616</v>
      </c>
      <c r="AA236" s="84"/>
      <c r="AB236" s="84"/>
      <c r="AC236" s="84"/>
      <c r="AD236" s="40" t="s">
        <v>201</v>
      </c>
      <c r="AE236" s="180">
        <f>SUM(Tabelle1[[#This Row],[bis Ende 2010
CHF inkl. MWST]:[Aufgelaufene Kosten 2022
CHF inkl. MWST]])</f>
        <v>0</v>
      </c>
      <c r="AF236" s="180">
        <f>Tabelle1[[#This Row],[Summe Vertrag
CHF inkl. MWST]]-Tabelle1[[#This Row],[Total Rechnungen]]</f>
        <v>8616</v>
      </c>
      <c r="AG236" s="192">
        <f>Tabelle1[[#This Row],[Total Rechnungen]]+Tabelle1[[#This Row],[Restbudget Vertrag]]</f>
        <v>8616</v>
      </c>
    </row>
    <row r="237" spans="1:33" s="2" customFormat="1" ht="12.6" customHeight="1" x14ac:dyDescent="0.15">
      <c r="A237" s="179" t="s">
        <v>701</v>
      </c>
      <c r="B237" s="335">
        <v>1355007656</v>
      </c>
      <c r="C237" s="172" t="s">
        <v>350</v>
      </c>
      <c r="D237" s="175" t="s">
        <v>105</v>
      </c>
      <c r="E237" s="175" t="s">
        <v>175</v>
      </c>
      <c r="F237" s="179">
        <f>124000*1.077</f>
        <v>133548</v>
      </c>
      <c r="G237" s="175" t="s">
        <v>28</v>
      </c>
      <c r="H237" s="245" t="s">
        <v>100</v>
      </c>
      <c r="I237" s="178" t="s">
        <v>397</v>
      </c>
      <c r="J237" s="178" t="s">
        <v>475</v>
      </c>
      <c r="K237" s="75"/>
      <c r="L237" s="75"/>
      <c r="M237" s="75"/>
      <c r="N237" s="75"/>
      <c r="O237" s="75"/>
      <c r="P237" s="75"/>
      <c r="Q237" s="75"/>
      <c r="R237" s="75"/>
      <c r="S237" s="131"/>
      <c r="T237" s="131"/>
      <c r="U237" s="131"/>
      <c r="V237" s="100">
        <f>3419.5</f>
        <v>3419.5</v>
      </c>
      <c r="W237" s="299">
        <f>3573.4+8713.25+9918.05+15131.85</f>
        <v>37336.549999999996</v>
      </c>
      <c r="X237" s="84"/>
      <c r="Y237" s="84"/>
      <c r="Z237" s="195">
        <v>30000</v>
      </c>
      <c r="AA237" s="195">
        <v>25000</v>
      </c>
      <c r="AB237" s="195">
        <v>30000</v>
      </c>
      <c r="AC237" s="195">
        <v>16555.099999999999</v>
      </c>
      <c r="AD237" s="40" t="s">
        <v>201</v>
      </c>
      <c r="AE237" s="180">
        <f>SUM(Tabelle1[[#This Row],[bis Ende 2010
CHF inkl. MWST]:[Aufgelaufene Kosten 2022
CHF inkl. MWST]])</f>
        <v>40756.049999999996</v>
      </c>
      <c r="AF237" s="180">
        <f>Tabelle1[[#This Row],[Summe Vertrag
CHF inkl. MWST]]-Tabelle1[[#This Row],[Total Rechnungen]]</f>
        <v>92791.950000000012</v>
      </c>
      <c r="AG237" s="192">
        <f>Tabelle1[[#This Row],[Total Rechnungen]]+Tabelle1[[#This Row],[Restbudget Vertrag]]</f>
        <v>133548</v>
      </c>
    </row>
    <row r="238" spans="1:33" s="2" customFormat="1" ht="12.6" customHeight="1" x14ac:dyDescent="0.15">
      <c r="A238" s="100" t="s">
        <v>702</v>
      </c>
      <c r="B238" s="337">
        <v>1355009268</v>
      </c>
      <c r="C238" s="23" t="s">
        <v>350</v>
      </c>
      <c r="D238" s="260" t="s">
        <v>3</v>
      </c>
      <c r="E238" s="260" t="s">
        <v>380</v>
      </c>
      <c r="F238" s="23">
        <f>49938.75*1.077</f>
        <v>53784.033749999995</v>
      </c>
      <c r="G238" s="9" t="s">
        <v>28</v>
      </c>
      <c r="H238" s="13" t="s">
        <v>100</v>
      </c>
      <c r="I238" s="35" t="s">
        <v>398</v>
      </c>
      <c r="J238" s="102" t="s">
        <v>475</v>
      </c>
      <c r="K238" s="255"/>
      <c r="L238" s="255"/>
      <c r="M238" s="255"/>
      <c r="N238" s="255"/>
      <c r="O238" s="255"/>
      <c r="P238" s="255"/>
      <c r="Q238" s="255"/>
      <c r="R238" s="256"/>
      <c r="S238" s="256"/>
      <c r="T238" s="75"/>
      <c r="U238" s="75"/>
      <c r="V238" s="100">
        <v>16155</v>
      </c>
      <c r="W238" s="100">
        <v>40647.64</v>
      </c>
      <c r="X238" s="131"/>
      <c r="Y238" s="131"/>
      <c r="Z238" s="75"/>
      <c r="AA238" s="75"/>
      <c r="AB238" s="75"/>
      <c r="AC238" s="75"/>
      <c r="AD238" s="114"/>
      <c r="AE238" s="181">
        <f>SUM(Tabelle1[[#This Row],[bis Ende 2010
CHF inkl. MWST]:[Aufgelaufene Kosten 2022
CHF inkl. MWST]])</f>
        <v>56802.64</v>
      </c>
      <c r="AF238" s="308"/>
      <c r="AG238" s="222">
        <f>Tabelle1[[#This Row],[Total Rechnungen]]</f>
        <v>56802.64</v>
      </c>
    </row>
    <row r="239" spans="1:33" s="2" customFormat="1" ht="12.6" customHeight="1" x14ac:dyDescent="0.15">
      <c r="A239" s="179" t="s">
        <v>703</v>
      </c>
      <c r="B239" s="335">
        <v>1355012091</v>
      </c>
      <c r="C239" s="172" t="s">
        <v>350</v>
      </c>
      <c r="D239" s="175" t="s">
        <v>426</v>
      </c>
      <c r="E239" s="175" t="s">
        <v>262</v>
      </c>
      <c r="F239" s="179">
        <f>2929914*1.077</f>
        <v>3155517.378</v>
      </c>
      <c r="G239" s="175" t="s">
        <v>28</v>
      </c>
      <c r="H239" s="245" t="s">
        <v>97</v>
      </c>
      <c r="I239" s="178" t="s">
        <v>398</v>
      </c>
      <c r="J239" s="178" t="s">
        <v>491</v>
      </c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277">
        <f>65626.05+779560.85+189154.25+189024.25+220845.05+3645.9+264614+499251.65+215410.35</f>
        <v>2427132.35</v>
      </c>
      <c r="X239" s="195">
        <f>2475000-Tabelle1[[#This Row],[Aufgelaufene Kosten 2022
CHF inkl. MWST]]</f>
        <v>47867.649999999907</v>
      </c>
      <c r="Y239" s="279"/>
      <c r="Z239" s="195">
        <v>729652.02</v>
      </c>
      <c r="AA239" s="196"/>
      <c r="AB239" s="196"/>
      <c r="AC239" s="196"/>
      <c r="AD239" s="40" t="s">
        <v>501</v>
      </c>
      <c r="AE239" s="180">
        <f>SUM(Tabelle1[[#This Row],[bis Ende 2010
CHF inkl. MWST]:[Aufgelaufene Kosten 2022
CHF inkl. MWST]])</f>
        <v>2427132.35</v>
      </c>
      <c r="AF239" s="180">
        <f>Tabelle1[[#This Row],[Summe Vertrag
CHF inkl. MWST]]+F241+F242-Tabelle1[[#This Row],[Total Rechnungen]]</f>
        <v>1154760.8196999999</v>
      </c>
      <c r="AG239" s="192">
        <f>Tabelle1[[#This Row],[Total Rechnungen]]+Tabelle1[[#This Row],[Restbudget Vertrag]]</f>
        <v>3581893.1697</v>
      </c>
    </row>
    <row r="240" spans="1:33" s="2" customFormat="1" ht="12.6" customHeight="1" x14ac:dyDescent="0.15">
      <c r="A240" s="179" t="s">
        <v>703</v>
      </c>
      <c r="B240" s="335">
        <v>1355012091</v>
      </c>
      <c r="C240" s="172" t="s">
        <v>350</v>
      </c>
      <c r="D240" s="175" t="s">
        <v>426</v>
      </c>
      <c r="E240" s="175" t="s">
        <v>262</v>
      </c>
      <c r="F240" s="172" t="s">
        <v>229</v>
      </c>
      <c r="G240" s="175" t="s">
        <v>28</v>
      </c>
      <c r="H240" s="245" t="s">
        <v>97</v>
      </c>
      <c r="I240" s="178" t="s">
        <v>398</v>
      </c>
      <c r="J240" s="178" t="s">
        <v>491</v>
      </c>
      <c r="K240" s="295"/>
      <c r="L240" s="295"/>
      <c r="M240" s="295"/>
      <c r="N240" s="295"/>
      <c r="O240" s="295"/>
      <c r="P240" s="295"/>
      <c r="Q240" s="295"/>
      <c r="R240" s="296"/>
      <c r="S240" s="296"/>
      <c r="T240" s="75"/>
      <c r="U240" s="75"/>
      <c r="V240" s="75"/>
      <c r="W240" s="277">
        <f>31384.72+25753.75+35192.9</f>
        <v>92331.37</v>
      </c>
      <c r="X240" s="118">
        <v>2000</v>
      </c>
      <c r="Y240" s="277"/>
      <c r="Z240" s="118"/>
      <c r="AA240" s="196"/>
      <c r="AB240" s="75"/>
      <c r="AC240" s="75"/>
      <c r="AD240" s="149" t="s">
        <v>229</v>
      </c>
      <c r="AE240" s="180">
        <f>SUM(Tabelle1[[#This Row],[Aufgelaufene Kosten 2022
CHF inkl. MWST]:[Geplant 2026
CHF inkl. MWST]])</f>
        <v>94331.37</v>
      </c>
      <c r="AF240" s="342"/>
      <c r="AG240" s="280">
        <f>Tabelle1[[#This Row],[Total Rechnungen]]+Tabelle1[[#This Row],[Restbudget Vertrag]]</f>
        <v>94331.37</v>
      </c>
    </row>
    <row r="241" spans="1:33" s="2" customFormat="1" ht="12.6" customHeight="1" x14ac:dyDescent="0.15">
      <c r="A241" s="23" t="s">
        <v>734</v>
      </c>
      <c r="B241" s="337">
        <v>1355012091</v>
      </c>
      <c r="C241" s="100" t="s">
        <v>350</v>
      </c>
      <c r="D241" s="260" t="s">
        <v>426</v>
      </c>
      <c r="E241" s="260" t="s">
        <v>438</v>
      </c>
      <c r="F241" s="23">
        <f>(-18060.4+27178)*1.077</f>
        <v>9819.6551999999974</v>
      </c>
      <c r="G241" s="9" t="s">
        <v>28</v>
      </c>
      <c r="H241" s="13" t="s">
        <v>97</v>
      </c>
      <c r="I241" s="102" t="s">
        <v>398</v>
      </c>
      <c r="J241" s="102" t="s">
        <v>491</v>
      </c>
      <c r="K241" s="295"/>
      <c r="L241" s="295"/>
      <c r="M241" s="295"/>
      <c r="N241" s="295"/>
      <c r="O241" s="295"/>
      <c r="P241" s="295"/>
      <c r="Q241" s="295"/>
      <c r="R241" s="296"/>
      <c r="S241" s="296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114"/>
      <c r="AE241" s="297"/>
      <c r="AF241" s="309"/>
      <c r="AG241" s="309"/>
    </row>
    <row r="242" spans="1:33" s="2" customFormat="1" ht="12.6" customHeight="1" x14ac:dyDescent="0.15">
      <c r="A242" s="23" t="s">
        <v>738</v>
      </c>
      <c r="B242" s="337">
        <v>1355012091</v>
      </c>
      <c r="C242" s="100" t="s">
        <v>350</v>
      </c>
      <c r="D242" s="260" t="s">
        <v>426</v>
      </c>
      <c r="E242" s="9" t="s">
        <v>439</v>
      </c>
      <c r="F242" s="23">
        <f>(232589+154185.5)*1.077</f>
        <v>416556.13649999996</v>
      </c>
      <c r="G242" s="9" t="s">
        <v>28</v>
      </c>
      <c r="H242" s="13" t="s">
        <v>97</v>
      </c>
      <c r="I242" s="102" t="s">
        <v>398</v>
      </c>
      <c r="J242" s="102" t="s">
        <v>491</v>
      </c>
      <c r="K242" s="295"/>
      <c r="L242" s="295"/>
      <c r="M242" s="295"/>
      <c r="N242" s="295"/>
      <c r="O242" s="295"/>
      <c r="P242" s="295"/>
      <c r="Q242" s="295"/>
      <c r="R242" s="296"/>
      <c r="S242" s="296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114"/>
      <c r="AE242" s="297"/>
      <c r="AF242" s="309"/>
      <c r="AG242" s="309"/>
    </row>
    <row r="243" spans="1:33" s="2" customFormat="1" ht="12.6" customHeight="1" x14ac:dyDescent="0.15">
      <c r="A243" s="172" t="s">
        <v>704</v>
      </c>
      <c r="B243" s="335">
        <v>1355012663</v>
      </c>
      <c r="C243" s="179" t="s">
        <v>350</v>
      </c>
      <c r="D243" s="171" t="s">
        <v>403</v>
      </c>
      <c r="E243" s="171" t="s">
        <v>404</v>
      </c>
      <c r="F243" s="172">
        <v>42022.15</v>
      </c>
      <c r="G243" s="171" t="s">
        <v>28</v>
      </c>
      <c r="H243" s="245" t="s">
        <v>99</v>
      </c>
      <c r="I243" s="178" t="s">
        <v>398</v>
      </c>
      <c r="J243" s="178" t="s">
        <v>480</v>
      </c>
      <c r="K243" s="30"/>
      <c r="L243" s="30"/>
      <c r="M243" s="30"/>
      <c r="N243" s="30"/>
      <c r="O243" s="30"/>
      <c r="P243" s="30"/>
      <c r="Q243" s="30"/>
      <c r="R243" s="75"/>
      <c r="S243" s="75"/>
      <c r="T243" s="75"/>
      <c r="U243" s="75"/>
      <c r="V243" s="131"/>
      <c r="W243" s="277">
        <f>5099.6+1163.15+756.05+2170.15+218.1</f>
        <v>9407.0500000000011</v>
      </c>
      <c r="X243" s="118">
        <f>35000-Tabelle1[[#This Row],[Aufgelaufene Kosten 2022
CHF inkl. MWST]]</f>
        <v>25592.949999999997</v>
      </c>
      <c r="Y243" s="75"/>
      <c r="Z243" s="75"/>
      <c r="AA243" s="118">
        <v>7000</v>
      </c>
      <c r="AB243" s="75"/>
      <c r="AC243" s="75"/>
      <c r="AD243" s="40" t="s">
        <v>346</v>
      </c>
      <c r="AE243" s="180">
        <f>SUM(Tabelle1[[#This Row],[bis Ende 2010
CHF inkl. MWST]:[Aufgelaufene Kosten 2022
CHF inkl. MWST]])</f>
        <v>9407.0500000000011</v>
      </c>
      <c r="AF243" s="261">
        <f>Tabelle1[[#This Row],[Summe Vertrag
CHF inkl. MWST]]-Tabelle1[[#This Row],[Total Rechnungen]]</f>
        <v>32615.1</v>
      </c>
      <c r="AG243" s="192">
        <f>Tabelle1[[#This Row],[Total Rechnungen]]+Tabelle1[[#This Row],[Restbudget Vertrag]]</f>
        <v>42022.15</v>
      </c>
    </row>
    <row r="244" spans="1:33" s="2" customFormat="1" ht="12.6" customHeight="1" x14ac:dyDescent="0.15">
      <c r="A244" s="172" t="s">
        <v>705</v>
      </c>
      <c r="B244" s="335">
        <v>1355016170</v>
      </c>
      <c r="C244" s="179" t="s">
        <v>350</v>
      </c>
      <c r="D244" s="208" t="s">
        <v>403</v>
      </c>
      <c r="E244" s="208" t="s">
        <v>408</v>
      </c>
      <c r="F244" s="172">
        <f>15539*1.077</f>
        <v>16735.503000000001</v>
      </c>
      <c r="G244" s="171" t="s">
        <v>28</v>
      </c>
      <c r="H244" s="245" t="s">
        <v>99</v>
      </c>
      <c r="I244" s="178" t="s">
        <v>398</v>
      </c>
      <c r="J244" s="178" t="s">
        <v>480</v>
      </c>
      <c r="K244" s="262"/>
      <c r="L244" s="262"/>
      <c r="M244" s="262"/>
      <c r="N244" s="262"/>
      <c r="O244" s="262"/>
      <c r="P244" s="262"/>
      <c r="Q244" s="262"/>
      <c r="R244" s="263"/>
      <c r="S244" s="263"/>
      <c r="T244" s="75"/>
      <c r="U244" s="75"/>
      <c r="V244" s="131"/>
      <c r="W244" s="131"/>
      <c r="X244" s="131"/>
      <c r="Y244" s="277"/>
      <c r="Z244" s="118">
        <v>8500</v>
      </c>
      <c r="AA244" s="118">
        <v>8500</v>
      </c>
      <c r="AB244" s="75"/>
      <c r="AC244" s="75"/>
      <c r="AD244" s="40" t="s">
        <v>346</v>
      </c>
      <c r="AE244" s="180">
        <f>SUM(Tabelle1[[#This Row],[bis Ende 2010
CHF inkl. MWST]:[Aufgelaufene Kosten 2022
CHF inkl. MWST]])</f>
        <v>0</v>
      </c>
      <c r="AF244" s="265">
        <f>Tabelle1[[#This Row],[Summe Vertrag
CHF inkl. MWST]]-Tabelle1[[#This Row],[Total Rechnungen]]</f>
        <v>16735.503000000001</v>
      </c>
      <c r="AG244" s="192">
        <f>Tabelle1[[#This Row],[Total Rechnungen]]+Tabelle1[[#This Row],[Restbudget Vertrag]]</f>
        <v>16735.503000000001</v>
      </c>
    </row>
    <row r="245" spans="1:33" s="2" customFormat="1" ht="12.6" customHeight="1" x14ac:dyDescent="0.15">
      <c r="A245" s="172" t="s">
        <v>706</v>
      </c>
      <c r="B245" s="335">
        <v>1355016683</v>
      </c>
      <c r="C245" s="172" t="s">
        <v>350</v>
      </c>
      <c r="D245" s="208" t="s">
        <v>76</v>
      </c>
      <c r="E245" s="171" t="s">
        <v>411</v>
      </c>
      <c r="F245" s="172">
        <f>31825.5*1.077</f>
        <v>34276.063499999997</v>
      </c>
      <c r="G245" s="171" t="s">
        <v>27</v>
      </c>
      <c r="H245" s="176" t="s">
        <v>101</v>
      </c>
      <c r="I245" s="177" t="s">
        <v>397</v>
      </c>
      <c r="J245" s="177" t="s">
        <v>477</v>
      </c>
      <c r="K245" s="262"/>
      <c r="L245" s="262"/>
      <c r="M245" s="262"/>
      <c r="N245" s="262"/>
      <c r="O245" s="262"/>
      <c r="P245" s="262"/>
      <c r="Q245" s="262"/>
      <c r="R245" s="263"/>
      <c r="S245" s="263"/>
      <c r="T245" s="75"/>
      <c r="U245" s="75"/>
      <c r="V245" s="75"/>
      <c r="W245" s="179">
        <f>4319.21+3285.65+12163.51+1293.72</f>
        <v>21062.090000000004</v>
      </c>
      <c r="X245" s="98"/>
      <c r="Y245" s="179"/>
      <c r="Z245" s="118">
        <v>2000</v>
      </c>
      <c r="AA245" s="118">
        <v>1000</v>
      </c>
      <c r="AB245" s="118">
        <v>1000</v>
      </c>
      <c r="AC245" s="118">
        <v>956.85</v>
      </c>
      <c r="AD245" s="40" t="s">
        <v>201</v>
      </c>
      <c r="AE245" s="180">
        <f>SUM(Tabelle1[[#This Row],[bis Ende 2010
CHF inkl. MWST]:[Aufgelaufene Kosten 2022
CHF inkl. MWST]])</f>
        <v>21062.090000000004</v>
      </c>
      <c r="AF245" s="264">
        <f>Tabelle1[[#This Row],[Summe Vertrag
CHF inkl. MWST]]-Tabelle1[[#This Row],[Total Rechnungen]]</f>
        <v>13213.973499999993</v>
      </c>
      <c r="AG245" s="192">
        <f>Tabelle1[[#This Row],[Total Rechnungen]]+Tabelle1[[#This Row],[Restbudget Vertrag]]</f>
        <v>34276.063499999997</v>
      </c>
    </row>
    <row r="246" spans="1:33" s="2" customFormat="1" ht="12.6" customHeight="1" x14ac:dyDescent="0.15">
      <c r="A246" s="172" t="s">
        <v>707</v>
      </c>
      <c r="B246" s="335">
        <v>1355016688</v>
      </c>
      <c r="C246" s="172" t="s">
        <v>350</v>
      </c>
      <c r="D246" s="208" t="s">
        <v>70</v>
      </c>
      <c r="E246" s="171" t="s">
        <v>412</v>
      </c>
      <c r="F246" s="172">
        <f>43525.2*1</f>
        <v>43525.2</v>
      </c>
      <c r="G246" s="171" t="s">
        <v>27</v>
      </c>
      <c r="H246" s="176" t="s">
        <v>101</v>
      </c>
      <c r="I246" s="177" t="s">
        <v>397</v>
      </c>
      <c r="J246" s="177" t="s">
        <v>477</v>
      </c>
      <c r="K246" s="262"/>
      <c r="L246" s="262"/>
      <c r="M246" s="262"/>
      <c r="N246" s="262"/>
      <c r="O246" s="262"/>
      <c r="P246" s="262"/>
      <c r="Q246" s="262"/>
      <c r="R246" s="263"/>
      <c r="S246" s="263"/>
      <c r="T246" s="75"/>
      <c r="U246" s="75"/>
      <c r="V246" s="131"/>
      <c r="W246" s="179">
        <f>2799.2+4078.6</f>
        <v>6877.7999999999993</v>
      </c>
      <c r="X246" s="131"/>
      <c r="Y246" s="277"/>
      <c r="Z246" s="118">
        <v>8000</v>
      </c>
      <c r="AA246" s="118">
        <v>8000</v>
      </c>
      <c r="AB246" s="118">
        <v>8000</v>
      </c>
      <c r="AC246" s="118">
        <v>6726</v>
      </c>
      <c r="AD246" s="40" t="s">
        <v>201</v>
      </c>
      <c r="AE246" s="180">
        <f>SUM(Tabelle1[[#This Row],[bis Ende 2010
CHF inkl. MWST]:[Aufgelaufene Kosten 2022
CHF inkl. MWST]])</f>
        <v>6877.7999999999993</v>
      </c>
      <c r="AF246" s="264">
        <f>Tabelle1[[#This Row],[Summe Vertrag
CHF inkl. MWST]]-Tabelle1[[#This Row],[Total Rechnungen]]</f>
        <v>36647.399999999994</v>
      </c>
      <c r="AG246" s="192">
        <f>Tabelle1[[#This Row],[Total Rechnungen]]+Tabelle1[[#This Row],[Restbudget Vertrag]]</f>
        <v>43525.2</v>
      </c>
    </row>
    <row r="247" spans="1:33" s="2" customFormat="1" ht="12.6" customHeight="1" x14ac:dyDescent="0.15">
      <c r="A247" s="172" t="s">
        <v>708</v>
      </c>
      <c r="B247" s="335">
        <v>1355016871</v>
      </c>
      <c r="C247" s="172" t="s">
        <v>350</v>
      </c>
      <c r="D247" s="208" t="s">
        <v>406</v>
      </c>
      <c r="E247" s="171" t="s">
        <v>409</v>
      </c>
      <c r="F247" s="172">
        <f>100980*1.077</f>
        <v>108755.45999999999</v>
      </c>
      <c r="G247" s="171" t="s">
        <v>27</v>
      </c>
      <c r="H247" s="176" t="s">
        <v>101</v>
      </c>
      <c r="I247" s="177" t="s">
        <v>397</v>
      </c>
      <c r="J247" s="177" t="s">
        <v>477</v>
      </c>
      <c r="K247" s="262"/>
      <c r="L247" s="262"/>
      <c r="M247" s="262"/>
      <c r="N247" s="262"/>
      <c r="O247" s="262"/>
      <c r="P247" s="262"/>
      <c r="Q247" s="262"/>
      <c r="R247" s="263"/>
      <c r="S247" s="263"/>
      <c r="T247" s="75"/>
      <c r="U247" s="75"/>
      <c r="V247" s="75"/>
      <c r="W247" s="179">
        <f>1631.33+2090.6+7200.25+11427.55+2357.19+1452.5+2273.2+721.85</f>
        <v>29154.469999999998</v>
      </c>
      <c r="X247" s="131"/>
      <c r="Y247" s="277"/>
      <c r="Z247" s="118">
        <v>12000</v>
      </c>
      <c r="AA247" s="118">
        <v>12000</v>
      </c>
      <c r="AB247" s="118">
        <v>6000</v>
      </c>
      <c r="AC247" s="118">
        <v>32124.11</v>
      </c>
      <c r="AD247" s="40" t="s">
        <v>201</v>
      </c>
      <c r="AE247" s="180">
        <f>SUM(Tabelle1[[#This Row],[bis Ende 2010
CHF inkl. MWST]:[Aufgelaufene Kosten 2022
CHF inkl. MWST]])</f>
        <v>29154.469999999998</v>
      </c>
      <c r="AF247" s="264">
        <f>Tabelle1[[#This Row],[Summe Vertrag
CHF inkl. MWST]]-Tabelle1[[#This Row],[Total Rechnungen]]</f>
        <v>79600.989999999991</v>
      </c>
      <c r="AG247" s="192">
        <f>Tabelle1[[#This Row],[Total Rechnungen]]+Tabelle1[[#This Row],[Restbudget Vertrag]]</f>
        <v>108755.45999999999</v>
      </c>
    </row>
    <row r="248" spans="1:33" s="2" customFormat="1" ht="12.6" customHeight="1" x14ac:dyDescent="0.15">
      <c r="A248" s="172" t="s">
        <v>709</v>
      </c>
      <c r="B248" s="335">
        <v>1355018945</v>
      </c>
      <c r="C248" s="172" t="s">
        <v>350</v>
      </c>
      <c r="D248" s="175" t="s">
        <v>425</v>
      </c>
      <c r="E248" s="175" t="s">
        <v>234</v>
      </c>
      <c r="F248" s="179">
        <v>148798.32</v>
      </c>
      <c r="G248" s="175" t="s">
        <v>28</v>
      </c>
      <c r="H248" s="245" t="s">
        <v>100</v>
      </c>
      <c r="I248" s="177" t="s">
        <v>397</v>
      </c>
      <c r="J248" s="178" t="s">
        <v>475</v>
      </c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179">
        <f>7528.25+2180.9+4372.62+1238.55+1518.55+5131.9+2638.65+4141.05+4038.75</f>
        <v>32789.22</v>
      </c>
      <c r="X248" s="131"/>
      <c r="Y248" s="277">
        <v>4781.8999999999996</v>
      </c>
      <c r="Z248" s="118">
        <f>30000-Tabelle1[[#This Row],[Aufgelaufene Kosten 2023
CHF inkl. MWST]]</f>
        <v>25218.1</v>
      </c>
      <c r="AA248" s="118">
        <v>30000</v>
      </c>
      <c r="AB248" s="118">
        <v>30000</v>
      </c>
      <c r="AC248" s="118">
        <v>28798.32</v>
      </c>
      <c r="AD248" s="40" t="s">
        <v>201</v>
      </c>
      <c r="AE248" s="180">
        <f>SUM(Tabelle1[[#This Row],[2021
CHF inkl. MWST]:[Aufgelaufene Kosten 2023
CHF inkl. MWST]])</f>
        <v>37571.120000000003</v>
      </c>
      <c r="AF248" s="180">
        <f>Tabelle1[[#This Row],[Summe Vertrag
CHF inkl. MWST]]-Tabelle1[[#This Row],[Total Rechnungen]]</f>
        <v>111227.20000000001</v>
      </c>
      <c r="AG248" s="192">
        <f>Tabelle1[[#This Row],[Total Rechnungen]]+Tabelle1[[#This Row],[Restbudget Vertrag]]</f>
        <v>148798.32</v>
      </c>
    </row>
    <row r="249" spans="1:33" s="2" customFormat="1" ht="12.6" customHeight="1" x14ac:dyDescent="0.15">
      <c r="A249" s="23" t="s">
        <v>710</v>
      </c>
      <c r="B249" s="337">
        <v>1355019355</v>
      </c>
      <c r="C249" s="100" t="s">
        <v>350</v>
      </c>
      <c r="D249" s="9" t="s">
        <v>417</v>
      </c>
      <c r="E249" s="9" t="s">
        <v>418</v>
      </c>
      <c r="F249" s="23">
        <f>48657.35*1.077</f>
        <v>52403.965949999998</v>
      </c>
      <c r="G249" s="9" t="s">
        <v>28</v>
      </c>
      <c r="H249" s="13" t="s">
        <v>97</v>
      </c>
      <c r="I249" s="35" t="s">
        <v>398</v>
      </c>
      <c r="J249" s="102" t="s">
        <v>482</v>
      </c>
      <c r="K249" s="30"/>
      <c r="L249" s="30"/>
      <c r="M249" s="30"/>
      <c r="N249" s="30"/>
      <c r="O249" s="30"/>
      <c r="P249" s="30"/>
      <c r="Q249" s="30"/>
      <c r="R249" s="75"/>
      <c r="S249" s="75"/>
      <c r="T249" s="75"/>
      <c r="U249" s="75"/>
      <c r="V249" s="75"/>
      <c r="W249" s="100">
        <v>48708.75</v>
      </c>
      <c r="X249" s="131"/>
      <c r="Y249" s="131"/>
      <c r="Z249" s="75"/>
      <c r="AA249" s="75"/>
      <c r="AB249" s="75"/>
      <c r="AC249" s="75"/>
      <c r="AD249" s="114"/>
      <c r="AE249" s="181">
        <f>SUM(Tabelle1[[#This Row],[bis Ende 2010
CHF inkl. MWST]:[Aufgelaufene Kosten 2022
CHF inkl. MWST]])</f>
        <v>48708.75</v>
      </c>
      <c r="AF249" s="312"/>
      <c r="AG249" s="222">
        <f>Tabelle1[[#This Row],[Total Rechnungen]]</f>
        <v>48708.75</v>
      </c>
    </row>
    <row r="250" spans="1:33" s="2" customFormat="1" ht="12.6" customHeight="1" x14ac:dyDescent="0.15">
      <c r="A250" s="172" t="s">
        <v>711</v>
      </c>
      <c r="B250" s="335">
        <v>1355019892</v>
      </c>
      <c r="C250" s="172" t="s">
        <v>350</v>
      </c>
      <c r="D250" s="171" t="s">
        <v>16</v>
      </c>
      <c r="E250" s="171" t="s">
        <v>427</v>
      </c>
      <c r="F250" s="299">
        <f>952604.12*1.077</f>
        <v>1025954.63724</v>
      </c>
      <c r="G250" s="171" t="s">
        <v>28</v>
      </c>
      <c r="H250" s="176" t="s">
        <v>100</v>
      </c>
      <c r="I250" s="177" t="s">
        <v>398</v>
      </c>
      <c r="J250" s="178" t="s">
        <v>475</v>
      </c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55"/>
      <c r="W250" s="279">
        <f>68364.1+226026.6+594016.15+88408.85+20508.65</f>
        <v>997324.35000000009</v>
      </c>
      <c r="X250" s="195">
        <f>1026000-Tabelle1[[#This Row],[Aufgelaufene Kosten 2022
CHF inkl. MWST]]</f>
        <v>28675.649999999907</v>
      </c>
      <c r="Y250" s="131"/>
      <c r="Z250" s="84"/>
      <c r="AA250" s="84"/>
      <c r="AB250" s="84"/>
      <c r="AC250" s="84"/>
      <c r="AD250" s="40" t="s">
        <v>201</v>
      </c>
      <c r="AE250" s="180">
        <f>SUM(Tabelle1[[#This Row],[bis Ende 2010
CHF inkl. MWST]:[Aufgelaufene Kosten 2022
CHF inkl. MWST]])</f>
        <v>997324.35000000009</v>
      </c>
      <c r="AF250" s="180">
        <f>Tabelle1[[#This Row],[Summe Vertrag
CHF inkl. MWST]]-Tabelle1[[#This Row],[Total Rechnungen]]</f>
        <v>28630.28723999986</v>
      </c>
      <c r="AG250" s="192">
        <f>Tabelle1[[#This Row],[Total Rechnungen]]+Tabelle1[[#This Row],[Restbudget Vertrag]]</f>
        <v>1025954.63724</v>
      </c>
    </row>
    <row r="251" spans="1:33" s="2" customFormat="1" ht="12.6" customHeight="1" x14ac:dyDescent="0.15">
      <c r="A251" s="172" t="s">
        <v>712</v>
      </c>
      <c r="B251" s="335">
        <v>1355019929</v>
      </c>
      <c r="C251" s="172" t="s">
        <v>350</v>
      </c>
      <c r="D251" s="171" t="s">
        <v>436</v>
      </c>
      <c r="E251" s="171" t="s">
        <v>437</v>
      </c>
      <c r="F251" s="172">
        <v>19157.45</v>
      </c>
      <c r="G251" s="171" t="s">
        <v>28</v>
      </c>
      <c r="H251" s="176" t="s">
        <v>99</v>
      </c>
      <c r="I251" s="177" t="s">
        <v>398</v>
      </c>
      <c r="J251" s="178" t="s">
        <v>480</v>
      </c>
      <c r="K251" s="30"/>
      <c r="L251" s="30"/>
      <c r="M251" s="30"/>
      <c r="N251" s="30"/>
      <c r="O251" s="30"/>
      <c r="P251" s="30"/>
      <c r="Q251" s="30"/>
      <c r="R251" s="75"/>
      <c r="S251" s="75"/>
      <c r="T251" s="75"/>
      <c r="U251" s="75"/>
      <c r="V251" s="131"/>
      <c r="W251" s="277"/>
      <c r="X251" s="118">
        <v>20000</v>
      </c>
      <c r="Y251" s="118"/>
      <c r="Z251" s="118"/>
      <c r="AA251" s="75"/>
      <c r="AB251" s="75"/>
      <c r="AC251" s="75"/>
      <c r="AD251" s="40" t="s">
        <v>346</v>
      </c>
      <c r="AE251" s="180">
        <f>SUM(Tabelle1[[#This Row],[bis Ende 2010
CHF inkl. MWST]:[Aufgelaufene Kosten 2022
CHF inkl. MWST]])</f>
        <v>0</v>
      </c>
      <c r="AF251" s="180">
        <f>Tabelle1[[#This Row],[Summe Vertrag
CHF inkl. MWST]]-Tabelle1[[#This Row],[Total Rechnungen]]</f>
        <v>19157.45</v>
      </c>
      <c r="AG251" s="192">
        <f>Tabelle1[[#This Row],[Total Rechnungen]]+Tabelle1[[#This Row],[Restbudget Vertrag]]</f>
        <v>19157.45</v>
      </c>
    </row>
    <row r="252" spans="1:33" s="2" customFormat="1" ht="12.6" customHeight="1" x14ac:dyDescent="0.15">
      <c r="A252" s="23" t="s">
        <v>713</v>
      </c>
      <c r="B252" s="337">
        <v>1355020095</v>
      </c>
      <c r="C252" s="100" t="s">
        <v>350</v>
      </c>
      <c r="D252" s="9" t="s">
        <v>16</v>
      </c>
      <c r="E252" s="9" t="s">
        <v>422</v>
      </c>
      <c r="F252" s="23">
        <v>27621.200000000001</v>
      </c>
      <c r="G252" s="9" t="s">
        <v>28</v>
      </c>
      <c r="H252" s="13" t="s">
        <v>100</v>
      </c>
      <c r="I252" s="35" t="s">
        <v>398</v>
      </c>
      <c r="J252" s="102" t="s">
        <v>475</v>
      </c>
      <c r="K252" s="274"/>
      <c r="L252" s="274"/>
      <c r="M252" s="274"/>
      <c r="N252" s="274"/>
      <c r="O252" s="274"/>
      <c r="P252" s="274"/>
      <c r="Q252" s="274"/>
      <c r="R252" s="275"/>
      <c r="S252" s="275"/>
      <c r="T252" s="75"/>
      <c r="U252" s="75"/>
      <c r="V252" s="75"/>
      <c r="W252" s="357">
        <f>11725.55+4104.65</f>
        <v>15830.199999999999</v>
      </c>
      <c r="X252" s="75"/>
      <c r="Y252" s="75"/>
      <c r="Z252" s="75"/>
      <c r="AA252" s="75"/>
      <c r="AB252" s="75"/>
      <c r="AC252" s="75"/>
      <c r="AD252" s="75"/>
      <c r="AE252" s="181">
        <f>SUM(Tabelle1[[#This Row],[bis Ende 2010
CHF inkl. MWST]:[Aufgelaufene Kosten 2022
CHF inkl. MWST]])</f>
        <v>15830.199999999999</v>
      </c>
      <c r="AF252" s="358"/>
      <c r="AG252" s="222">
        <f>Tabelle1[[#This Row],[Total Rechnungen]]+Tabelle1[[#This Row],[Restbudget Vertrag]]</f>
        <v>15830.199999999999</v>
      </c>
    </row>
    <row r="253" spans="1:33" s="2" customFormat="1" ht="12.6" customHeight="1" x14ac:dyDescent="0.15">
      <c r="A253" s="23" t="s">
        <v>714</v>
      </c>
      <c r="B253" s="337">
        <v>1355020100</v>
      </c>
      <c r="C253" s="100" t="s">
        <v>350</v>
      </c>
      <c r="D253" s="99" t="s">
        <v>421</v>
      </c>
      <c r="E253" s="99" t="s">
        <v>420</v>
      </c>
      <c r="F253" s="23">
        <f>231242.1*1.077</f>
        <v>249047.74169999998</v>
      </c>
      <c r="G253" s="9" t="s">
        <v>28</v>
      </c>
      <c r="H253" s="13" t="s">
        <v>97</v>
      </c>
      <c r="I253" s="35" t="s">
        <v>398</v>
      </c>
      <c r="J253" s="102" t="s">
        <v>484</v>
      </c>
      <c r="K253" s="295"/>
      <c r="L253" s="295"/>
      <c r="M253" s="295"/>
      <c r="N253" s="295"/>
      <c r="O253" s="295"/>
      <c r="P253" s="295"/>
      <c r="Q253" s="295"/>
      <c r="R253" s="296"/>
      <c r="S253" s="296"/>
      <c r="T253" s="75"/>
      <c r="U253" s="75"/>
      <c r="V253" s="75"/>
      <c r="W253" s="100">
        <v>184399.94</v>
      </c>
      <c r="X253" s="75"/>
      <c r="Y253" s="75"/>
      <c r="Z253" s="75"/>
      <c r="AA253" s="75"/>
      <c r="AB253" s="75"/>
      <c r="AC253" s="75"/>
      <c r="AD253" s="40" t="s">
        <v>201</v>
      </c>
      <c r="AE253" s="180">
        <f>SUM(Tabelle1[[#This Row],[bis Ende 2010
CHF inkl. MWST]:[Aufgelaufene Kosten 2022
CHF inkl. MWST]])</f>
        <v>184399.94</v>
      </c>
      <c r="AF253" s="301">
        <f>Tabelle1[[#This Row],[Summe Vertrag
CHF inkl. MWST]]-Tabelle1[[#This Row],[Total Rechnungen]]</f>
        <v>64647.801699999982</v>
      </c>
      <c r="AG253" s="192">
        <f>Tabelle1[[#This Row],[Total Rechnungen]]+Tabelle1[[#This Row],[Restbudget Vertrag]]</f>
        <v>249047.74169999998</v>
      </c>
    </row>
    <row r="254" spans="1:33" s="2" customFormat="1" ht="12.6" customHeight="1" x14ac:dyDescent="0.15">
      <c r="A254" s="172" t="s">
        <v>715</v>
      </c>
      <c r="B254" s="335">
        <v>1355020881</v>
      </c>
      <c r="C254" s="179" t="s">
        <v>350</v>
      </c>
      <c r="D254" s="171" t="s">
        <v>441</v>
      </c>
      <c r="E254" s="171" t="s">
        <v>442</v>
      </c>
      <c r="F254" s="172">
        <f>ROUNDUP(88429.05*1.077,1)</f>
        <v>95238.1</v>
      </c>
      <c r="G254" s="171" t="s">
        <v>28</v>
      </c>
      <c r="H254" s="176" t="s">
        <v>99</v>
      </c>
      <c r="I254" s="177" t="s">
        <v>398</v>
      </c>
      <c r="J254" s="178" t="s">
        <v>480</v>
      </c>
      <c r="K254" s="295"/>
      <c r="L254" s="295"/>
      <c r="M254" s="295"/>
      <c r="N254" s="295"/>
      <c r="O254" s="295"/>
      <c r="P254" s="295"/>
      <c r="Q254" s="295"/>
      <c r="R254" s="296"/>
      <c r="S254" s="296"/>
      <c r="T254" s="75"/>
      <c r="U254" s="75"/>
      <c r="V254" s="75"/>
      <c r="W254" s="277"/>
      <c r="X254" s="118">
        <v>95000</v>
      </c>
      <c r="Y254" s="118"/>
      <c r="Z254" s="118"/>
      <c r="AA254" s="75"/>
      <c r="AB254" s="75"/>
      <c r="AC254" s="75"/>
      <c r="AD254" s="40" t="s">
        <v>346</v>
      </c>
      <c r="AE254" s="180">
        <f>SUM(Tabelle1[[#This Row],[bis Ende 2010
CHF inkl. MWST]:[Aufgelaufene Kosten 2022
CHF inkl. MWST]])</f>
        <v>0</v>
      </c>
      <c r="AF254" s="301">
        <f>Tabelle1[[#This Row],[Summe Vertrag
CHF inkl. MWST]]-Tabelle1[[#This Row],[Total Rechnungen]]</f>
        <v>95238.1</v>
      </c>
      <c r="AG254" s="192">
        <f>Tabelle1[[#This Row],[Total Rechnungen]]+Tabelle1[[#This Row],[Restbudget Vertrag]]</f>
        <v>95238.1</v>
      </c>
    </row>
    <row r="255" spans="1:33" s="2" customFormat="1" ht="12.6" customHeight="1" x14ac:dyDescent="0.15">
      <c r="A255" s="172" t="s">
        <v>716</v>
      </c>
      <c r="B255" s="341">
        <v>1355021163</v>
      </c>
      <c r="C255" s="179" t="s">
        <v>350</v>
      </c>
      <c r="D255" s="171" t="s">
        <v>499</v>
      </c>
      <c r="E255" s="171" t="s">
        <v>444</v>
      </c>
      <c r="F255" s="172">
        <f>1245335*1.077</f>
        <v>1341225.7949999999</v>
      </c>
      <c r="G255" s="171" t="s">
        <v>28</v>
      </c>
      <c r="H255" s="176" t="s">
        <v>100</v>
      </c>
      <c r="I255" s="177" t="s">
        <v>398</v>
      </c>
      <c r="J255" s="178" t="s">
        <v>475</v>
      </c>
      <c r="K255" s="30"/>
      <c r="L255" s="30"/>
      <c r="M255" s="30"/>
      <c r="N255" s="30"/>
      <c r="O255" s="30"/>
      <c r="P255" s="30"/>
      <c r="Q255" s="30"/>
      <c r="R255" s="75"/>
      <c r="S255" s="75"/>
      <c r="T255" s="75"/>
      <c r="U255" s="75"/>
      <c r="V255" s="75"/>
      <c r="W255" s="75"/>
      <c r="X255" s="75"/>
      <c r="Y255" s="277"/>
      <c r="Z255" s="118">
        <f>900000</f>
        <v>900000</v>
      </c>
      <c r="AA255" s="118">
        <v>440000</v>
      </c>
      <c r="AB255" s="75"/>
      <c r="AC255" s="75"/>
      <c r="AD255" s="40" t="s">
        <v>504</v>
      </c>
      <c r="AE255" s="180">
        <f>SUM(Tabelle1[[#This Row],[bis Ende 2010
CHF inkl. MWST]:[Aufgelaufene Kosten 2022
CHF inkl. MWST]])</f>
        <v>0</v>
      </c>
      <c r="AF255" s="307">
        <f>Tabelle1[[#This Row],[Summe Vertrag
CHF inkl. MWST]]+F256-Tabelle1[[#This Row],[Total Rechnungen]]</f>
        <v>1641225.7949999999</v>
      </c>
      <c r="AG255" s="192">
        <f>Tabelle1[[#This Row],[Total Rechnungen]]+Tabelle1[[#This Row],[Restbudget Vertrag]]</f>
        <v>1641225.7949999999</v>
      </c>
    </row>
    <row r="256" spans="1:33" s="2" customFormat="1" ht="12.6" customHeight="1" x14ac:dyDescent="0.15">
      <c r="A256" s="39" t="s">
        <v>736</v>
      </c>
      <c r="B256" s="346">
        <v>1355021163</v>
      </c>
      <c r="C256" s="72" t="s">
        <v>351</v>
      </c>
      <c r="D256" s="40" t="s">
        <v>499</v>
      </c>
      <c r="E256" s="40" t="s">
        <v>737</v>
      </c>
      <c r="F256" s="39">
        <v>300000</v>
      </c>
      <c r="G256" s="40" t="s">
        <v>28</v>
      </c>
      <c r="H256" s="41" t="s">
        <v>100</v>
      </c>
      <c r="I256" s="42" t="s">
        <v>398</v>
      </c>
      <c r="J256" s="74" t="s">
        <v>475</v>
      </c>
      <c r="K256" s="30"/>
      <c r="L256" s="30"/>
      <c r="M256" s="30"/>
      <c r="N256" s="30"/>
      <c r="O256" s="30"/>
      <c r="P256" s="30"/>
      <c r="Q256" s="30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114"/>
      <c r="AE256" s="181"/>
      <c r="AF256" s="391"/>
      <c r="AG256" s="222"/>
    </row>
    <row r="257" spans="1:33" s="2" customFormat="1" ht="12.6" customHeight="1" x14ac:dyDescent="0.15">
      <c r="A257" s="216" t="s">
        <v>717</v>
      </c>
      <c r="B257" s="338">
        <v>1355021941</v>
      </c>
      <c r="C257" s="240" t="s">
        <v>351</v>
      </c>
      <c r="D257" s="284" t="s">
        <v>176</v>
      </c>
      <c r="E257" s="286" t="s">
        <v>434</v>
      </c>
      <c r="F257" s="216">
        <v>24103.25</v>
      </c>
      <c r="G257" s="150" t="s">
        <v>28</v>
      </c>
      <c r="H257" s="151" t="s">
        <v>101</v>
      </c>
      <c r="I257" s="231" t="s">
        <v>397</v>
      </c>
      <c r="J257" s="231" t="s">
        <v>485</v>
      </c>
      <c r="K257" s="274"/>
      <c r="L257" s="274"/>
      <c r="M257" s="274"/>
      <c r="N257" s="274"/>
      <c r="O257" s="274"/>
      <c r="P257" s="274"/>
      <c r="Q257" s="274"/>
      <c r="R257" s="275"/>
      <c r="S257" s="275"/>
      <c r="T257" s="75"/>
      <c r="U257" s="75"/>
      <c r="V257" s="75"/>
      <c r="W257" s="131"/>
      <c r="X257" s="131"/>
      <c r="Y257" s="118"/>
      <c r="Z257" s="118">
        <v>5000</v>
      </c>
      <c r="AA257" s="118">
        <v>5000</v>
      </c>
      <c r="AB257" s="118">
        <v>5000</v>
      </c>
      <c r="AC257" s="118">
        <v>4103.25</v>
      </c>
      <c r="AD257" s="40" t="s">
        <v>201</v>
      </c>
      <c r="AE257" s="180">
        <f>SUM(Tabelle1[[#This Row],[bis Ende 2010
CHF inkl. MWST]:[Aufgelaufene Kosten 2022
CHF inkl. MWST]])</f>
        <v>0</v>
      </c>
      <c r="AF257" s="285">
        <f>Tabelle1[[#This Row],[Summe Vertrag
CHF inkl. MWST]]-Tabelle1[[#This Row],[Total Rechnungen]]</f>
        <v>24103.25</v>
      </c>
      <c r="AG257" s="192">
        <f>Tabelle1[[#This Row],[Total Rechnungen]]+Tabelle1[[#This Row],[Restbudget Vertrag]]</f>
        <v>24103.25</v>
      </c>
    </row>
    <row r="258" spans="1:33" s="2" customFormat="1" ht="12.6" customHeight="1" x14ac:dyDescent="0.15">
      <c r="A258" s="172" t="s">
        <v>718</v>
      </c>
      <c r="B258" s="335">
        <v>1355022442</v>
      </c>
      <c r="C258" s="179" t="s">
        <v>350</v>
      </c>
      <c r="D258" s="208" t="s">
        <v>16</v>
      </c>
      <c r="E258" s="208" t="s">
        <v>446</v>
      </c>
      <c r="F258" s="172">
        <v>47040.55</v>
      </c>
      <c r="G258" s="171" t="s">
        <v>28</v>
      </c>
      <c r="H258" s="176" t="s">
        <v>100</v>
      </c>
      <c r="I258" s="177" t="s">
        <v>398</v>
      </c>
      <c r="J258" s="178" t="s">
        <v>475</v>
      </c>
      <c r="K258" s="274"/>
      <c r="L258" s="274"/>
      <c r="M258" s="274"/>
      <c r="N258" s="274"/>
      <c r="O258" s="274"/>
      <c r="P258" s="274"/>
      <c r="Q258" s="274"/>
      <c r="R258" s="275"/>
      <c r="S258" s="275"/>
      <c r="T258" s="75"/>
      <c r="U258" s="75"/>
      <c r="V258" s="75"/>
      <c r="W258" s="277">
        <f>14661.4+3720.35</f>
        <v>18381.75</v>
      </c>
      <c r="X258" s="118">
        <f>19000-Tabelle1[[#This Row],[Aufgelaufene Kosten 2022
CHF inkl. MWST]]</f>
        <v>618.25</v>
      </c>
      <c r="Y258" s="277"/>
      <c r="Z258" s="118">
        <v>22000</v>
      </c>
      <c r="AA258" s="75"/>
      <c r="AB258" s="75"/>
      <c r="AC258" s="75"/>
      <c r="AD258" s="40" t="s">
        <v>201</v>
      </c>
      <c r="AE258" s="180">
        <f>SUM(Tabelle1[[#This Row],[bis Ende 2010
CHF inkl. MWST]:[Aufgelaufene Kosten 2022
CHF inkl. MWST]])</f>
        <v>18381.75</v>
      </c>
      <c r="AF258" s="291">
        <f>Tabelle1[[#This Row],[Summe Vertrag
CHF inkl. MWST]]-Tabelle1[[#This Row],[Total Rechnungen]]</f>
        <v>28658.800000000003</v>
      </c>
      <c r="AG258" s="192">
        <f>Tabelle1[[#This Row],[Total Rechnungen]]+Tabelle1[[#This Row],[Restbudget Vertrag]]</f>
        <v>47040.55</v>
      </c>
    </row>
    <row r="259" spans="1:33" s="2" customFormat="1" ht="12.6" customHeight="1" x14ac:dyDescent="0.15">
      <c r="A259" s="172" t="s">
        <v>719</v>
      </c>
      <c r="B259" s="335">
        <v>1355022727</v>
      </c>
      <c r="C259" s="179" t="s">
        <v>350</v>
      </c>
      <c r="D259" s="171" t="s">
        <v>448</v>
      </c>
      <c r="E259" s="171" t="s">
        <v>449</v>
      </c>
      <c r="F259" s="172">
        <f>14280*1.077</f>
        <v>15379.56</v>
      </c>
      <c r="G259" s="171" t="s">
        <v>27</v>
      </c>
      <c r="H259" s="176" t="s">
        <v>101</v>
      </c>
      <c r="I259" s="177" t="s">
        <v>397</v>
      </c>
      <c r="J259" s="177" t="s">
        <v>477</v>
      </c>
      <c r="K259" s="295"/>
      <c r="L259" s="295"/>
      <c r="M259" s="295"/>
      <c r="N259" s="295"/>
      <c r="O259" s="295"/>
      <c r="P259" s="295"/>
      <c r="Q259" s="295"/>
      <c r="R259" s="296"/>
      <c r="S259" s="296"/>
      <c r="T259" s="75"/>
      <c r="U259" s="75"/>
      <c r="V259" s="75"/>
      <c r="W259" s="179">
        <v>3159.85</v>
      </c>
      <c r="X259" s="98"/>
      <c r="Y259" s="179"/>
      <c r="Z259" s="118">
        <f>Tabelle1[[#This Row],[Summe Vertrag
CHF inkl. MWST]]-Tabelle1[[#This Row],[Aufgelaufene Kosten 2022
CHF inkl. MWST]]</f>
        <v>12219.71</v>
      </c>
      <c r="AA259" s="75"/>
      <c r="AB259" s="75"/>
      <c r="AC259" s="75"/>
      <c r="AD259" s="40" t="s">
        <v>201</v>
      </c>
      <c r="AE259" s="180">
        <f>SUM(Tabelle1[[#This Row],[bis Ende 2010
CHF inkl. MWST]:[Aufgelaufene Kosten 2022
CHF inkl. MWST]])</f>
        <v>3159.85</v>
      </c>
      <c r="AF259" s="304">
        <f>Tabelle1[[#This Row],[Summe Vertrag
CHF inkl. MWST]]-Tabelle1[[#This Row],[Total Rechnungen]]</f>
        <v>12219.71</v>
      </c>
      <c r="AG259" s="192">
        <f>Tabelle1[[#This Row],[Total Rechnungen]]+Tabelle1[[#This Row],[Restbudget Vertrag]]</f>
        <v>15379.56</v>
      </c>
    </row>
    <row r="260" spans="1:33" s="2" customFormat="1" ht="12.6" customHeight="1" x14ac:dyDescent="0.15">
      <c r="A260" s="172" t="s">
        <v>720</v>
      </c>
      <c r="B260" s="335">
        <v>1355022995</v>
      </c>
      <c r="C260" s="179" t="s">
        <v>350</v>
      </c>
      <c r="D260" s="208" t="s">
        <v>503</v>
      </c>
      <c r="E260" s="171" t="s">
        <v>445</v>
      </c>
      <c r="F260" s="172">
        <f>87669*1.077</f>
        <v>94419.512999999992</v>
      </c>
      <c r="G260" s="171" t="s">
        <v>27</v>
      </c>
      <c r="H260" s="176" t="s">
        <v>101</v>
      </c>
      <c r="I260" s="177" t="s">
        <v>397</v>
      </c>
      <c r="J260" s="177" t="s">
        <v>477</v>
      </c>
      <c r="K260" s="295"/>
      <c r="L260" s="295"/>
      <c r="M260" s="295"/>
      <c r="N260" s="295"/>
      <c r="O260" s="295"/>
      <c r="P260" s="295"/>
      <c r="Q260" s="295"/>
      <c r="R260" s="296"/>
      <c r="S260" s="296"/>
      <c r="T260" s="75"/>
      <c r="U260" s="75"/>
      <c r="V260" s="75"/>
      <c r="W260" s="277">
        <f>4763.6</f>
        <v>4763.6000000000004</v>
      </c>
      <c r="X260" s="118">
        <v>0</v>
      </c>
      <c r="Y260" s="277"/>
      <c r="Z260" s="118">
        <v>25000</v>
      </c>
      <c r="AA260" s="118">
        <v>20000</v>
      </c>
      <c r="AB260" s="118">
        <v>20000</v>
      </c>
      <c r="AC260" s="118">
        <v>4419.51</v>
      </c>
      <c r="AD260" s="40" t="s">
        <v>201</v>
      </c>
      <c r="AE260" s="180">
        <f>SUM(Tabelle1[[#This Row],[bis Ende 2010
CHF inkl. MWST]:[Aufgelaufene Kosten 2022
CHF inkl. MWST]])</f>
        <v>4763.6000000000004</v>
      </c>
      <c r="AF260" s="266">
        <f>Tabelle1[[#This Row],[Summe Vertrag
CHF inkl. MWST]]-Tabelle1[[#This Row],[Total Rechnungen]]</f>
        <v>89655.912999999986</v>
      </c>
      <c r="AG260" s="192">
        <f>Tabelle1[[#This Row],[Total Rechnungen]]+Tabelle1[[#This Row],[Restbudget Vertrag]]</f>
        <v>94419.512999999992</v>
      </c>
    </row>
    <row r="261" spans="1:33" s="2" customFormat="1" ht="12.6" customHeight="1" x14ac:dyDescent="0.15">
      <c r="A261" s="172" t="s">
        <v>721</v>
      </c>
      <c r="B261" s="335">
        <v>1355024496</v>
      </c>
      <c r="C261" s="179" t="s">
        <v>350</v>
      </c>
      <c r="D261" s="171" t="s">
        <v>469</v>
      </c>
      <c r="E261" s="171" t="s">
        <v>219</v>
      </c>
      <c r="F261" s="172">
        <f>220121.25*1.077</f>
        <v>237070.58624999999</v>
      </c>
      <c r="G261" s="171" t="s">
        <v>28</v>
      </c>
      <c r="H261" s="176" t="s">
        <v>99</v>
      </c>
      <c r="I261" s="177" t="s">
        <v>398</v>
      </c>
      <c r="J261" s="178" t="s">
        <v>480</v>
      </c>
      <c r="K261" s="30"/>
      <c r="L261" s="30"/>
      <c r="M261" s="30"/>
      <c r="N261" s="30"/>
      <c r="O261" s="30"/>
      <c r="P261" s="30"/>
      <c r="Q261" s="30"/>
      <c r="R261" s="75"/>
      <c r="S261" s="75"/>
      <c r="T261" s="75"/>
      <c r="U261" s="75"/>
      <c r="V261" s="75"/>
      <c r="W261" s="277"/>
      <c r="X261" s="118">
        <v>20000</v>
      </c>
      <c r="Y261" s="277"/>
      <c r="Z261" s="118">
        <v>220000</v>
      </c>
      <c r="AA261" s="131"/>
      <c r="AB261" s="131"/>
      <c r="AC261" s="131"/>
      <c r="AD261" s="40" t="s">
        <v>346</v>
      </c>
      <c r="AE261" s="180">
        <f>SUM(Tabelle1[[#This Row],[bis Ende 2010
CHF inkl. MWST]:[Aufgelaufene Kosten 2022
CHF inkl. MWST]])</f>
        <v>0</v>
      </c>
      <c r="AF261" s="307">
        <f>Tabelle1[[#This Row],[Summe Vertrag
CHF inkl. MWST]]-Tabelle1[[#This Row],[Total Rechnungen]]</f>
        <v>237070.58624999999</v>
      </c>
      <c r="AG261" s="192">
        <f>Tabelle1[[#This Row],[Total Rechnungen]]+Tabelle1[[#This Row],[Restbudget Vertrag]]</f>
        <v>237070.58624999999</v>
      </c>
    </row>
    <row r="262" spans="1:33" s="2" customFormat="1" ht="12.6" customHeight="1" x14ac:dyDescent="0.15">
      <c r="A262" s="23" t="s">
        <v>722</v>
      </c>
      <c r="B262" s="23"/>
      <c r="C262" s="23" t="s">
        <v>350</v>
      </c>
      <c r="D262" s="9" t="s">
        <v>451</v>
      </c>
      <c r="E262" s="9" t="s">
        <v>410</v>
      </c>
      <c r="F262" s="23">
        <f>48115*1.077</f>
        <v>51819.854999999996</v>
      </c>
      <c r="G262" s="9" t="s">
        <v>27</v>
      </c>
      <c r="H262" s="13" t="s">
        <v>101</v>
      </c>
      <c r="I262" s="35" t="s">
        <v>397</v>
      </c>
      <c r="J262" s="35" t="s">
        <v>477</v>
      </c>
      <c r="K262" s="30"/>
      <c r="L262" s="30"/>
      <c r="M262" s="30"/>
      <c r="N262" s="30"/>
      <c r="O262" s="30"/>
      <c r="P262" s="30"/>
      <c r="Q262" s="30"/>
      <c r="R262" s="75"/>
      <c r="S262" s="75"/>
      <c r="T262" s="75"/>
      <c r="U262" s="75"/>
      <c r="V262" s="75"/>
      <c r="W262" s="100">
        <v>46727.55</v>
      </c>
      <c r="X262" s="131"/>
      <c r="Y262" s="131"/>
      <c r="Z262" s="75"/>
      <c r="AA262" s="75"/>
      <c r="AB262" s="75"/>
      <c r="AC262" s="75"/>
      <c r="AD262" s="114"/>
      <c r="AE262" s="181">
        <f>SUM(Tabelle1[[#This Row],[bis Ende 2010
CHF inkl. MWST]:[Aufgelaufene Kosten 2022
CHF inkl. MWST]])</f>
        <v>46727.55</v>
      </c>
      <c r="AF262" s="327"/>
      <c r="AG262" s="222">
        <f>Tabelle1[[#This Row],[Total Rechnungen]]+Tabelle1[[#This Row],[Restbudget Vertrag]]</f>
        <v>46727.55</v>
      </c>
    </row>
    <row r="263" spans="1:33" s="2" customFormat="1" ht="12.6" customHeight="1" x14ac:dyDescent="0.15">
      <c r="A263" s="172" t="s">
        <v>723</v>
      </c>
      <c r="B263" s="336">
        <v>1355024622</v>
      </c>
      <c r="C263" s="179" t="s">
        <v>350</v>
      </c>
      <c r="D263" s="171" t="s">
        <v>503</v>
      </c>
      <c r="E263" s="171" t="s">
        <v>468</v>
      </c>
      <c r="F263" s="172">
        <f>39168*1.077</f>
        <v>42183.936000000002</v>
      </c>
      <c r="G263" s="171" t="s">
        <v>27</v>
      </c>
      <c r="H263" s="176" t="s">
        <v>101</v>
      </c>
      <c r="I263" s="177" t="s">
        <v>397</v>
      </c>
      <c r="J263" s="177" t="s">
        <v>477</v>
      </c>
      <c r="K263" s="295"/>
      <c r="L263" s="295"/>
      <c r="M263" s="295"/>
      <c r="N263" s="295"/>
      <c r="O263" s="295"/>
      <c r="P263" s="295"/>
      <c r="Q263" s="295"/>
      <c r="R263" s="296"/>
      <c r="S263" s="296"/>
      <c r="T263" s="75"/>
      <c r="U263" s="75"/>
      <c r="V263" s="75"/>
      <c r="W263" s="179">
        <f>9564.2+4482.05</f>
        <v>14046.25</v>
      </c>
      <c r="X263" s="131"/>
      <c r="Y263" s="277"/>
      <c r="Z263" s="118">
        <v>22183.95</v>
      </c>
      <c r="AA263" s="75"/>
      <c r="AB263" s="75"/>
      <c r="AC263" s="75"/>
      <c r="AD263" s="40" t="s">
        <v>201</v>
      </c>
      <c r="AE263" s="180">
        <f>SUM(Tabelle1[[#This Row],[bis Ende 2010
CHF inkl. MWST]:[Aufgelaufene Kosten 2022
CHF inkl. MWST]])</f>
        <v>14046.25</v>
      </c>
      <c r="AF263" s="311">
        <f>Tabelle1[[#This Row],[Summe Vertrag
CHF inkl. MWST]]-Tabelle1[[#This Row],[Total Rechnungen]]</f>
        <v>28137.686000000002</v>
      </c>
      <c r="AG263" s="192">
        <f>Tabelle1[[#This Row],[Total Rechnungen]]+Tabelle1[[#This Row],[Restbudget Vertrag]]</f>
        <v>42183.936000000002</v>
      </c>
    </row>
    <row r="264" spans="1:33" s="2" customFormat="1" ht="12.6" customHeight="1" x14ac:dyDescent="0.15">
      <c r="A264" s="172" t="s">
        <v>729</v>
      </c>
      <c r="B264" s="341">
        <v>1355027741</v>
      </c>
      <c r="C264" s="179" t="s">
        <v>350</v>
      </c>
      <c r="D264" s="208" t="s">
        <v>403</v>
      </c>
      <c r="E264" s="208" t="s">
        <v>470</v>
      </c>
      <c r="F264" s="172">
        <f>26546*1.077</f>
        <v>28590.041999999998</v>
      </c>
      <c r="G264" s="171" t="s">
        <v>27</v>
      </c>
      <c r="H264" s="176" t="s">
        <v>101</v>
      </c>
      <c r="I264" s="177" t="s">
        <v>397</v>
      </c>
      <c r="J264" s="177" t="s">
        <v>477</v>
      </c>
      <c r="K264" s="295"/>
      <c r="L264" s="295"/>
      <c r="M264" s="295"/>
      <c r="N264" s="295"/>
      <c r="O264" s="295"/>
      <c r="P264" s="295"/>
      <c r="Q264" s="295"/>
      <c r="R264" s="296"/>
      <c r="S264" s="296"/>
      <c r="T264" s="75"/>
      <c r="U264" s="75"/>
      <c r="V264" s="75"/>
      <c r="W264" s="277"/>
      <c r="X264" s="118">
        <v>4600</v>
      </c>
      <c r="Y264" s="277"/>
      <c r="Z264" s="118">
        <v>19990.05</v>
      </c>
      <c r="AA264" s="75"/>
      <c r="AB264" s="75"/>
      <c r="AC264" s="75"/>
      <c r="AD264" s="40" t="s">
        <v>201</v>
      </c>
      <c r="AE264" s="180">
        <f>SUM(Tabelle1[[#This Row],[bis Ende 2010
CHF inkl. MWST]:[Aufgelaufene Kosten 2022
CHF inkl. MWST]])</f>
        <v>0</v>
      </c>
      <c r="AF264" s="313">
        <f>Tabelle1[[#This Row],[Summe Vertrag
CHF inkl. MWST]]-Tabelle1[[#This Row],[Total Rechnungen]]</f>
        <v>28590.041999999998</v>
      </c>
      <c r="AG264" s="192">
        <f>Tabelle1[[#This Row],[Total Rechnungen]]+Tabelle1[[#This Row],[Restbudget Vertrag]]</f>
        <v>28590.041999999998</v>
      </c>
    </row>
    <row r="265" spans="1:33" s="2" customFormat="1" ht="12.6" customHeight="1" x14ac:dyDescent="0.15">
      <c r="A265" s="39" t="s">
        <v>724</v>
      </c>
      <c r="B265" s="338">
        <v>1355029220</v>
      </c>
      <c r="C265" s="39" t="s">
        <v>351</v>
      </c>
      <c r="D265" s="40" t="s">
        <v>388</v>
      </c>
      <c r="E265" s="73" t="s">
        <v>341</v>
      </c>
      <c r="F265" s="240">
        <v>236806.88</v>
      </c>
      <c r="G265" s="130" t="s">
        <v>28</v>
      </c>
      <c r="H265" s="127" t="s">
        <v>99</v>
      </c>
      <c r="I265" s="231" t="s">
        <v>398</v>
      </c>
      <c r="J265" s="128" t="s">
        <v>480</v>
      </c>
      <c r="K265" s="210"/>
      <c r="L265" s="210"/>
      <c r="M265" s="210"/>
      <c r="N265" s="210"/>
      <c r="O265" s="210"/>
      <c r="P265" s="210"/>
      <c r="Q265" s="210"/>
      <c r="R265" s="210"/>
      <c r="S265" s="210"/>
      <c r="T265" s="75"/>
      <c r="U265" s="75"/>
      <c r="V265" s="75"/>
      <c r="W265" s="131"/>
      <c r="X265" s="131"/>
      <c r="Y265" s="118"/>
      <c r="Z265" s="118">
        <v>100000</v>
      </c>
      <c r="AA265" s="118">
        <v>140000</v>
      </c>
      <c r="AB265" s="75"/>
      <c r="AC265" s="75"/>
      <c r="AD265" s="40" t="s">
        <v>346</v>
      </c>
      <c r="AE265" s="180">
        <f>SUM(Tabelle1[[#This Row],[bis Ende 2010
CHF inkl. MWST]:[Aufgelaufene Kosten 2022
CHF inkl. MWST]])</f>
        <v>0</v>
      </c>
      <c r="AF265" s="212">
        <f>Tabelle1[[#This Row],[Summe Vertrag
CHF inkl. MWST]]-Tabelle1[[#This Row],[Total Rechnungen]]</f>
        <v>236806.88</v>
      </c>
      <c r="AG265" s="192">
        <f>Tabelle1[[#This Row],[Total Rechnungen]]+Tabelle1[[#This Row],[Restbudget Vertrag]]</f>
        <v>236806.88</v>
      </c>
    </row>
    <row r="266" spans="1:33" s="2" customFormat="1" ht="12.6" customHeight="1" x14ac:dyDescent="0.15">
      <c r="A266" s="39" t="s">
        <v>725</v>
      </c>
      <c r="B266" s="338">
        <v>1355029223</v>
      </c>
      <c r="C266" s="39" t="s">
        <v>351</v>
      </c>
      <c r="D266" s="40" t="s">
        <v>749</v>
      </c>
      <c r="E266" s="40" t="s">
        <v>250</v>
      </c>
      <c r="F266" s="216">
        <v>445268.2</v>
      </c>
      <c r="G266" s="130" t="s">
        <v>28</v>
      </c>
      <c r="H266" s="127" t="s">
        <v>99</v>
      </c>
      <c r="I266" s="231" t="s">
        <v>398</v>
      </c>
      <c r="J266" s="128" t="s">
        <v>480</v>
      </c>
      <c r="K266" s="137"/>
      <c r="L266" s="137"/>
      <c r="M266" s="137"/>
      <c r="N266" s="137"/>
      <c r="O266" s="137"/>
      <c r="P266" s="137"/>
      <c r="Q266" s="137"/>
      <c r="R266" s="138"/>
      <c r="S266" s="138"/>
      <c r="T266" s="138"/>
      <c r="U266" s="138"/>
      <c r="V266" s="138"/>
      <c r="W266" s="138"/>
      <c r="X266" s="138"/>
      <c r="Y266" s="193"/>
      <c r="Z266" s="193">
        <v>200000</v>
      </c>
      <c r="AA266" s="193">
        <v>250000</v>
      </c>
      <c r="AB266" s="138"/>
      <c r="AC266" s="138"/>
      <c r="AD266" s="40" t="s">
        <v>346</v>
      </c>
      <c r="AE266" s="180">
        <f>SUM(Tabelle1[[#This Row],[bis Ende 2010
CHF inkl. MWST]:[Aufgelaufene Kosten 2022
CHF inkl. MWST]])</f>
        <v>0</v>
      </c>
      <c r="AF266" s="180">
        <f>Tabelle1[[#This Row],[Summe Vertrag
CHF inkl. MWST]]-Tabelle1[[#This Row],[Total Rechnungen]]</f>
        <v>445268.2</v>
      </c>
      <c r="AG266" s="192">
        <f>Tabelle1[[#This Row],[Total Rechnungen]]+Tabelle1[[#This Row],[Restbudget Vertrag]]</f>
        <v>445268.2</v>
      </c>
    </row>
    <row r="267" spans="1:33" s="2" customFormat="1" ht="12.6" customHeight="1" x14ac:dyDescent="0.15">
      <c r="A267" s="39" t="s">
        <v>726</v>
      </c>
      <c r="B267" s="338">
        <v>1355029224</v>
      </c>
      <c r="C267" s="39" t="s">
        <v>351</v>
      </c>
      <c r="D267" s="40" t="s">
        <v>391</v>
      </c>
      <c r="E267" s="40" t="s">
        <v>242</v>
      </c>
      <c r="F267" s="39">
        <v>284182.59999999998</v>
      </c>
      <c r="G267" s="130" t="s">
        <v>28</v>
      </c>
      <c r="H267" s="127" t="s">
        <v>99</v>
      </c>
      <c r="I267" s="231" t="s">
        <v>398</v>
      </c>
      <c r="J267" s="128" t="s">
        <v>480</v>
      </c>
      <c r="K267" s="137"/>
      <c r="L267" s="137"/>
      <c r="M267" s="137"/>
      <c r="N267" s="137"/>
      <c r="O267" s="137"/>
      <c r="P267" s="137"/>
      <c r="Q267" s="137"/>
      <c r="R267" s="138"/>
      <c r="S267" s="138"/>
      <c r="T267" s="138"/>
      <c r="U267" s="138"/>
      <c r="V267" s="138"/>
      <c r="W267" s="253"/>
      <c r="X267" s="253"/>
      <c r="Y267" s="193"/>
      <c r="Z267" s="193">
        <v>150000</v>
      </c>
      <c r="AA267" s="193">
        <v>140000</v>
      </c>
      <c r="AB267" s="138"/>
      <c r="AC267" s="138"/>
      <c r="AD267" s="40" t="s">
        <v>346</v>
      </c>
      <c r="AE267" s="180">
        <f>SUM(Tabelle1[[#This Row],[bis Ende 2010
CHF inkl. MWST]:[Aufgelaufene Kosten 2022
CHF inkl. MWST]])</f>
        <v>0</v>
      </c>
      <c r="AF267" s="180">
        <f>Tabelle1[[#This Row],[Summe Vertrag
CHF inkl. MWST]]-Tabelle1[[#This Row],[Total Rechnungen]]</f>
        <v>284182.59999999998</v>
      </c>
      <c r="AG267" s="192">
        <f>Tabelle1[[#This Row],[Total Rechnungen]]+Tabelle1[[#This Row],[Restbudget Vertrag]]</f>
        <v>284182.59999999998</v>
      </c>
    </row>
    <row r="268" spans="1:33" s="2" customFormat="1" ht="12.6" customHeight="1" x14ac:dyDescent="0.15">
      <c r="A268" s="23" t="s">
        <v>727</v>
      </c>
      <c r="B268" s="339">
        <v>1355029278</v>
      </c>
      <c r="C268" s="23" t="s">
        <v>563</v>
      </c>
      <c r="D268" s="9" t="s">
        <v>511</v>
      </c>
      <c r="E268" s="9" t="s">
        <v>512</v>
      </c>
      <c r="F268" s="23">
        <f>21300*1.077</f>
        <v>22940.1</v>
      </c>
      <c r="G268" s="9" t="s">
        <v>27</v>
      </c>
      <c r="H268" s="13" t="s">
        <v>101</v>
      </c>
      <c r="I268" s="35" t="s">
        <v>397</v>
      </c>
      <c r="J268" s="35" t="s">
        <v>477</v>
      </c>
      <c r="K268" s="30"/>
      <c r="L268" s="30"/>
      <c r="M268" s="30"/>
      <c r="N268" s="30"/>
      <c r="O268" s="30"/>
      <c r="P268" s="30"/>
      <c r="Q268" s="30"/>
      <c r="R268" s="75"/>
      <c r="S268" s="75"/>
      <c r="T268" s="75"/>
      <c r="U268" s="75"/>
      <c r="V268" s="75"/>
      <c r="W268" s="100">
        <f>22174.6+759.8</f>
        <v>22934.399999999998</v>
      </c>
      <c r="X268" s="131"/>
      <c r="Y268" s="131"/>
      <c r="Z268" s="190"/>
      <c r="AA268" s="75"/>
      <c r="AB268" s="75"/>
      <c r="AC268" s="75"/>
      <c r="AD268" s="114"/>
      <c r="AE268" s="181">
        <f>SUM(Tabelle1[[#This Row],[bis Ende 2010
CHF inkl. MWST]:[Aufgelaufene Kosten 2022
CHF inkl. MWST]])</f>
        <v>22934.399999999998</v>
      </c>
      <c r="AF268" s="393"/>
      <c r="AG268" s="222">
        <f>Tabelle1[[#This Row],[Total Rechnungen]]+Tabelle1[[#This Row],[Restbudget Vertrag]]</f>
        <v>22934.399999999998</v>
      </c>
    </row>
    <row r="269" spans="1:33" s="2" customFormat="1" ht="12.6" customHeight="1" x14ac:dyDescent="0.15">
      <c r="A269" s="172" t="s">
        <v>728</v>
      </c>
      <c r="B269" s="341">
        <v>1355050856</v>
      </c>
      <c r="C269" s="179" t="s">
        <v>563</v>
      </c>
      <c r="D269" s="171" t="s">
        <v>569</v>
      </c>
      <c r="E269" s="171" t="s">
        <v>570</v>
      </c>
      <c r="F269" s="172">
        <v>24309.25</v>
      </c>
      <c r="G269" s="175" t="s">
        <v>28</v>
      </c>
      <c r="H269" s="245" t="s">
        <v>99</v>
      </c>
      <c r="I269" s="363" t="s">
        <v>398</v>
      </c>
      <c r="J269" s="178" t="s">
        <v>480</v>
      </c>
      <c r="K269" s="30"/>
      <c r="L269" s="30"/>
      <c r="M269" s="30"/>
      <c r="N269" s="30"/>
      <c r="O269" s="30"/>
      <c r="P269" s="30"/>
      <c r="Q269" s="30"/>
      <c r="R269" s="75"/>
      <c r="S269" s="75"/>
      <c r="T269" s="75"/>
      <c r="U269" s="75"/>
      <c r="V269" s="75"/>
      <c r="W269" s="75"/>
      <c r="X269" s="75"/>
      <c r="Y269" s="277"/>
      <c r="Z269" s="118">
        <v>24000</v>
      </c>
      <c r="AA269" s="75"/>
      <c r="AB269" s="75"/>
      <c r="AC269" s="75"/>
      <c r="AD269" s="40" t="s">
        <v>346</v>
      </c>
      <c r="AE269" s="180">
        <f>SUM(Tabelle1[[#This Row],[bis Ende 2010
CHF inkl. MWST]:[Aufgelaufene Kosten 2022
CHF inkl. MWST]])</f>
        <v>0</v>
      </c>
      <c r="AF269" s="356">
        <f>Tabelle1[[#This Row],[Summe Vertrag
CHF inkl. MWST]]-Tabelle1[[#This Row],[Total Rechnungen]]</f>
        <v>24309.25</v>
      </c>
      <c r="AG269" s="192">
        <f>Tabelle1[[#This Row],[Total Rechnungen]]+Tabelle1[[#This Row],[Restbudget Vertrag]]</f>
        <v>24309.25</v>
      </c>
    </row>
    <row r="270" spans="1:33" s="2" customFormat="1" ht="12.6" customHeight="1" x14ac:dyDescent="0.15">
      <c r="A270" s="172" t="s">
        <v>730</v>
      </c>
      <c r="B270" s="364">
        <v>1355050923</v>
      </c>
      <c r="C270" s="172" t="s">
        <v>563</v>
      </c>
      <c r="D270" s="171" t="s">
        <v>572</v>
      </c>
      <c r="E270" s="171" t="s">
        <v>249</v>
      </c>
      <c r="F270" s="172">
        <f>201186*1.077</f>
        <v>216677.32199999999</v>
      </c>
      <c r="G270" s="175" t="s">
        <v>28</v>
      </c>
      <c r="H270" s="245" t="s">
        <v>99</v>
      </c>
      <c r="I270" s="177" t="s">
        <v>398</v>
      </c>
      <c r="J270" s="178" t="s">
        <v>480</v>
      </c>
      <c r="K270" s="137"/>
      <c r="L270" s="137"/>
      <c r="M270" s="137"/>
      <c r="N270" s="137"/>
      <c r="O270" s="137"/>
      <c r="P270" s="137"/>
      <c r="Q270" s="137"/>
      <c r="R270" s="138"/>
      <c r="S270" s="138"/>
      <c r="T270" s="138"/>
      <c r="U270" s="138"/>
      <c r="V270" s="267"/>
      <c r="W270" s="193"/>
      <c r="X270" s="193">
        <v>60000</v>
      </c>
      <c r="Y270" s="281"/>
      <c r="Z270" s="193">
        <v>80000</v>
      </c>
      <c r="AA270" s="193">
        <v>60000</v>
      </c>
      <c r="AB270" s="193">
        <v>20000</v>
      </c>
      <c r="AC270" s="138"/>
      <c r="AD270" s="40" t="s">
        <v>346</v>
      </c>
      <c r="AE270" s="180">
        <f>SUM(Tabelle1[[#This Row],[bis Ende 2010
CHF inkl. MWST]:[Aufgelaufene Kosten 2022
CHF inkl. MWST]])</f>
        <v>0</v>
      </c>
      <c r="AF270" s="180">
        <f>Tabelle1[[#This Row],[Summe Vertrag
CHF inkl. MWST]]-Tabelle1[[#This Row],[Total Rechnungen]]</f>
        <v>216677.32199999999</v>
      </c>
      <c r="AG270" s="192">
        <f>Tabelle1[[#This Row],[Total Rechnungen]]+Tabelle1[[#This Row],[Restbudget Vertrag]]</f>
        <v>216677.32199999999</v>
      </c>
    </row>
    <row r="271" spans="1:33" s="2" customFormat="1" ht="12.6" customHeight="1" x14ac:dyDescent="0.15">
      <c r="A271" s="172" t="s">
        <v>741</v>
      </c>
      <c r="B271" s="341">
        <v>1355051323</v>
      </c>
      <c r="C271" s="179" t="s">
        <v>563</v>
      </c>
      <c r="D271" s="171" t="s">
        <v>742</v>
      </c>
      <c r="E271" s="171" t="s">
        <v>571</v>
      </c>
      <c r="F271" s="172">
        <v>10568.1</v>
      </c>
      <c r="G271" s="175" t="s">
        <v>28</v>
      </c>
      <c r="H271" s="245" t="s">
        <v>99</v>
      </c>
      <c r="I271" s="177" t="s">
        <v>398</v>
      </c>
      <c r="J271" s="178" t="s">
        <v>480</v>
      </c>
      <c r="K271" s="30"/>
      <c r="L271" s="30"/>
      <c r="M271" s="30"/>
      <c r="N271" s="30"/>
      <c r="O271" s="30"/>
      <c r="P271" s="30"/>
      <c r="Q271" s="30"/>
      <c r="R271" s="75"/>
      <c r="S271" s="75"/>
      <c r="T271" s="75"/>
      <c r="U271" s="75"/>
      <c r="V271" s="75"/>
      <c r="W271" s="75"/>
      <c r="X271" s="75"/>
      <c r="Y271" s="277"/>
      <c r="Z271" s="118">
        <v>10568.1</v>
      </c>
      <c r="AA271" s="75"/>
      <c r="AB271" s="75"/>
      <c r="AC271" s="75"/>
      <c r="AD271" s="40" t="s">
        <v>346</v>
      </c>
      <c r="AE271" s="180">
        <f>SUM(Tabelle1[[#This Row],[bis Ende 2010
CHF inkl. MWST]:[Aufgelaufene Kosten 2022
CHF inkl. MWST]])</f>
        <v>0</v>
      </c>
      <c r="AF271" s="356">
        <f>Tabelle1[[#This Row],[Summe Vertrag
CHF inkl. MWST]]-Tabelle1[[#This Row],[Total Rechnungen]]</f>
        <v>10568.1</v>
      </c>
      <c r="AG271" s="192">
        <f>Tabelle1[[#This Row],[Total Rechnungen]]+Tabelle1[[#This Row],[Restbudget Vertrag]]</f>
        <v>10568.1</v>
      </c>
    </row>
    <row r="272" spans="1:33" s="2" customFormat="1" ht="12.6" customHeight="1" x14ac:dyDescent="0.15">
      <c r="A272" s="172" t="s">
        <v>746</v>
      </c>
      <c r="B272" s="39"/>
      <c r="C272" s="172" t="s">
        <v>350</v>
      </c>
      <c r="D272" s="175" t="s">
        <v>381</v>
      </c>
      <c r="E272" s="175" t="s">
        <v>263</v>
      </c>
      <c r="F272" s="179">
        <v>9262.2000000000007</v>
      </c>
      <c r="G272" s="175" t="s">
        <v>28</v>
      </c>
      <c r="H272" s="176" t="s">
        <v>98</v>
      </c>
      <c r="I272" s="178" t="s">
        <v>397</v>
      </c>
      <c r="J272" s="56" t="s">
        <v>475</v>
      </c>
      <c r="K272" s="75"/>
      <c r="L272" s="75"/>
      <c r="M272" s="75"/>
      <c r="N272" s="75"/>
      <c r="O272" s="75"/>
      <c r="P272" s="75"/>
      <c r="Q272" s="75"/>
      <c r="R272" s="75"/>
      <c r="S272" s="131"/>
      <c r="T272" s="131"/>
      <c r="U272" s="131"/>
      <c r="V272" s="131"/>
      <c r="W272" s="179">
        <v>2288.65</v>
      </c>
      <c r="X272" s="131"/>
      <c r="Y272" s="277"/>
      <c r="Z272" s="118">
        <v>5000</v>
      </c>
      <c r="AA272" s="131"/>
      <c r="AB272" s="131"/>
      <c r="AC272" s="131"/>
      <c r="AD272" s="40" t="s">
        <v>201</v>
      </c>
      <c r="AE272" s="180">
        <f>SUM(Tabelle1[[#This Row],[bis Ende 2010
CHF inkl. MWST]:[Aufgelaufene Kosten 2022
CHF inkl. MWST]])</f>
        <v>2288.65</v>
      </c>
      <c r="AF272" s="180">
        <f>Tabelle1[[#This Row],[Summe Vertrag
CHF inkl. MWST]]-Tabelle1[[#This Row],[Total Rechnungen]]</f>
        <v>6973.5500000000011</v>
      </c>
      <c r="AG272" s="192">
        <f>Tabelle1[[#This Row],[Total Rechnungen]]+Tabelle1[[#This Row],[Restbudget Vertrag]]</f>
        <v>9262.2000000000007</v>
      </c>
    </row>
    <row r="273" spans="1:33" s="2" customFormat="1" ht="12.6" customHeight="1" x14ac:dyDescent="0.15">
      <c r="A273" s="39"/>
      <c r="B273" s="39"/>
      <c r="C273" s="216" t="s">
        <v>351</v>
      </c>
      <c r="D273" s="150" t="s">
        <v>16</v>
      </c>
      <c r="E273" s="150" t="s">
        <v>731</v>
      </c>
      <c r="F273" s="216">
        <f>992753.65*1.077</f>
        <v>1069195.68105</v>
      </c>
      <c r="G273" s="150" t="s">
        <v>28</v>
      </c>
      <c r="H273" s="151" t="s">
        <v>100</v>
      </c>
      <c r="I273" s="231" t="s">
        <v>398</v>
      </c>
      <c r="J273" s="128" t="s">
        <v>475</v>
      </c>
      <c r="K273" s="352"/>
      <c r="L273" s="352"/>
      <c r="M273" s="352"/>
      <c r="N273" s="352"/>
      <c r="O273" s="352"/>
      <c r="P273" s="352"/>
      <c r="Q273" s="352"/>
      <c r="R273" s="353"/>
      <c r="S273" s="353"/>
      <c r="T273" s="75"/>
      <c r="U273" s="75"/>
      <c r="V273" s="75"/>
      <c r="W273" s="75"/>
      <c r="X273" s="75"/>
      <c r="Y273" s="118"/>
      <c r="Z273" s="118">
        <f>Tabelle1[[#This Row],[Summe Vertrag
CHF inkl. MWST]]</f>
        <v>1069195.68105</v>
      </c>
      <c r="AA273" s="75"/>
      <c r="AB273" s="75"/>
      <c r="AC273" s="75"/>
      <c r="AD273" s="40" t="s">
        <v>201</v>
      </c>
      <c r="AE273" s="180">
        <f>SUM(Tabelle1[[#This Row],[bis Ende 2010
CHF inkl. MWST]:[Aufgelaufene Kosten 2022
CHF inkl. MWST]])</f>
        <v>0</v>
      </c>
      <c r="AF273" s="365">
        <f>Tabelle1[[#This Row],[Summe Vertrag
CHF inkl. MWST]]-Tabelle1[[#This Row],[Total Rechnungen]]</f>
        <v>1069195.68105</v>
      </c>
      <c r="AG273" s="192">
        <f>Tabelle1[[#This Row],[Total Rechnungen]]+Tabelle1[[#This Row],[Restbudget Vertrag]]</f>
        <v>1069195.68105</v>
      </c>
    </row>
    <row r="274" spans="1:33" s="2" customFormat="1" ht="12.6" customHeight="1" x14ac:dyDescent="0.15">
      <c r="A274" s="39" t="s">
        <v>315</v>
      </c>
      <c r="B274" s="39"/>
      <c r="C274" s="39" t="s">
        <v>351</v>
      </c>
      <c r="D274" s="40" t="s">
        <v>388</v>
      </c>
      <c r="E274" s="150" t="s">
        <v>336</v>
      </c>
      <c r="F274" s="39">
        <v>50000</v>
      </c>
      <c r="G274" s="150" t="s">
        <v>28</v>
      </c>
      <c r="H274" s="151" t="s">
        <v>99</v>
      </c>
      <c r="I274" s="231" t="s">
        <v>398</v>
      </c>
      <c r="J274" s="128" t="s">
        <v>480</v>
      </c>
      <c r="K274" s="30"/>
      <c r="L274" s="30"/>
      <c r="M274" s="30"/>
      <c r="N274" s="30"/>
      <c r="O274" s="30"/>
      <c r="P274" s="30"/>
      <c r="Q274" s="30"/>
      <c r="R274" s="75"/>
      <c r="S274" s="75"/>
      <c r="T274" s="75"/>
      <c r="U274" s="75"/>
      <c r="V274" s="75"/>
      <c r="W274" s="131"/>
      <c r="X274" s="131"/>
      <c r="Y274" s="118"/>
      <c r="Z274" s="118">
        <v>50000</v>
      </c>
      <c r="AA274" s="75"/>
      <c r="AB274" s="75"/>
      <c r="AC274" s="75"/>
      <c r="AD274" s="40" t="s">
        <v>346</v>
      </c>
      <c r="AE274" s="180">
        <f>SUM(Tabelle1[[#This Row],[bis Ende 2010
CHF inkl. MWST]:[Aufgelaufene Kosten 2022
CHF inkl. MWST]])</f>
        <v>0</v>
      </c>
      <c r="AF274" s="180">
        <f>Tabelle1[[#This Row],[Summe Vertrag
CHF inkl. MWST]]-Tabelle1[[#This Row],[Total Rechnungen]]</f>
        <v>50000</v>
      </c>
      <c r="AG274" s="192">
        <f>Tabelle1[[#This Row],[Total Rechnungen]]+Tabelle1[[#This Row],[Restbudget Vertrag]]</f>
        <v>50000</v>
      </c>
    </row>
    <row r="275" spans="1:33" s="2" customFormat="1" ht="12.6" customHeight="1" x14ac:dyDescent="0.15">
      <c r="A275" s="72" t="s">
        <v>405</v>
      </c>
      <c r="B275" s="72"/>
      <c r="C275" s="39" t="s">
        <v>351</v>
      </c>
      <c r="D275" s="73" t="s">
        <v>343</v>
      </c>
      <c r="E275" s="73" t="s">
        <v>402</v>
      </c>
      <c r="F275" s="72">
        <v>80000</v>
      </c>
      <c r="G275" s="73" t="s">
        <v>29</v>
      </c>
      <c r="H275" s="41" t="s">
        <v>102</v>
      </c>
      <c r="I275" s="42" t="s">
        <v>398</v>
      </c>
      <c r="J275" s="42" t="s">
        <v>352</v>
      </c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131"/>
      <c r="W275" s="131"/>
      <c r="X275" s="131"/>
      <c r="Y275" s="118"/>
      <c r="Z275" s="118">
        <v>80000</v>
      </c>
      <c r="AA275" s="131"/>
      <c r="AB275" s="131"/>
      <c r="AC275" s="131"/>
      <c r="AD275" s="40" t="s">
        <v>201</v>
      </c>
      <c r="AE275" s="180">
        <f>SUM(Tabelle1[[#This Row],[bis Ende 2010
CHF inkl. MWST]:[Aufgelaufene Kosten 2022
CHF inkl. MWST]])</f>
        <v>0</v>
      </c>
      <c r="AF275" s="180">
        <f>Tabelle1[[#This Row],[Summe Vertrag
CHF inkl. MWST]]-Tabelle1[[#This Row],[Total Rechnungen]]</f>
        <v>80000</v>
      </c>
      <c r="AG275" s="192">
        <f>Tabelle1[[#This Row],[Total Rechnungen]]+Tabelle1[[#This Row],[Restbudget Vertrag]]</f>
        <v>80000</v>
      </c>
    </row>
    <row r="276" spans="1:33" s="2" customFormat="1" ht="12.6" customHeight="1" x14ac:dyDescent="0.15">
      <c r="A276" s="39" t="s">
        <v>407</v>
      </c>
      <c r="B276" s="39"/>
      <c r="C276" s="172" t="s">
        <v>350</v>
      </c>
      <c r="D276" s="171" t="s">
        <v>378</v>
      </c>
      <c r="E276" s="171" t="s">
        <v>379</v>
      </c>
      <c r="F276" s="172">
        <v>4695.7</v>
      </c>
      <c r="G276" s="171" t="s">
        <v>28</v>
      </c>
      <c r="H276" s="176" t="s">
        <v>97</v>
      </c>
      <c r="I276" s="177" t="s">
        <v>397</v>
      </c>
      <c r="J276" s="178" t="s">
        <v>479</v>
      </c>
      <c r="K276" s="30"/>
      <c r="L276" s="30"/>
      <c r="M276" s="30"/>
      <c r="N276" s="30"/>
      <c r="O276" s="30"/>
      <c r="P276" s="30"/>
      <c r="Q276" s="30"/>
      <c r="R276" s="75"/>
      <c r="S276" s="75"/>
      <c r="T276" s="75"/>
      <c r="U276" s="75"/>
      <c r="V276" s="75"/>
      <c r="W276" s="131"/>
      <c r="X276" s="131"/>
      <c r="Y276" s="277"/>
      <c r="Z276" s="118">
        <v>5000</v>
      </c>
      <c r="AA276" s="75"/>
      <c r="AB276" s="75"/>
      <c r="AC276" s="75"/>
      <c r="AD276" s="40" t="s">
        <v>201</v>
      </c>
      <c r="AE276" s="180">
        <f>SUM(Tabelle1[[#This Row],[bis Ende 2010
CHF inkl. MWST]:[Aufgelaufene Kosten 2022
CHF inkl. MWST]])</f>
        <v>0</v>
      </c>
      <c r="AF276" s="254">
        <f>Tabelle1[[#This Row],[Summe Vertrag
CHF inkl. MWST]]-Tabelle1[[#This Row],[Total Rechnungen]]</f>
        <v>4695.7</v>
      </c>
      <c r="AG276" s="192">
        <f>Tabelle1[[#This Row],[Total Rechnungen]]+Tabelle1[[#This Row],[Restbudget Vertrag]]</f>
        <v>4695.7</v>
      </c>
    </row>
    <row r="277" spans="1:33" s="2" customFormat="1" ht="12.6" customHeight="1" x14ac:dyDescent="0.15">
      <c r="A277" s="39"/>
      <c r="B277" s="39"/>
      <c r="C277" s="39" t="s">
        <v>351</v>
      </c>
      <c r="D277" s="40" t="s">
        <v>236</v>
      </c>
      <c r="E277" s="40" t="s">
        <v>515</v>
      </c>
      <c r="F277" s="39">
        <v>50000</v>
      </c>
      <c r="G277" s="40" t="s">
        <v>28</v>
      </c>
      <c r="H277" s="41" t="s">
        <v>101</v>
      </c>
      <c r="I277" s="42" t="s">
        <v>398</v>
      </c>
      <c r="J277" s="42"/>
      <c r="K277" s="295"/>
      <c r="L277" s="295"/>
      <c r="M277" s="295"/>
      <c r="N277" s="295"/>
      <c r="O277" s="295"/>
      <c r="P277" s="295"/>
      <c r="Q277" s="295"/>
      <c r="R277" s="296"/>
      <c r="S277" s="296"/>
      <c r="T277" s="75"/>
      <c r="U277" s="75"/>
      <c r="V277" s="75"/>
      <c r="W277" s="75"/>
      <c r="X277" s="75"/>
      <c r="Y277" s="75"/>
      <c r="Z277" s="75"/>
      <c r="AA277" s="72">
        <v>25000</v>
      </c>
      <c r="AB277" s="72">
        <v>25000</v>
      </c>
      <c r="AC277" s="75"/>
      <c r="AD277" s="40" t="s">
        <v>201</v>
      </c>
      <c r="AE277" s="180">
        <f>SUM(Tabelle1[[#This Row],[bis Ende 2010
CHF inkl. MWST]:[Aufgelaufene Kosten 2022
CHF inkl. MWST]])</f>
        <v>0</v>
      </c>
      <c r="AF277" s="340">
        <f>Tabelle1[[#This Row],[Summe Vertrag
CHF inkl. MWST]]-Tabelle1[[#This Row],[Total Rechnungen]]</f>
        <v>50000</v>
      </c>
      <c r="AG277" s="192">
        <f>Tabelle1[[#This Row],[Total Rechnungen]]+Tabelle1[[#This Row],[Restbudget Vertrag]]</f>
        <v>50000</v>
      </c>
    </row>
    <row r="278" spans="1:33" s="2" customFormat="1" ht="12.6" customHeight="1" x14ac:dyDescent="0.15">
      <c r="A278" s="39"/>
      <c r="B278" s="39"/>
      <c r="C278" s="39" t="s">
        <v>351</v>
      </c>
      <c r="D278" s="40" t="s">
        <v>513</v>
      </c>
      <c r="E278" s="40" t="s">
        <v>514</v>
      </c>
      <c r="F278" s="39">
        <v>250000</v>
      </c>
      <c r="G278" s="40" t="s">
        <v>28</v>
      </c>
      <c r="H278" s="41" t="s">
        <v>101</v>
      </c>
      <c r="I278" s="42" t="s">
        <v>398</v>
      </c>
      <c r="J278" s="42"/>
      <c r="K278" s="295"/>
      <c r="L278" s="295"/>
      <c r="M278" s="295"/>
      <c r="N278" s="295"/>
      <c r="O278" s="295"/>
      <c r="P278" s="295"/>
      <c r="Q278" s="295"/>
      <c r="R278" s="296"/>
      <c r="S278" s="296"/>
      <c r="T278" s="75"/>
      <c r="U278" s="75"/>
      <c r="V278" s="75"/>
      <c r="W278" s="75"/>
      <c r="X278" s="75"/>
      <c r="Y278" s="75"/>
      <c r="Z278" s="75"/>
      <c r="AA278" s="72">
        <v>125000</v>
      </c>
      <c r="AB278" s="72">
        <v>125000</v>
      </c>
      <c r="AC278" s="75"/>
      <c r="AD278" s="40" t="s">
        <v>201</v>
      </c>
      <c r="AE278" s="180">
        <f>SUM(Tabelle1[[#This Row],[bis Ende 2010
CHF inkl. MWST]:[Aufgelaufene Kosten 2022
CHF inkl. MWST]])</f>
        <v>0</v>
      </c>
      <c r="AF278" s="340">
        <f>Tabelle1[[#This Row],[Summe Vertrag
CHF inkl. MWST]]-Tabelle1[[#This Row],[Total Rechnungen]]</f>
        <v>250000</v>
      </c>
      <c r="AG278" s="192">
        <f>Tabelle1[[#This Row],[Total Rechnungen]]+Tabelle1[[#This Row],[Restbudget Vertrag]]</f>
        <v>250000</v>
      </c>
    </row>
    <row r="279" spans="1:33" s="2" customFormat="1" ht="12.6" customHeight="1" x14ac:dyDescent="0.15">
      <c r="A279" s="39"/>
      <c r="B279" s="39"/>
      <c r="C279" s="39" t="s">
        <v>351</v>
      </c>
      <c r="D279" s="40" t="s">
        <v>517</v>
      </c>
      <c r="E279" s="40" t="s">
        <v>516</v>
      </c>
      <c r="F279" s="39">
        <v>220000</v>
      </c>
      <c r="G279" s="40" t="s">
        <v>28</v>
      </c>
      <c r="H279" s="41" t="s">
        <v>101</v>
      </c>
      <c r="I279" s="42" t="s">
        <v>398</v>
      </c>
      <c r="J279" s="42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195">
        <v>110000</v>
      </c>
      <c r="AB279" s="195">
        <v>110000</v>
      </c>
      <c r="AC279" s="30"/>
      <c r="AD279" s="40" t="s">
        <v>201</v>
      </c>
      <c r="AE279" s="180">
        <f>SUM(Tabelle1[[#This Row],[bis Ende 2010
CHF inkl. MWST]:[Aufgelaufene Kosten 2022
CHF inkl. MWST]])</f>
        <v>0</v>
      </c>
      <c r="AF279" s="180">
        <f>Tabelle1[[#This Row],[Summe Vertrag
CHF inkl. MWST]]-Tabelle1[[#This Row],[Total Rechnungen]]</f>
        <v>220000</v>
      </c>
      <c r="AG279" s="192">
        <f>Tabelle1[[#This Row],[Total Rechnungen]]+Tabelle1[[#This Row],[Restbudget Vertrag]]</f>
        <v>220000</v>
      </c>
    </row>
    <row r="280" spans="1:33" s="2" customFormat="1" ht="12.6" customHeight="1" x14ac:dyDescent="0.15">
      <c r="A280" s="39"/>
      <c r="B280" s="39"/>
      <c r="C280" s="72" t="s">
        <v>351</v>
      </c>
      <c r="D280" s="40" t="s">
        <v>733</v>
      </c>
      <c r="E280" s="40" t="s">
        <v>526</v>
      </c>
      <c r="F280" s="349">
        <f>20000+18000</f>
        <v>38000</v>
      </c>
      <c r="G280" s="40" t="s">
        <v>28</v>
      </c>
      <c r="H280" s="350"/>
      <c r="I280" s="42" t="s">
        <v>397</v>
      </c>
      <c r="J280" s="351"/>
      <c r="K280" s="352"/>
      <c r="L280" s="352"/>
      <c r="M280" s="352"/>
      <c r="N280" s="352"/>
      <c r="O280" s="352"/>
      <c r="P280" s="352"/>
      <c r="Q280" s="352"/>
      <c r="R280" s="353"/>
      <c r="S280" s="353"/>
      <c r="T280" s="75"/>
      <c r="U280" s="75"/>
      <c r="V280" s="75"/>
      <c r="W280" s="75"/>
      <c r="X280" s="75"/>
      <c r="Y280" s="118"/>
      <c r="Z280" s="118">
        <v>38000</v>
      </c>
      <c r="AA280" s="75"/>
      <c r="AB280" s="75"/>
      <c r="AC280" s="75"/>
      <c r="AD280" s="40" t="s">
        <v>201</v>
      </c>
      <c r="AE280" s="180">
        <f>SUM(Tabelle1[[#This Row],[bis Ende 2010
CHF inkl. MWST]:[Aufgelaufene Kosten 2022
CHF inkl. MWST]])</f>
        <v>0</v>
      </c>
      <c r="AF280" s="354">
        <f>Tabelle1[[#This Row],[Summe Vertrag
CHF inkl. MWST]]-Tabelle1[[#This Row],[Total Rechnungen]]</f>
        <v>38000</v>
      </c>
      <c r="AG280" s="192">
        <f>Tabelle1[[#This Row],[Total Rechnungen]]+Tabelle1[[#This Row],[Restbudget Vertrag]]</f>
        <v>38000</v>
      </c>
    </row>
    <row r="281" spans="1:33" s="2" customFormat="1" ht="12.6" customHeight="1" x14ac:dyDescent="0.15">
      <c r="A281" s="39"/>
      <c r="B281" s="39"/>
      <c r="C281" s="39" t="s">
        <v>351</v>
      </c>
      <c r="D281" s="40" t="s">
        <v>370</v>
      </c>
      <c r="E281" s="40" t="s">
        <v>237</v>
      </c>
      <c r="F281" s="39">
        <v>25000</v>
      </c>
      <c r="G281" s="40" t="s">
        <v>28</v>
      </c>
      <c r="H281" s="41" t="s">
        <v>101</v>
      </c>
      <c r="I281" s="42" t="s">
        <v>398</v>
      </c>
      <c r="J281" s="42" t="s">
        <v>485</v>
      </c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195">
        <v>12500</v>
      </c>
      <c r="AB281" s="195">
        <v>12500</v>
      </c>
      <c r="AC281" s="30"/>
      <c r="AD281" s="40" t="s">
        <v>201</v>
      </c>
      <c r="AE281" s="180">
        <f>SUM(Tabelle1[[#This Row],[bis Ende 2010
CHF inkl. MWST]:[Aufgelaufene Kosten 2022
CHF inkl. MWST]])</f>
        <v>0</v>
      </c>
      <c r="AF281" s="180">
        <f>Tabelle1[[#This Row],[Summe Vertrag
CHF inkl. MWST]]-Tabelle1[[#This Row],[Total Rechnungen]]</f>
        <v>25000</v>
      </c>
      <c r="AG281" s="192">
        <f>Tabelle1[[#This Row],[Total Rechnungen]]+Tabelle1[[#This Row],[Restbudget Vertrag]]</f>
        <v>25000</v>
      </c>
    </row>
    <row r="282" spans="1:33" s="2" customFormat="1" ht="12.6" customHeight="1" x14ac:dyDescent="0.15">
      <c r="A282" s="39"/>
      <c r="B282" s="39"/>
      <c r="C282" s="39" t="s">
        <v>351</v>
      </c>
      <c r="D282" s="40" t="s">
        <v>370</v>
      </c>
      <c r="E282" s="40" t="s">
        <v>518</v>
      </c>
      <c r="F282" s="39">
        <v>65000</v>
      </c>
      <c r="G282" s="40" t="s">
        <v>28</v>
      </c>
      <c r="H282" s="41" t="s">
        <v>101</v>
      </c>
      <c r="I282" s="42" t="s">
        <v>398</v>
      </c>
      <c r="J282" s="74"/>
      <c r="K282" s="30"/>
      <c r="L282" s="30"/>
      <c r="M282" s="30"/>
      <c r="N282" s="30"/>
      <c r="O282" s="30"/>
      <c r="P282" s="30"/>
      <c r="Q282" s="30"/>
      <c r="R282" s="75"/>
      <c r="S282" s="75"/>
      <c r="T282" s="75"/>
      <c r="U282" s="75"/>
      <c r="V282" s="75"/>
      <c r="W282" s="75"/>
      <c r="X282" s="75"/>
      <c r="Y282" s="75"/>
      <c r="Z282" s="75"/>
      <c r="AA282" s="118">
        <v>32500</v>
      </c>
      <c r="AB282" s="118">
        <v>32500</v>
      </c>
      <c r="AC282" s="75"/>
      <c r="AD282" s="40" t="s">
        <v>201</v>
      </c>
      <c r="AE282" s="180">
        <f>SUM(Tabelle1[[#This Row],[bis Ende 2010
CHF inkl. MWST]:[Aufgelaufene Kosten 2022
CHF inkl. MWST]])</f>
        <v>0</v>
      </c>
      <c r="AF282" s="340">
        <f>Tabelle1[[#This Row],[Summe Vertrag
CHF inkl. MWST]]-Tabelle1[[#This Row],[Total Rechnungen]]</f>
        <v>65000</v>
      </c>
      <c r="AG282" s="192">
        <f>Tabelle1[[#This Row],[Total Rechnungen]]+Tabelle1[[#This Row],[Restbudget Vertrag]]</f>
        <v>65000</v>
      </c>
    </row>
    <row r="283" spans="1:33" s="2" customFormat="1" ht="12.6" customHeight="1" x14ac:dyDescent="0.15">
      <c r="A283" s="39"/>
      <c r="B283" s="39"/>
      <c r="C283" s="39" t="s">
        <v>351</v>
      </c>
      <c r="D283" s="40" t="s">
        <v>16</v>
      </c>
      <c r="E283" s="40" t="s">
        <v>732</v>
      </c>
      <c r="F283" s="39">
        <v>1100000</v>
      </c>
      <c r="G283" s="40" t="s">
        <v>28</v>
      </c>
      <c r="H283" s="41" t="s">
        <v>100</v>
      </c>
      <c r="I283" s="42" t="s">
        <v>398</v>
      </c>
      <c r="J283" s="74" t="s">
        <v>475</v>
      </c>
      <c r="K283" s="30"/>
      <c r="L283" s="30"/>
      <c r="M283" s="30"/>
      <c r="N283" s="30"/>
      <c r="O283" s="30"/>
      <c r="P283" s="30"/>
      <c r="Q283" s="30"/>
      <c r="R283" s="75"/>
      <c r="S283" s="75"/>
      <c r="T283" s="75"/>
      <c r="U283" s="75"/>
      <c r="V283" s="75"/>
      <c r="W283" s="75"/>
      <c r="X283" s="75"/>
      <c r="Y283" s="75"/>
      <c r="Z283" s="84"/>
      <c r="AA283" s="195">
        <v>500000</v>
      </c>
      <c r="AB283" s="195">
        <v>500000</v>
      </c>
      <c r="AC283" s="195">
        <v>100000</v>
      </c>
      <c r="AD283" s="40" t="s">
        <v>201</v>
      </c>
      <c r="AE283" s="180">
        <f>SUM(Tabelle1[[#This Row],[bis Ende 2010
CHF inkl. MWST]:[Aufgelaufene Kosten 2022
CHF inkl. MWST]])</f>
        <v>0</v>
      </c>
      <c r="AF283" s="180">
        <f>Tabelle1[[#This Row],[Summe Vertrag
CHF inkl. MWST]]-Tabelle1[[#This Row],[Total Rechnungen]]</f>
        <v>1100000</v>
      </c>
      <c r="AG283" s="192">
        <f>Tabelle1[[#This Row],[Total Rechnungen]]+Tabelle1[[#This Row],[Restbudget Vertrag]]</f>
        <v>1100000</v>
      </c>
    </row>
    <row r="284" spans="1:33" s="2" customFormat="1" ht="12.6" customHeight="1" x14ac:dyDescent="0.15">
      <c r="A284" s="197"/>
      <c r="B284" s="39"/>
      <c r="C284" s="39" t="s">
        <v>351</v>
      </c>
      <c r="D284" s="40" t="s">
        <v>370</v>
      </c>
      <c r="E284" s="40" t="s">
        <v>329</v>
      </c>
      <c r="F284" s="197">
        <v>11900000</v>
      </c>
      <c r="G284" s="150" t="s">
        <v>27</v>
      </c>
      <c r="H284" s="151" t="s">
        <v>101</v>
      </c>
      <c r="I284" s="42" t="s">
        <v>398</v>
      </c>
      <c r="J284" s="128" t="s">
        <v>477</v>
      </c>
      <c r="K284" s="198"/>
      <c r="L284" s="198"/>
      <c r="M284" s="198"/>
      <c r="N284" s="198"/>
      <c r="O284" s="198"/>
      <c r="P284" s="198"/>
      <c r="Q284" s="198"/>
      <c r="R284" s="199"/>
      <c r="S284" s="199"/>
      <c r="T284" s="75"/>
      <c r="U284" s="75"/>
      <c r="V284" s="75"/>
      <c r="W284" s="75"/>
      <c r="X284" s="75"/>
      <c r="Y284" s="75"/>
      <c r="Z284" s="75"/>
      <c r="AA284" s="97"/>
      <c r="AB284" s="118">
        <v>1900000</v>
      </c>
      <c r="AC284" s="118">
        <v>10000000</v>
      </c>
      <c r="AD284" s="40" t="s">
        <v>201</v>
      </c>
      <c r="AE284" s="180">
        <f>SUM(Tabelle1[[#This Row],[bis Ende 2010
CHF inkl. MWST]:[Aufgelaufene Kosten 2022
CHF inkl. MWST]])</f>
        <v>0</v>
      </c>
      <c r="AF284" s="200">
        <f>Tabelle1[[#This Row],[Summe Vertrag
CHF inkl. MWST]]-Tabelle1[[#This Row],[Total Rechnungen]]</f>
        <v>11900000</v>
      </c>
      <c r="AG284" s="192">
        <f>Tabelle1[[#This Row],[Total Rechnungen]]+Tabelle1[[#This Row],[Restbudget Vertrag]]</f>
        <v>11900000</v>
      </c>
    </row>
    <row r="285" spans="1:33" s="2" customFormat="1" ht="12.6" customHeight="1" x14ac:dyDescent="0.15">
      <c r="A285" s="39"/>
      <c r="B285" s="72"/>
      <c r="C285" s="72" t="s">
        <v>351</v>
      </c>
      <c r="D285" s="40" t="s">
        <v>370</v>
      </c>
      <c r="E285" s="40" t="s">
        <v>373</v>
      </c>
      <c r="F285" s="39">
        <v>50000</v>
      </c>
      <c r="G285" s="150" t="s">
        <v>27</v>
      </c>
      <c r="H285" s="151" t="s">
        <v>101</v>
      </c>
      <c r="I285" s="42" t="s">
        <v>399</v>
      </c>
      <c r="J285" s="128" t="s">
        <v>477</v>
      </c>
      <c r="K285" s="30"/>
      <c r="L285" s="30"/>
      <c r="M285" s="30"/>
      <c r="N285" s="30"/>
      <c r="O285" s="30"/>
      <c r="P285" s="30"/>
      <c r="Q285" s="30"/>
      <c r="R285" s="75"/>
      <c r="S285" s="75"/>
      <c r="T285" s="75"/>
      <c r="U285" s="75"/>
      <c r="V285" s="75"/>
      <c r="W285" s="118"/>
      <c r="X285" s="118">
        <v>10000</v>
      </c>
      <c r="Y285" s="118"/>
      <c r="Z285" s="118">
        <v>10000</v>
      </c>
      <c r="AA285" s="118">
        <v>10000</v>
      </c>
      <c r="AB285" s="118">
        <v>10000</v>
      </c>
      <c r="AC285" s="118">
        <v>10000</v>
      </c>
      <c r="AD285" s="40" t="s">
        <v>201</v>
      </c>
      <c r="AE285" s="180">
        <f>SUM(Tabelle1[[#This Row],[bis Ende 2010
CHF inkl. MWST]:[Aufgelaufene Kosten 2022
CHF inkl. MWST]])</f>
        <v>0</v>
      </c>
      <c r="AF285" s="248">
        <f>Tabelle1[[#This Row],[Summe Vertrag
CHF inkl. MWST]]-Tabelle1[[#This Row],[Total Rechnungen]]</f>
        <v>50000</v>
      </c>
      <c r="AG285" s="192">
        <f>Tabelle1[[#This Row],[Total Rechnungen]]+Tabelle1[[#This Row],[Restbudget Vertrag]]</f>
        <v>50000</v>
      </c>
    </row>
    <row r="286" spans="1:33" s="2" customFormat="1" ht="12.6" customHeight="1" x14ac:dyDescent="0.15">
      <c r="A286" s="72" t="s">
        <v>299</v>
      </c>
      <c r="B286" s="72"/>
      <c r="C286" s="39" t="s">
        <v>351</v>
      </c>
      <c r="D286" s="73" t="s">
        <v>436</v>
      </c>
      <c r="E286" s="40" t="s">
        <v>241</v>
      </c>
      <c r="F286" s="39">
        <v>70000</v>
      </c>
      <c r="G286" s="130" t="s">
        <v>28</v>
      </c>
      <c r="H286" s="127" t="s">
        <v>99</v>
      </c>
      <c r="I286" s="74" t="s">
        <v>398</v>
      </c>
      <c r="J286" s="128" t="s">
        <v>480</v>
      </c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93"/>
      <c r="Z286" s="193">
        <v>25000</v>
      </c>
      <c r="AA286" s="193">
        <v>45000</v>
      </c>
      <c r="AB286" s="138"/>
      <c r="AC286" s="138"/>
      <c r="AD286" s="40" t="s">
        <v>346</v>
      </c>
      <c r="AE286" s="180">
        <f>SUM(Tabelle1[[#This Row],[bis Ende 2010
CHF inkl. MWST]:[Aufgelaufene Kosten 2022
CHF inkl. MWST]])</f>
        <v>0</v>
      </c>
      <c r="AF286" s="180">
        <f>Tabelle1[[#This Row],[Summe Vertrag
CHF inkl. MWST]]-Tabelle1[[#This Row],[Total Rechnungen]]</f>
        <v>70000</v>
      </c>
      <c r="AG286" s="192">
        <f>Tabelle1[[#This Row],[Total Rechnungen]]+Tabelle1[[#This Row],[Restbudget Vertrag]]</f>
        <v>70000</v>
      </c>
    </row>
    <row r="287" spans="1:33" s="2" customFormat="1" ht="12.6" customHeight="1" x14ac:dyDescent="0.15">
      <c r="A287" s="39" t="s">
        <v>300</v>
      </c>
      <c r="B287" s="334">
        <v>1355050630</v>
      </c>
      <c r="C287" s="39" t="s">
        <v>351</v>
      </c>
      <c r="D287" s="40" t="s">
        <v>223</v>
      </c>
      <c r="E287" s="40" t="s">
        <v>243</v>
      </c>
      <c r="F287" s="39">
        <v>132000</v>
      </c>
      <c r="G287" s="130" t="s">
        <v>28</v>
      </c>
      <c r="H287" s="127" t="s">
        <v>99</v>
      </c>
      <c r="I287" s="42" t="s">
        <v>397</v>
      </c>
      <c r="J287" s="128" t="s">
        <v>480</v>
      </c>
      <c r="K287" s="137"/>
      <c r="L287" s="137"/>
      <c r="M287" s="137"/>
      <c r="N287" s="137"/>
      <c r="O287" s="137"/>
      <c r="P287" s="137"/>
      <c r="Q287" s="137"/>
      <c r="R287" s="138"/>
      <c r="S287" s="138"/>
      <c r="T287" s="138"/>
      <c r="U287" s="138"/>
      <c r="V287" s="138"/>
      <c r="W287" s="138"/>
      <c r="X287" s="138"/>
      <c r="Y287" s="193"/>
      <c r="Z287" s="193">
        <v>132000</v>
      </c>
      <c r="AA287" s="138"/>
      <c r="AB287" s="138"/>
      <c r="AC287" s="138"/>
      <c r="AD287" s="40" t="s">
        <v>346</v>
      </c>
      <c r="AE287" s="180">
        <f>SUM(Tabelle1[[#This Row],[bis Ende 2010
CHF inkl. MWST]:[Aufgelaufene Kosten 2022
CHF inkl. MWST]])</f>
        <v>0</v>
      </c>
      <c r="AF287" s="180">
        <f>Tabelle1[[#This Row],[Summe Vertrag
CHF inkl. MWST]]-Tabelle1[[#This Row],[Total Rechnungen]]</f>
        <v>132000</v>
      </c>
      <c r="AG287" s="192">
        <f>Tabelle1[[#This Row],[Total Rechnungen]]+Tabelle1[[#This Row],[Restbudget Vertrag]]</f>
        <v>132000</v>
      </c>
    </row>
    <row r="288" spans="1:33" s="2" customFormat="1" ht="12.6" customHeight="1" x14ac:dyDescent="0.15">
      <c r="A288" s="39" t="s">
        <v>301</v>
      </c>
      <c r="B288" s="39"/>
      <c r="C288" s="39" t="s">
        <v>351</v>
      </c>
      <c r="D288" s="40" t="s">
        <v>16</v>
      </c>
      <c r="E288" s="40" t="s">
        <v>244</v>
      </c>
      <c r="F288" s="39">
        <v>30000</v>
      </c>
      <c r="G288" s="130" t="s">
        <v>28</v>
      </c>
      <c r="H288" s="127" t="s">
        <v>99</v>
      </c>
      <c r="I288" s="42" t="s">
        <v>398</v>
      </c>
      <c r="J288" s="128" t="s">
        <v>480</v>
      </c>
      <c r="K288" s="137"/>
      <c r="L288" s="137"/>
      <c r="M288" s="137"/>
      <c r="N288" s="137"/>
      <c r="O288" s="137"/>
      <c r="P288" s="137"/>
      <c r="Q288" s="137"/>
      <c r="R288" s="138"/>
      <c r="S288" s="138"/>
      <c r="T288" s="138"/>
      <c r="U288" s="138"/>
      <c r="V288" s="138"/>
      <c r="W288" s="138"/>
      <c r="X288" s="138"/>
      <c r="Y288" s="193"/>
      <c r="Z288" s="193">
        <v>30000</v>
      </c>
      <c r="AA288" s="138"/>
      <c r="AB288" s="138"/>
      <c r="AC288" s="138"/>
      <c r="AD288" s="40" t="s">
        <v>346</v>
      </c>
      <c r="AE288" s="180">
        <f>SUM(Tabelle1[[#This Row],[bis Ende 2010
CHF inkl. MWST]:[Aufgelaufene Kosten 2022
CHF inkl. MWST]])</f>
        <v>0</v>
      </c>
      <c r="AF288" s="180">
        <f>Tabelle1[[#This Row],[Summe Vertrag
CHF inkl. MWST]]-Tabelle1[[#This Row],[Total Rechnungen]]</f>
        <v>30000</v>
      </c>
      <c r="AG288" s="192">
        <f>Tabelle1[[#This Row],[Total Rechnungen]]+Tabelle1[[#This Row],[Restbudget Vertrag]]</f>
        <v>30000</v>
      </c>
    </row>
    <row r="289" spans="1:33" s="2" customFormat="1" ht="12.6" customHeight="1" x14ac:dyDescent="0.15">
      <c r="A289" s="39" t="s">
        <v>302</v>
      </c>
      <c r="B289" s="39"/>
      <c r="C289" s="39" t="s">
        <v>351</v>
      </c>
      <c r="D289" s="40" t="s">
        <v>196</v>
      </c>
      <c r="E289" s="40" t="s">
        <v>245</v>
      </c>
      <c r="F289" s="39">
        <v>40000</v>
      </c>
      <c r="G289" s="130" t="s">
        <v>28</v>
      </c>
      <c r="H289" s="127" t="s">
        <v>99</v>
      </c>
      <c r="I289" s="42" t="s">
        <v>397</v>
      </c>
      <c r="J289" s="128" t="s">
        <v>480</v>
      </c>
      <c r="K289" s="137"/>
      <c r="L289" s="137"/>
      <c r="M289" s="137"/>
      <c r="N289" s="137"/>
      <c r="O289" s="137"/>
      <c r="P289" s="137"/>
      <c r="Q289" s="137"/>
      <c r="R289" s="138"/>
      <c r="S289" s="138"/>
      <c r="T289" s="138"/>
      <c r="U289" s="138"/>
      <c r="V289" s="138"/>
      <c r="W289" s="138"/>
      <c r="X289" s="138"/>
      <c r="Y289" s="193"/>
      <c r="Z289" s="193">
        <v>20000</v>
      </c>
      <c r="AA289" s="193">
        <v>20000</v>
      </c>
      <c r="AB289" s="138"/>
      <c r="AC289" s="138"/>
      <c r="AD289" s="40" t="s">
        <v>346</v>
      </c>
      <c r="AE289" s="180">
        <f>SUM(Tabelle1[[#This Row],[bis Ende 2010
CHF inkl. MWST]:[Aufgelaufene Kosten 2022
CHF inkl. MWST]])</f>
        <v>0</v>
      </c>
      <c r="AF289" s="180">
        <f>Tabelle1[[#This Row],[Summe Vertrag
CHF inkl. MWST]]-Tabelle1[[#This Row],[Total Rechnungen]]</f>
        <v>40000</v>
      </c>
      <c r="AG289" s="192">
        <f>Tabelle1[[#This Row],[Total Rechnungen]]+Tabelle1[[#This Row],[Restbudget Vertrag]]</f>
        <v>40000</v>
      </c>
    </row>
    <row r="290" spans="1:33" s="2" customFormat="1" ht="12.6" customHeight="1" x14ac:dyDescent="0.15">
      <c r="A290" s="39" t="s">
        <v>303</v>
      </c>
      <c r="B290" s="39"/>
      <c r="C290" s="39" t="s">
        <v>351</v>
      </c>
      <c r="D290" s="40" t="s">
        <v>441</v>
      </c>
      <c r="E290" s="40" t="s">
        <v>247</v>
      </c>
      <c r="F290" s="39">
        <v>110000</v>
      </c>
      <c r="G290" s="130" t="s">
        <v>28</v>
      </c>
      <c r="H290" s="127" t="s">
        <v>99</v>
      </c>
      <c r="I290" s="42" t="s">
        <v>398</v>
      </c>
      <c r="J290" s="128" t="s">
        <v>480</v>
      </c>
      <c r="K290" s="137"/>
      <c r="L290" s="137"/>
      <c r="M290" s="137"/>
      <c r="N290" s="137"/>
      <c r="O290" s="137"/>
      <c r="P290" s="137"/>
      <c r="Q290" s="137"/>
      <c r="R290" s="138"/>
      <c r="S290" s="138"/>
      <c r="T290" s="138"/>
      <c r="U290" s="138"/>
      <c r="V290" s="138"/>
      <c r="W290" s="138"/>
      <c r="X290" s="138"/>
      <c r="Y290" s="193"/>
      <c r="Z290" s="193">
        <v>80000</v>
      </c>
      <c r="AA290" s="193">
        <v>30000</v>
      </c>
      <c r="AB290" s="138"/>
      <c r="AC290" s="138"/>
      <c r="AD290" s="40" t="s">
        <v>346</v>
      </c>
      <c r="AE290" s="180">
        <f>SUM(Tabelle1[[#This Row],[bis Ende 2010
CHF inkl. MWST]:[Aufgelaufene Kosten 2022
CHF inkl. MWST]])</f>
        <v>0</v>
      </c>
      <c r="AF290" s="180">
        <f>Tabelle1[[#This Row],[Summe Vertrag
CHF inkl. MWST]]-Tabelle1[[#This Row],[Total Rechnungen]]</f>
        <v>110000</v>
      </c>
      <c r="AG290" s="192">
        <f>Tabelle1[[#This Row],[Total Rechnungen]]+Tabelle1[[#This Row],[Restbudget Vertrag]]</f>
        <v>110000</v>
      </c>
    </row>
    <row r="291" spans="1:33" s="2" customFormat="1" ht="12.6" customHeight="1" x14ac:dyDescent="0.15">
      <c r="A291" s="39" t="s">
        <v>304</v>
      </c>
      <c r="B291" s="39"/>
      <c r="C291" s="39" t="s">
        <v>351</v>
      </c>
      <c r="D291" s="40" t="s">
        <v>393</v>
      </c>
      <c r="E291" s="40" t="s">
        <v>251</v>
      </c>
      <c r="F291" s="39">
        <v>160000</v>
      </c>
      <c r="G291" s="130" t="s">
        <v>28</v>
      </c>
      <c r="H291" s="127" t="s">
        <v>99</v>
      </c>
      <c r="I291" s="42" t="s">
        <v>398</v>
      </c>
      <c r="J291" s="128" t="s">
        <v>480</v>
      </c>
      <c r="K291" s="137"/>
      <c r="L291" s="137"/>
      <c r="M291" s="137"/>
      <c r="N291" s="137"/>
      <c r="O291" s="137"/>
      <c r="P291" s="137"/>
      <c r="Q291" s="137"/>
      <c r="R291" s="138"/>
      <c r="S291" s="138"/>
      <c r="T291" s="138"/>
      <c r="U291" s="138"/>
      <c r="V291" s="138"/>
      <c r="W291" s="138"/>
      <c r="X291" s="138"/>
      <c r="Y291" s="138"/>
      <c r="Z291" s="138"/>
      <c r="AA291" s="193">
        <v>40000</v>
      </c>
      <c r="AB291" s="193">
        <v>120000</v>
      </c>
      <c r="AC291" s="253"/>
      <c r="AD291" s="40" t="s">
        <v>346</v>
      </c>
      <c r="AE291" s="180">
        <f>SUM(Tabelle1[[#This Row],[bis Ende 2010
CHF inkl. MWST]:[Aufgelaufene Kosten 2022
CHF inkl. MWST]])</f>
        <v>0</v>
      </c>
      <c r="AF291" s="180">
        <f>Tabelle1[[#This Row],[Summe Vertrag
CHF inkl. MWST]]-Tabelle1[[#This Row],[Total Rechnungen]]</f>
        <v>160000</v>
      </c>
      <c r="AG291" s="192">
        <f>Tabelle1[[#This Row],[Total Rechnungen]]+Tabelle1[[#This Row],[Restbudget Vertrag]]</f>
        <v>160000</v>
      </c>
    </row>
    <row r="292" spans="1:33" s="2" customFormat="1" ht="12.6" customHeight="1" x14ac:dyDescent="0.15">
      <c r="A292" s="39" t="s">
        <v>305</v>
      </c>
      <c r="B292" s="39"/>
      <c r="C292" s="39" t="s">
        <v>351</v>
      </c>
      <c r="D292" s="40" t="s">
        <v>390</v>
      </c>
      <c r="E292" s="40" t="s">
        <v>252</v>
      </c>
      <c r="F292" s="39">
        <v>90000</v>
      </c>
      <c r="G292" s="130" t="s">
        <v>28</v>
      </c>
      <c r="H292" s="127" t="s">
        <v>99</v>
      </c>
      <c r="I292" s="42" t="s">
        <v>398</v>
      </c>
      <c r="J292" s="128" t="s">
        <v>480</v>
      </c>
      <c r="K292" s="137"/>
      <c r="L292" s="137"/>
      <c r="M292" s="137"/>
      <c r="N292" s="137"/>
      <c r="O292" s="137"/>
      <c r="P292" s="137"/>
      <c r="Q292" s="137"/>
      <c r="R292" s="138"/>
      <c r="S292" s="138"/>
      <c r="T292" s="138"/>
      <c r="U292" s="138"/>
      <c r="V292" s="138"/>
      <c r="W292" s="253"/>
      <c r="X292" s="253"/>
      <c r="Y292" s="193"/>
      <c r="Z292" s="193">
        <v>50000</v>
      </c>
      <c r="AA292" s="193">
        <v>30000</v>
      </c>
      <c r="AB292" s="138"/>
      <c r="AC292" s="138"/>
      <c r="AD292" s="40" t="s">
        <v>346</v>
      </c>
      <c r="AE292" s="180">
        <f>SUM(Tabelle1[[#This Row],[bis Ende 2010
CHF inkl. MWST]:[Aufgelaufene Kosten 2022
CHF inkl. MWST]])</f>
        <v>0</v>
      </c>
      <c r="AF292" s="180">
        <f>Tabelle1[[#This Row],[Summe Vertrag
CHF inkl. MWST]]-Tabelle1[[#This Row],[Total Rechnungen]]</f>
        <v>90000</v>
      </c>
      <c r="AG292" s="192">
        <f>Tabelle1[[#This Row],[Total Rechnungen]]+Tabelle1[[#This Row],[Restbudget Vertrag]]</f>
        <v>90000</v>
      </c>
    </row>
    <row r="293" spans="1:33" s="2" customFormat="1" ht="12.6" customHeight="1" x14ac:dyDescent="0.15">
      <c r="A293" s="39" t="s">
        <v>306</v>
      </c>
      <c r="B293" s="39"/>
      <c r="C293" s="39" t="s">
        <v>351</v>
      </c>
      <c r="D293" s="40" t="s">
        <v>394</v>
      </c>
      <c r="E293" s="40" t="s">
        <v>253</v>
      </c>
      <c r="F293" s="39">
        <v>110000</v>
      </c>
      <c r="G293" s="130" t="s">
        <v>28</v>
      </c>
      <c r="H293" s="127" t="s">
        <v>99</v>
      </c>
      <c r="I293" s="42" t="s">
        <v>398</v>
      </c>
      <c r="J293" s="128" t="s">
        <v>480</v>
      </c>
      <c r="K293" s="137"/>
      <c r="L293" s="137"/>
      <c r="M293" s="137"/>
      <c r="N293" s="137"/>
      <c r="O293" s="137"/>
      <c r="P293" s="137"/>
      <c r="Q293" s="137"/>
      <c r="R293" s="138"/>
      <c r="S293" s="138"/>
      <c r="T293" s="138"/>
      <c r="U293" s="138"/>
      <c r="V293" s="138"/>
      <c r="W293" s="138"/>
      <c r="X293" s="138"/>
      <c r="Y293" s="193"/>
      <c r="Z293" s="193">
        <v>75000</v>
      </c>
      <c r="AA293" s="193">
        <v>35000</v>
      </c>
      <c r="AB293" s="253"/>
      <c r="AC293" s="253"/>
      <c r="AD293" s="40" t="s">
        <v>346</v>
      </c>
      <c r="AE293" s="180">
        <f>SUM(Tabelle1[[#This Row],[bis Ende 2010
CHF inkl. MWST]:[Aufgelaufene Kosten 2022
CHF inkl. MWST]])</f>
        <v>0</v>
      </c>
      <c r="AF293" s="180">
        <f>Tabelle1[[#This Row],[Summe Vertrag
CHF inkl. MWST]]-Tabelle1[[#This Row],[Total Rechnungen]]</f>
        <v>110000</v>
      </c>
      <c r="AG293" s="192">
        <f>Tabelle1[[#This Row],[Total Rechnungen]]+Tabelle1[[#This Row],[Restbudget Vertrag]]</f>
        <v>110000</v>
      </c>
    </row>
    <row r="294" spans="1:33" s="2" customFormat="1" ht="12.6" hidden="1" customHeight="1" x14ac:dyDescent="0.15">
      <c r="A294" s="23" t="s">
        <v>307</v>
      </c>
      <c r="B294" s="23"/>
      <c r="C294" s="23" t="s">
        <v>401</v>
      </c>
      <c r="D294" s="9" t="s">
        <v>370</v>
      </c>
      <c r="E294" s="9" t="s">
        <v>254</v>
      </c>
      <c r="F294" s="23">
        <v>0</v>
      </c>
      <c r="G294" s="99" t="s">
        <v>28</v>
      </c>
      <c r="H294" s="101" t="s">
        <v>99</v>
      </c>
      <c r="I294" s="35" t="s">
        <v>398</v>
      </c>
      <c r="J294" s="102" t="s">
        <v>480</v>
      </c>
      <c r="K294" s="137"/>
      <c r="L294" s="137"/>
      <c r="M294" s="137"/>
      <c r="N294" s="137"/>
      <c r="O294" s="137"/>
      <c r="P294" s="137"/>
      <c r="Q294" s="137"/>
      <c r="R294" s="138"/>
      <c r="S294" s="138"/>
      <c r="T294" s="138"/>
      <c r="U294" s="138"/>
      <c r="V294" s="138"/>
      <c r="W294" s="138"/>
      <c r="X294" s="253"/>
      <c r="Y294" s="253"/>
      <c r="Z294" s="138"/>
      <c r="AA294" s="138"/>
      <c r="AB294" s="138"/>
      <c r="AC294" s="138"/>
      <c r="AD294" s="114"/>
      <c r="AE294" s="181">
        <f>SUM(Tabelle1[[#This Row],[bis Ende 2010
CHF inkl. MWST]:[2021
CHF inkl. MWST]])</f>
        <v>0</v>
      </c>
      <c r="AF294" s="181"/>
      <c r="AG294" s="222">
        <f>Tabelle1[[#This Row],[Total Rechnungen]]+Tabelle1[[#This Row],[Restbudget Vertrag]]</f>
        <v>0</v>
      </c>
    </row>
    <row r="295" spans="1:33" s="2" customFormat="1" ht="12.6" customHeight="1" x14ac:dyDescent="0.15">
      <c r="A295" s="39" t="s">
        <v>308</v>
      </c>
      <c r="B295" s="39"/>
      <c r="C295" s="39" t="s">
        <v>351</v>
      </c>
      <c r="D295" s="40" t="s">
        <v>395</v>
      </c>
      <c r="E295" s="40" t="s">
        <v>255</v>
      </c>
      <c r="F295" s="39">
        <v>95000</v>
      </c>
      <c r="G295" s="130" t="s">
        <v>28</v>
      </c>
      <c r="H295" s="127" t="s">
        <v>99</v>
      </c>
      <c r="I295" s="42" t="s">
        <v>398</v>
      </c>
      <c r="J295" s="128" t="s">
        <v>480</v>
      </c>
      <c r="K295" s="137"/>
      <c r="L295" s="137"/>
      <c r="M295" s="137"/>
      <c r="N295" s="137"/>
      <c r="O295" s="137"/>
      <c r="P295" s="137"/>
      <c r="Q295" s="137"/>
      <c r="R295" s="138"/>
      <c r="S295" s="138"/>
      <c r="T295" s="138"/>
      <c r="U295" s="138"/>
      <c r="V295" s="138"/>
      <c r="W295" s="138"/>
      <c r="X295" s="138"/>
      <c r="Y295" s="193"/>
      <c r="Z295" s="193">
        <v>70000</v>
      </c>
      <c r="AA295" s="193">
        <v>25000</v>
      </c>
      <c r="AB295" s="138"/>
      <c r="AC295" s="138"/>
      <c r="AD295" s="40" t="s">
        <v>346</v>
      </c>
      <c r="AE295" s="180">
        <f>SUM(Tabelle1[[#This Row],[bis Ende 2010
CHF inkl. MWST]:[Aufgelaufene Kosten 2022
CHF inkl. MWST]])</f>
        <v>0</v>
      </c>
      <c r="AF295" s="180">
        <f>Tabelle1[[#This Row],[Summe Vertrag
CHF inkl. MWST]]-Tabelle1[[#This Row],[Total Rechnungen]]</f>
        <v>95000</v>
      </c>
      <c r="AG295" s="192">
        <f>Tabelle1[[#This Row],[Total Rechnungen]]+Tabelle1[[#This Row],[Restbudget Vertrag]]</f>
        <v>95000</v>
      </c>
    </row>
    <row r="296" spans="1:33" s="2" customFormat="1" ht="12.6" customHeight="1" x14ac:dyDescent="0.15">
      <c r="A296" s="39" t="s">
        <v>309</v>
      </c>
      <c r="B296" s="39"/>
      <c r="C296" s="39" t="s">
        <v>351</v>
      </c>
      <c r="D296" s="40" t="s">
        <v>370</v>
      </c>
      <c r="E296" s="40" t="s">
        <v>256</v>
      </c>
      <c r="F296" s="39">
        <v>70000</v>
      </c>
      <c r="G296" s="130" t="s">
        <v>28</v>
      </c>
      <c r="H296" s="127" t="s">
        <v>99</v>
      </c>
      <c r="I296" s="42" t="s">
        <v>398</v>
      </c>
      <c r="J296" s="128" t="s">
        <v>480</v>
      </c>
      <c r="K296" s="30"/>
      <c r="L296" s="30"/>
      <c r="M296" s="30"/>
      <c r="N296" s="30"/>
      <c r="O296" s="30"/>
      <c r="P296" s="30"/>
      <c r="Q296" s="30"/>
      <c r="R296" s="75"/>
      <c r="S296" s="75"/>
      <c r="T296" s="75"/>
      <c r="U296" s="75"/>
      <c r="V296" s="131"/>
      <c r="W296" s="131"/>
      <c r="X296" s="131"/>
      <c r="Y296" s="118"/>
      <c r="Z296" s="118">
        <v>25000</v>
      </c>
      <c r="AA296" s="118">
        <v>25000</v>
      </c>
      <c r="AB296" s="118">
        <v>10000</v>
      </c>
      <c r="AC296" s="118">
        <v>10000</v>
      </c>
      <c r="AD296" s="40" t="s">
        <v>346</v>
      </c>
      <c r="AE296" s="180">
        <f>SUM(Tabelle1[[#This Row],[bis Ende 2010
CHF inkl. MWST]:[Aufgelaufene Kosten 2022
CHF inkl. MWST]])</f>
        <v>0</v>
      </c>
      <c r="AF296" s="186">
        <f>Tabelle1[[#This Row],[Summe Vertrag
CHF inkl. MWST]]-Tabelle1[[#This Row],[Total Rechnungen]]</f>
        <v>70000</v>
      </c>
      <c r="AG296" s="192">
        <f>Tabelle1[[#This Row],[Total Rechnungen]]+Tabelle1[[#This Row],[Restbudget Vertrag]]</f>
        <v>70000</v>
      </c>
    </row>
    <row r="297" spans="1:33" s="2" customFormat="1" ht="12.6" customHeight="1" x14ac:dyDescent="0.15">
      <c r="A297" s="39" t="s">
        <v>318</v>
      </c>
      <c r="B297" s="39"/>
      <c r="C297" s="39" t="s">
        <v>351</v>
      </c>
      <c r="D297" s="40" t="s">
        <v>396</v>
      </c>
      <c r="E297" s="40" t="s">
        <v>319</v>
      </c>
      <c r="F297" s="39">
        <v>23000</v>
      </c>
      <c r="G297" s="130" t="s">
        <v>28</v>
      </c>
      <c r="H297" s="127" t="s">
        <v>99</v>
      </c>
      <c r="I297" s="42" t="s">
        <v>397</v>
      </c>
      <c r="J297" s="128" t="s">
        <v>480</v>
      </c>
      <c r="K297" s="137"/>
      <c r="L297" s="137"/>
      <c r="M297" s="137"/>
      <c r="N297" s="137"/>
      <c r="O297" s="137"/>
      <c r="P297" s="137"/>
      <c r="Q297" s="137"/>
      <c r="R297" s="138"/>
      <c r="S297" s="138"/>
      <c r="T297" s="138"/>
      <c r="U297" s="138"/>
      <c r="V297" s="253"/>
      <c r="W297" s="193"/>
      <c r="X297" s="193">
        <v>10000</v>
      </c>
      <c r="Y297" s="193"/>
      <c r="Z297" s="193">
        <v>10000</v>
      </c>
      <c r="AA297" s="193">
        <v>10000</v>
      </c>
      <c r="AB297" s="193">
        <v>10000</v>
      </c>
      <c r="AC297" s="193">
        <v>5000</v>
      </c>
      <c r="AD297" s="40" t="s">
        <v>346</v>
      </c>
      <c r="AE297" s="180">
        <f>SUM(Tabelle1[[#This Row],[bis Ende 2010
CHF inkl. MWST]:[Aufgelaufene Kosten 2022
CHF inkl. MWST]])</f>
        <v>0</v>
      </c>
      <c r="AF297" s="180">
        <f>Tabelle1[[#This Row],[Summe Vertrag
CHF inkl. MWST]]-Tabelle1[[#This Row],[Total Rechnungen]]</f>
        <v>23000</v>
      </c>
      <c r="AG297" s="192">
        <f>Tabelle1[[#This Row],[Total Rechnungen]]+Tabelle1[[#This Row],[Restbudget Vertrag]]</f>
        <v>23000</v>
      </c>
    </row>
    <row r="298" spans="1:33" s="2" customFormat="1" ht="12.6" customHeight="1" x14ac:dyDescent="0.15">
      <c r="A298" s="39" t="s">
        <v>574</v>
      </c>
      <c r="B298" s="39"/>
      <c r="C298" s="72" t="s">
        <v>351</v>
      </c>
      <c r="D298" s="40" t="s">
        <v>390</v>
      </c>
      <c r="E298" s="40" t="s">
        <v>575</v>
      </c>
      <c r="F298" s="39">
        <v>15000</v>
      </c>
      <c r="G298" s="130" t="s">
        <v>28</v>
      </c>
      <c r="H298" s="127" t="s">
        <v>99</v>
      </c>
      <c r="I298" s="42" t="s">
        <v>397</v>
      </c>
      <c r="J298" s="128" t="s">
        <v>480</v>
      </c>
      <c r="K298" s="30"/>
      <c r="L298" s="30"/>
      <c r="M298" s="30"/>
      <c r="N298" s="30"/>
      <c r="O298" s="30"/>
      <c r="P298" s="30"/>
      <c r="Q298" s="30"/>
      <c r="R298" s="75"/>
      <c r="S298" s="75"/>
      <c r="T298" s="75"/>
      <c r="U298" s="75"/>
      <c r="V298" s="75"/>
      <c r="W298" s="118"/>
      <c r="X298" s="118">
        <v>19000</v>
      </c>
      <c r="Y298" s="118"/>
      <c r="Z298" s="75"/>
      <c r="AA298" s="75"/>
      <c r="AB298" s="75"/>
      <c r="AC298" s="75"/>
      <c r="AD298" s="40" t="s">
        <v>346</v>
      </c>
      <c r="AE298" s="180">
        <f>SUM(Tabelle1[[#This Row],[bis Ende 2010
CHF inkl. MWST]:[Aufgelaufene Kosten 2022
CHF inkl. MWST]])</f>
        <v>0</v>
      </c>
      <c r="AF298" s="356">
        <f>Tabelle1[[#This Row],[Summe Vertrag
CHF inkl. MWST]]-Tabelle1[[#This Row],[Total Rechnungen]]</f>
        <v>15000</v>
      </c>
      <c r="AG298" s="192">
        <f>Tabelle1[[#This Row],[Total Rechnungen]]+Tabelle1[[#This Row],[Restbudget Vertrag]]</f>
        <v>15000</v>
      </c>
    </row>
    <row r="299" spans="1:33" s="2" customFormat="1" ht="12.6" hidden="1" customHeight="1" x14ac:dyDescent="0.15">
      <c r="A299" s="23" t="s">
        <v>312</v>
      </c>
      <c r="B299" s="23"/>
      <c r="C299" s="23" t="s">
        <v>401</v>
      </c>
      <c r="D299" s="9" t="s">
        <v>370</v>
      </c>
      <c r="E299" s="9" t="s">
        <v>311</v>
      </c>
      <c r="F299" s="23">
        <v>0</v>
      </c>
      <c r="G299" s="9" t="s">
        <v>28</v>
      </c>
      <c r="H299" s="13" t="s">
        <v>99</v>
      </c>
      <c r="I299" s="35" t="s">
        <v>398</v>
      </c>
      <c r="J299" s="102" t="s">
        <v>480</v>
      </c>
      <c r="K299" s="30"/>
      <c r="L299" s="30"/>
      <c r="M299" s="30"/>
      <c r="N299" s="30"/>
      <c r="O299" s="30"/>
      <c r="P299" s="30"/>
      <c r="Q299" s="30"/>
      <c r="R299" s="75"/>
      <c r="S299" s="75"/>
      <c r="T299" s="75"/>
      <c r="U299" s="75"/>
      <c r="V299" s="131"/>
      <c r="W299" s="131"/>
      <c r="X299" s="75"/>
      <c r="Y299" s="75"/>
      <c r="Z299" s="75"/>
      <c r="AA299" s="75"/>
      <c r="AB299" s="75"/>
      <c r="AC299" s="75"/>
      <c r="AD299" s="114"/>
      <c r="AE299" s="181">
        <f>SUM(Tabelle1[[#This Row],[bis Ende 2010
CHF inkl. MWST]:[2021
CHF inkl. MWST]])</f>
        <v>0</v>
      </c>
      <c r="AF299" s="181"/>
      <c r="AG299" s="222">
        <f>Tabelle1[[#This Row],[Total Rechnungen]]+Tabelle1[[#This Row],[Restbudget Vertrag]]</f>
        <v>0</v>
      </c>
    </row>
    <row r="300" spans="1:33" s="2" customFormat="1" ht="12.6" customHeight="1" x14ac:dyDescent="0.15">
      <c r="A300" s="39" t="s">
        <v>337</v>
      </c>
      <c r="B300" s="39"/>
      <c r="C300" s="39" t="s">
        <v>351</v>
      </c>
      <c r="D300" s="73" t="s">
        <v>370</v>
      </c>
      <c r="E300" s="73" t="s">
        <v>374</v>
      </c>
      <c r="F300" s="211">
        <v>140000</v>
      </c>
      <c r="G300" s="130" t="s">
        <v>28</v>
      </c>
      <c r="H300" s="127" t="s">
        <v>99</v>
      </c>
      <c r="I300" s="42" t="s">
        <v>398</v>
      </c>
      <c r="J300" s="128" t="s">
        <v>480</v>
      </c>
      <c r="K300" s="210"/>
      <c r="L300" s="210"/>
      <c r="M300" s="210"/>
      <c r="N300" s="210"/>
      <c r="O300" s="210"/>
      <c r="P300" s="210"/>
      <c r="Q300" s="210"/>
      <c r="R300" s="210"/>
      <c r="S300" s="210"/>
      <c r="T300" s="75"/>
      <c r="U300" s="75"/>
      <c r="V300" s="75"/>
      <c r="W300" s="131"/>
      <c r="X300" s="131"/>
      <c r="Y300" s="118"/>
      <c r="Z300" s="118">
        <v>70000</v>
      </c>
      <c r="AA300" s="118">
        <v>70000</v>
      </c>
      <c r="AB300" s="75"/>
      <c r="AC300" s="75"/>
      <c r="AD300" s="40" t="s">
        <v>346</v>
      </c>
      <c r="AE300" s="180">
        <f>SUM(Tabelle1[[#This Row],[bis Ende 2010
CHF inkl. MWST]:[Aufgelaufene Kosten 2022
CHF inkl. MWST]])</f>
        <v>0</v>
      </c>
      <c r="AF300" s="212">
        <f>Tabelle1[[#This Row],[Summe Vertrag
CHF inkl. MWST]]-Tabelle1[[#This Row],[Total Rechnungen]]</f>
        <v>140000</v>
      </c>
      <c r="AG300" s="192">
        <f>Tabelle1[[#This Row],[Total Rechnungen]]+Tabelle1[[#This Row],[Restbudget Vertrag]]</f>
        <v>140000</v>
      </c>
    </row>
    <row r="301" spans="1:33" s="2" customFormat="1" ht="12.6" customHeight="1" x14ac:dyDescent="0.15">
      <c r="A301" s="39" t="s">
        <v>338</v>
      </c>
      <c r="B301" s="39"/>
      <c r="C301" s="39" t="s">
        <v>351</v>
      </c>
      <c r="D301" s="73" t="s">
        <v>370</v>
      </c>
      <c r="E301" s="73" t="s">
        <v>375</v>
      </c>
      <c r="F301" s="211">
        <v>120000</v>
      </c>
      <c r="G301" s="130" t="s">
        <v>28</v>
      </c>
      <c r="H301" s="127" t="s">
        <v>99</v>
      </c>
      <c r="I301" s="42" t="s">
        <v>398</v>
      </c>
      <c r="J301" s="128" t="s">
        <v>480</v>
      </c>
      <c r="K301" s="210"/>
      <c r="L301" s="210"/>
      <c r="M301" s="210"/>
      <c r="N301" s="210"/>
      <c r="O301" s="210"/>
      <c r="P301" s="210"/>
      <c r="Q301" s="210"/>
      <c r="R301" s="210"/>
      <c r="S301" s="210"/>
      <c r="T301" s="75"/>
      <c r="U301" s="75"/>
      <c r="V301" s="75"/>
      <c r="W301" s="131"/>
      <c r="X301" s="131"/>
      <c r="Y301" s="118"/>
      <c r="Z301" s="118">
        <v>60000</v>
      </c>
      <c r="AA301" s="118">
        <v>60000</v>
      </c>
      <c r="AB301" s="75"/>
      <c r="AC301" s="75"/>
      <c r="AD301" s="40" t="s">
        <v>346</v>
      </c>
      <c r="AE301" s="180">
        <f>SUM(Tabelle1[[#This Row],[bis Ende 2010
CHF inkl. MWST]:[Aufgelaufene Kosten 2022
CHF inkl. MWST]])</f>
        <v>0</v>
      </c>
      <c r="AF301" s="212">
        <f>Tabelle1[[#This Row],[Summe Vertrag
CHF inkl. MWST]]-Tabelle1[[#This Row],[Total Rechnungen]]</f>
        <v>120000</v>
      </c>
      <c r="AG301" s="192">
        <f>Tabelle1[[#This Row],[Total Rechnungen]]+Tabelle1[[#This Row],[Restbudget Vertrag]]</f>
        <v>120000</v>
      </c>
    </row>
    <row r="302" spans="1:33" s="2" customFormat="1" ht="12.6" customHeight="1" x14ac:dyDescent="0.15">
      <c r="A302" s="39" t="s">
        <v>339</v>
      </c>
      <c r="B302" s="39"/>
      <c r="C302" s="39" t="s">
        <v>351</v>
      </c>
      <c r="D302" s="73" t="s">
        <v>370</v>
      </c>
      <c r="E302" s="73" t="s">
        <v>376</v>
      </c>
      <c r="F302" s="211">
        <v>120000</v>
      </c>
      <c r="G302" s="130" t="s">
        <v>28</v>
      </c>
      <c r="H302" s="127" t="s">
        <v>99</v>
      </c>
      <c r="I302" s="42" t="s">
        <v>398</v>
      </c>
      <c r="J302" s="128" t="s">
        <v>480</v>
      </c>
      <c r="K302" s="210"/>
      <c r="L302" s="210"/>
      <c r="M302" s="210"/>
      <c r="N302" s="210"/>
      <c r="O302" s="210"/>
      <c r="P302" s="210"/>
      <c r="Q302" s="210"/>
      <c r="R302" s="210"/>
      <c r="S302" s="210"/>
      <c r="T302" s="75"/>
      <c r="U302" s="75"/>
      <c r="V302" s="75"/>
      <c r="W302" s="131"/>
      <c r="X302" s="131"/>
      <c r="Y302" s="118"/>
      <c r="Z302" s="118">
        <v>60000</v>
      </c>
      <c r="AA302" s="118">
        <v>60000</v>
      </c>
      <c r="AB302" s="75"/>
      <c r="AC302" s="75"/>
      <c r="AD302" s="40" t="s">
        <v>346</v>
      </c>
      <c r="AE302" s="180">
        <f>SUM(Tabelle1[[#This Row],[bis Ende 2010
CHF inkl. MWST]:[Aufgelaufene Kosten 2022
CHF inkl. MWST]])</f>
        <v>0</v>
      </c>
      <c r="AF302" s="212">
        <f>Tabelle1[[#This Row],[Summe Vertrag
CHF inkl. MWST]]-Tabelle1[[#This Row],[Total Rechnungen]]</f>
        <v>120000</v>
      </c>
      <c r="AG302" s="192">
        <f>Tabelle1[[#This Row],[Total Rechnungen]]+Tabelle1[[#This Row],[Restbudget Vertrag]]</f>
        <v>120000</v>
      </c>
    </row>
    <row r="303" spans="1:33" s="2" customFormat="1" ht="12.6" customHeight="1" x14ac:dyDescent="0.15">
      <c r="A303" s="39" t="s">
        <v>340</v>
      </c>
      <c r="B303" s="39"/>
      <c r="C303" s="39" t="s">
        <v>351</v>
      </c>
      <c r="D303" s="73" t="s">
        <v>361</v>
      </c>
      <c r="E303" s="73" t="s">
        <v>377</v>
      </c>
      <c r="F303" s="211">
        <v>200000</v>
      </c>
      <c r="G303" s="130" t="s">
        <v>28</v>
      </c>
      <c r="H303" s="127" t="s">
        <v>99</v>
      </c>
      <c r="I303" s="42" t="s">
        <v>398</v>
      </c>
      <c r="J303" s="128" t="s">
        <v>480</v>
      </c>
      <c r="K303" s="268"/>
      <c r="L303" s="268"/>
      <c r="M303" s="268"/>
      <c r="N303" s="268"/>
      <c r="O303" s="268"/>
      <c r="P303" s="268"/>
      <c r="Q303" s="268"/>
      <c r="R303" s="269"/>
      <c r="S303" s="269"/>
      <c r="T303" s="75"/>
      <c r="U303" s="75"/>
      <c r="V303" s="75"/>
      <c r="W303" s="131"/>
      <c r="X303" s="131"/>
      <c r="Y303" s="118"/>
      <c r="Z303" s="118">
        <v>150000</v>
      </c>
      <c r="AA303" s="118">
        <v>50000</v>
      </c>
      <c r="AB303" s="75"/>
      <c r="AC303" s="75"/>
      <c r="AD303" s="40" t="s">
        <v>346</v>
      </c>
      <c r="AE303" s="180">
        <f>SUM(Tabelle1[[#This Row],[bis Ende 2010
CHF inkl. MWST]:[Aufgelaufene Kosten 2022
CHF inkl. MWST]])</f>
        <v>0</v>
      </c>
      <c r="AF303" s="270">
        <f>Tabelle1[[#This Row],[Summe Vertrag
CHF inkl. MWST]]-Tabelle1[[#This Row],[Total Rechnungen]]</f>
        <v>200000</v>
      </c>
      <c r="AG303" s="192">
        <f>Tabelle1[[#This Row],[Total Rechnungen]]+Tabelle1[[#This Row],[Restbudget Vertrag]]</f>
        <v>200000</v>
      </c>
    </row>
    <row r="304" spans="1:33" s="2" customFormat="1" ht="12.6" customHeight="1" x14ac:dyDescent="0.15">
      <c r="A304" s="39" t="s">
        <v>495</v>
      </c>
      <c r="B304" s="39"/>
      <c r="C304" s="39" t="s">
        <v>351</v>
      </c>
      <c r="D304" s="40" t="s">
        <v>436</v>
      </c>
      <c r="E304" s="40" t="s">
        <v>496</v>
      </c>
      <c r="F304" s="300">
        <v>20000</v>
      </c>
      <c r="G304" s="150" t="s">
        <v>28</v>
      </c>
      <c r="H304" s="151" t="s">
        <v>99</v>
      </c>
      <c r="I304" s="42" t="s">
        <v>398</v>
      </c>
      <c r="J304" s="128" t="s">
        <v>480</v>
      </c>
      <c r="K304" s="295"/>
      <c r="L304" s="295"/>
      <c r="M304" s="295"/>
      <c r="N304" s="295"/>
      <c r="O304" s="295"/>
      <c r="P304" s="295"/>
      <c r="Q304" s="295"/>
      <c r="R304" s="296"/>
      <c r="S304" s="296"/>
      <c r="T304" s="75"/>
      <c r="U304" s="75"/>
      <c r="V304" s="75"/>
      <c r="W304" s="75"/>
      <c r="X304" s="118">
        <v>15000</v>
      </c>
      <c r="Y304" s="118"/>
      <c r="Z304" s="75"/>
      <c r="AA304" s="75"/>
      <c r="AB304" s="75"/>
      <c r="AC304" s="75"/>
      <c r="AD304" s="40" t="s">
        <v>346</v>
      </c>
      <c r="AE304" s="180">
        <f>SUM(Tabelle1[[#This Row],[bis Ende 2010
CHF inkl. MWST]:[Aufgelaufene Kosten 2022
CHF inkl. MWST]])</f>
        <v>0</v>
      </c>
      <c r="AF304" s="270">
        <f>Tabelle1[[#This Row],[Summe Vertrag
CHF inkl. MWST]]-Tabelle1[[#This Row],[Total Rechnungen]]</f>
        <v>20000</v>
      </c>
      <c r="AG304" s="192">
        <f>Tabelle1[[#This Row],[Total Rechnungen]]+Tabelle1[[#This Row],[Restbudget Vertrag]]</f>
        <v>20000</v>
      </c>
    </row>
    <row r="305" spans="1:34" s="2" customFormat="1" ht="12.6" customHeight="1" x14ac:dyDescent="0.15">
      <c r="A305" s="39" t="s">
        <v>505</v>
      </c>
      <c r="B305" s="39"/>
      <c r="C305" s="39" t="s">
        <v>351</v>
      </c>
      <c r="D305" s="284"/>
      <c r="E305" s="40" t="s">
        <v>454</v>
      </c>
      <c r="F305" s="300">
        <v>30000</v>
      </c>
      <c r="G305" s="130" t="s">
        <v>28</v>
      </c>
      <c r="H305" s="127" t="s">
        <v>99</v>
      </c>
      <c r="I305" s="42" t="s">
        <v>398</v>
      </c>
      <c r="J305" s="128" t="s">
        <v>480</v>
      </c>
      <c r="K305" s="295"/>
      <c r="L305" s="295"/>
      <c r="M305" s="295"/>
      <c r="N305" s="295"/>
      <c r="O305" s="295"/>
      <c r="P305" s="295"/>
      <c r="Q305" s="295"/>
      <c r="R305" s="296"/>
      <c r="S305" s="296"/>
      <c r="T305" s="75"/>
      <c r="U305" s="75"/>
      <c r="V305" s="75"/>
      <c r="W305" s="75"/>
      <c r="X305" s="75"/>
      <c r="Y305" s="118"/>
      <c r="Z305" s="118">
        <v>30000</v>
      </c>
      <c r="AA305" s="75"/>
      <c r="AB305" s="75"/>
      <c r="AC305" s="75"/>
      <c r="AD305" s="40" t="s">
        <v>346</v>
      </c>
      <c r="AE305" s="180">
        <f>SUM(Tabelle1[[#This Row],[bis Ende 2010
CHF inkl. MWST]:[Aufgelaufene Kosten 2022
CHF inkl. MWST]])</f>
        <v>0</v>
      </c>
      <c r="AF305" s="306">
        <f>Tabelle1[[#This Row],[Summe Vertrag
CHF inkl. MWST]]-Tabelle1[[#This Row],[Total Rechnungen]]</f>
        <v>30000</v>
      </c>
      <c r="AG305" s="192">
        <f>Tabelle1[[#This Row],[Total Rechnungen]]+Tabelle1[[#This Row],[Restbudget Vertrag]]</f>
        <v>30000</v>
      </c>
    </row>
    <row r="306" spans="1:34" s="2" customFormat="1" ht="12.6" customHeight="1" x14ac:dyDescent="0.15">
      <c r="A306" s="39" t="s">
        <v>506</v>
      </c>
      <c r="B306" s="39"/>
      <c r="C306" s="39" t="s">
        <v>351</v>
      </c>
      <c r="D306" s="284"/>
      <c r="E306" s="40" t="s">
        <v>507</v>
      </c>
      <c r="F306" s="300">
        <v>10000</v>
      </c>
      <c r="G306" s="130" t="s">
        <v>28</v>
      </c>
      <c r="H306" s="127" t="s">
        <v>99</v>
      </c>
      <c r="I306" s="42" t="s">
        <v>398</v>
      </c>
      <c r="J306" s="128" t="s">
        <v>480</v>
      </c>
      <c r="K306" s="295"/>
      <c r="L306" s="295"/>
      <c r="M306" s="295"/>
      <c r="N306" s="295"/>
      <c r="O306" s="295"/>
      <c r="P306" s="295"/>
      <c r="Q306" s="295"/>
      <c r="R306" s="296"/>
      <c r="S306" s="296"/>
      <c r="T306" s="75"/>
      <c r="U306" s="75"/>
      <c r="V306" s="75"/>
      <c r="W306" s="75"/>
      <c r="X306" s="75"/>
      <c r="Y306" s="118"/>
      <c r="Z306" s="118">
        <v>10000</v>
      </c>
      <c r="AA306" s="131"/>
      <c r="AB306" s="75"/>
      <c r="AC306" s="75"/>
      <c r="AD306" s="40" t="s">
        <v>346</v>
      </c>
      <c r="AE306" s="180">
        <f>SUM(Tabelle1[[#This Row],[bis Ende 2010
CHF inkl. MWST]:[Aufgelaufene Kosten 2022
CHF inkl. MWST]])</f>
        <v>0</v>
      </c>
      <c r="AF306" s="306">
        <f>Tabelle1[[#This Row],[Summe Vertrag
CHF inkl. MWST]]-Tabelle1[[#This Row],[Total Rechnungen]]</f>
        <v>10000</v>
      </c>
      <c r="AG306" s="192">
        <f>Tabelle1[[#This Row],[Total Rechnungen]]+Tabelle1[[#This Row],[Restbudget Vertrag]]</f>
        <v>10000</v>
      </c>
    </row>
    <row r="307" spans="1:34" s="2" customFormat="1" ht="12.6" customHeight="1" x14ac:dyDescent="0.15">
      <c r="A307" s="39"/>
      <c r="B307" s="39"/>
      <c r="C307" s="39" t="s">
        <v>351</v>
      </c>
      <c r="D307" s="40" t="s">
        <v>16</v>
      </c>
      <c r="E307" s="40" t="s">
        <v>498</v>
      </c>
      <c r="F307" s="300">
        <v>45000</v>
      </c>
      <c r="G307" s="150" t="s">
        <v>28</v>
      </c>
      <c r="H307" s="127" t="s">
        <v>99</v>
      </c>
      <c r="I307" s="42" t="s">
        <v>398</v>
      </c>
      <c r="J307" s="128" t="s">
        <v>480</v>
      </c>
      <c r="K307" s="295"/>
      <c r="L307" s="295"/>
      <c r="M307" s="295"/>
      <c r="N307" s="295"/>
      <c r="O307" s="295"/>
      <c r="P307" s="295"/>
      <c r="Q307" s="295"/>
      <c r="R307" s="296"/>
      <c r="S307" s="296"/>
      <c r="T307" s="75"/>
      <c r="U307" s="75"/>
      <c r="V307" s="75"/>
      <c r="W307" s="118"/>
      <c r="X307" s="118">
        <v>5000</v>
      </c>
      <c r="Y307" s="118"/>
      <c r="Z307" s="118">
        <v>10000</v>
      </c>
      <c r="AA307" s="118">
        <v>10000</v>
      </c>
      <c r="AB307" s="118">
        <v>10000</v>
      </c>
      <c r="AC307" s="118">
        <v>10000</v>
      </c>
      <c r="AD307" s="40" t="s">
        <v>346</v>
      </c>
      <c r="AE307" s="180">
        <f>SUM(Tabelle1[[#This Row],[bis Ende 2010
CHF inkl. MWST]:[Aufgelaufene Kosten 2022
CHF inkl. MWST]])</f>
        <v>0</v>
      </c>
      <c r="AF307" s="306">
        <f>Tabelle1[[#This Row],[Summe Vertrag
CHF inkl. MWST]]-Tabelle1[[#This Row],[Total Rechnungen]]</f>
        <v>45000</v>
      </c>
      <c r="AG307" s="192">
        <f>Tabelle1[[#This Row],[Total Rechnungen]]+Tabelle1[[#This Row],[Restbudget Vertrag]]</f>
        <v>45000</v>
      </c>
    </row>
    <row r="308" spans="1:34" s="2" customFormat="1" ht="12.6" hidden="1" customHeight="1" x14ac:dyDescent="0.15">
      <c r="A308" s="23"/>
      <c r="B308" s="100"/>
      <c r="C308" s="100" t="s">
        <v>401</v>
      </c>
      <c r="D308" s="9" t="s">
        <v>370</v>
      </c>
      <c r="E308" s="9" t="s">
        <v>415</v>
      </c>
      <c r="F308" s="23">
        <v>0</v>
      </c>
      <c r="G308" s="9" t="s">
        <v>28</v>
      </c>
      <c r="H308" s="13" t="s">
        <v>99</v>
      </c>
      <c r="I308" s="35" t="s">
        <v>398</v>
      </c>
      <c r="J308" s="102" t="s">
        <v>480</v>
      </c>
      <c r="K308" s="268"/>
      <c r="L308" s="268"/>
      <c r="M308" s="268"/>
      <c r="N308" s="268"/>
      <c r="O308" s="268"/>
      <c r="P308" s="268"/>
      <c r="Q308" s="268"/>
      <c r="R308" s="269"/>
      <c r="S308" s="269"/>
      <c r="T308" s="75"/>
      <c r="U308" s="75"/>
      <c r="V308" s="75"/>
      <c r="W308" s="131"/>
      <c r="X308" s="131"/>
      <c r="Y308" s="131"/>
      <c r="Z308" s="75"/>
      <c r="AA308" s="75"/>
      <c r="AB308" s="75"/>
      <c r="AC308" s="75"/>
      <c r="AD308" s="114"/>
      <c r="AE308" s="181">
        <f>SUM(Tabelle1[[#This Row],[bis Ende 2010
CHF inkl. MWST]:[Aufgelaufene Kosten 2022
CHF inkl. MWST]])</f>
        <v>0</v>
      </c>
      <c r="AF308" s="325"/>
      <c r="AG308" s="222">
        <f>Tabelle1[[#This Row],[Total Rechnungen]]+Tabelle1[[#This Row],[Restbudget Vertrag]]</f>
        <v>0</v>
      </c>
    </row>
    <row r="309" spans="1:34" s="2" customFormat="1" ht="12.6" hidden="1" customHeight="1" x14ac:dyDescent="0.15">
      <c r="A309" s="23"/>
      <c r="B309" s="100"/>
      <c r="C309" s="100" t="s">
        <v>401</v>
      </c>
      <c r="D309" s="99" t="s">
        <v>370</v>
      </c>
      <c r="E309" s="9" t="s">
        <v>416</v>
      </c>
      <c r="F309" s="100">
        <v>0</v>
      </c>
      <c r="G309" s="9" t="s">
        <v>28</v>
      </c>
      <c r="H309" s="13" t="s">
        <v>99</v>
      </c>
      <c r="I309" s="35" t="s">
        <v>398</v>
      </c>
      <c r="J309" s="102" t="s">
        <v>480</v>
      </c>
      <c r="K309" s="210"/>
      <c r="L309" s="210"/>
      <c r="M309" s="210"/>
      <c r="N309" s="210"/>
      <c r="O309" s="210"/>
      <c r="P309" s="210"/>
      <c r="Q309" s="210"/>
      <c r="R309" s="210"/>
      <c r="S309" s="210"/>
      <c r="T309" s="75"/>
      <c r="U309" s="75"/>
      <c r="V309" s="75"/>
      <c r="W309" s="131"/>
      <c r="X309" s="131"/>
      <c r="Y309" s="131"/>
      <c r="Z309" s="131"/>
      <c r="AA309" s="75"/>
      <c r="AB309" s="75"/>
      <c r="AC309" s="75"/>
      <c r="AD309" s="114"/>
      <c r="AE309" s="181">
        <f>SUM(Tabelle1[[#This Row],[bis Ende 2010
CHF inkl. MWST]:[Aufgelaufene Kosten 2022
CHF inkl. MWST]])</f>
        <v>0</v>
      </c>
      <c r="AF309" s="326"/>
      <c r="AG309" s="222">
        <f>Tabelle1[[#This Row],[Total Rechnungen]]+Tabelle1[[#This Row],[Restbudget Vertrag]]</f>
        <v>0</v>
      </c>
    </row>
    <row r="310" spans="1:34" s="2" customFormat="1" x14ac:dyDescent="0.15">
      <c r="A310" s="62"/>
      <c r="B310" s="62"/>
      <c r="C310" s="62"/>
      <c r="D310" s="61"/>
      <c r="E310" s="61"/>
      <c r="F310" s="62"/>
      <c r="H310" s="63"/>
      <c r="I310" s="64"/>
      <c r="J310" s="65"/>
      <c r="K310" s="65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6"/>
    </row>
    <row r="311" spans="1:34" s="2" customFormat="1" x14ac:dyDescent="0.15">
      <c r="I311" s="10"/>
      <c r="J311" s="90" t="s">
        <v>161</v>
      </c>
      <c r="K311" s="238">
        <f t="shared" ref="K311:X311" si="0">SUM(K3:K310)</f>
        <v>1045367.4800000001</v>
      </c>
      <c r="L311" s="238">
        <f t="shared" si="0"/>
        <v>1248136.7200000002</v>
      </c>
      <c r="M311" s="238">
        <f t="shared" si="0"/>
        <v>671879.48</v>
      </c>
      <c r="N311" s="238">
        <f t="shared" si="0"/>
        <v>1165111.5900000001</v>
      </c>
      <c r="O311" s="238">
        <f t="shared" si="0"/>
        <v>1828553.3800000001</v>
      </c>
      <c r="P311" s="238">
        <f t="shared" si="0"/>
        <v>661093.9</v>
      </c>
      <c r="Q311" s="238">
        <f t="shared" si="0"/>
        <v>1316222.3964000004</v>
      </c>
      <c r="R311" s="238">
        <f t="shared" si="0"/>
        <v>1823050.2099999997</v>
      </c>
      <c r="S311" s="238">
        <f t="shared" si="0"/>
        <v>402796.60999999993</v>
      </c>
      <c r="T311" s="238">
        <f t="shared" si="0"/>
        <v>337388.34</v>
      </c>
      <c r="U311" s="238">
        <f t="shared" si="0"/>
        <v>579973.93000000017</v>
      </c>
      <c r="V311" s="238">
        <f t="shared" si="0"/>
        <v>2296809.1900000004</v>
      </c>
      <c r="W311" s="238">
        <f t="shared" si="0"/>
        <v>12947806.154800003</v>
      </c>
      <c r="X311" s="238">
        <f t="shared" si="0"/>
        <v>1920653.8907000008</v>
      </c>
      <c r="Y311" s="379"/>
      <c r="Z311" s="238">
        <f>SUM(Z3:Z310)</f>
        <v>24355969.968049999</v>
      </c>
      <c r="AA311" s="238">
        <f>SUM(AA3:AA310)</f>
        <v>14993000</v>
      </c>
      <c r="AB311" s="238">
        <f>SUM(AB3:AB310)</f>
        <v>11834836.34</v>
      </c>
      <c r="AC311" s="238">
        <f>SUM(AC3:AC310)</f>
        <v>11523734.290000001</v>
      </c>
      <c r="AD311" s="238"/>
      <c r="AE311" s="244">
        <f>SUM(AE3:AE310)</f>
        <v>26355403.281200007</v>
      </c>
      <c r="AF311" s="244">
        <f>SUM(AF3:AF310)</f>
        <v>64383419.69867003</v>
      </c>
      <c r="AG311" s="244">
        <f>SUM(AG3:AG310)</f>
        <v>90144334.029869989</v>
      </c>
      <c r="AH311" s="184"/>
    </row>
    <row r="312" spans="1:34" s="2" customFormat="1" x14ac:dyDescent="0.15">
      <c r="A312" s="29"/>
      <c r="B312" s="29"/>
      <c r="C312" s="29"/>
      <c r="D312" s="46"/>
      <c r="F312" s="29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57"/>
      <c r="T312" s="10"/>
      <c r="U312" s="10"/>
      <c r="V312" s="276"/>
      <c r="W312" s="385">
        <f>SUM(W311:X311)</f>
        <v>14868460.045500005</v>
      </c>
      <c r="X312" s="385"/>
      <c r="Y312" s="188"/>
      <c r="Z312" s="188"/>
      <c r="AA312" s="188"/>
      <c r="AB312" s="188"/>
      <c r="AC312" s="188"/>
      <c r="AD312" s="188"/>
      <c r="AE312" s="29"/>
      <c r="AG312" s="318">
        <f>AG311*1.07</f>
        <v>96454437.4119609</v>
      </c>
      <c r="AH312" s="319" t="s">
        <v>573</v>
      </c>
    </row>
    <row r="313" spans="1:34" s="2" customFormat="1" x14ac:dyDescent="0.15">
      <c r="D313" s="46"/>
      <c r="E313" s="46"/>
      <c r="F313" s="348"/>
      <c r="I313" s="10"/>
      <c r="J313" s="10"/>
      <c r="K313" s="47"/>
      <c r="R313" s="152"/>
      <c r="S313" s="152"/>
      <c r="T313" s="152"/>
      <c r="U313" s="202"/>
      <c r="V313" s="189"/>
      <c r="W313" s="189"/>
      <c r="X313" s="189"/>
      <c r="Y313" s="189"/>
      <c r="Z313" s="189"/>
      <c r="AA313" s="189"/>
      <c r="AB313" s="189"/>
      <c r="AC313" s="189"/>
      <c r="AD313" s="189"/>
      <c r="AE313" s="51"/>
      <c r="AH313" s="185"/>
    </row>
    <row r="314" spans="1:34" s="2" customFormat="1" x14ac:dyDescent="0.15">
      <c r="D314" s="46"/>
      <c r="E314" s="46"/>
      <c r="F314" s="348"/>
      <c r="I314" s="10"/>
      <c r="J314" s="10"/>
      <c r="K314" s="47"/>
      <c r="AE314" s="29"/>
    </row>
    <row r="315" spans="1:34" s="2" customFormat="1" x14ac:dyDescent="0.15">
      <c r="D315" s="46"/>
      <c r="E315" s="46"/>
      <c r="F315" s="184"/>
      <c r="I315" s="10"/>
      <c r="J315" s="10"/>
      <c r="K315" s="47"/>
      <c r="V315" s="328"/>
      <c r="W315" s="218" t="s">
        <v>27</v>
      </c>
      <c r="X315" s="218" t="s">
        <v>27</v>
      </c>
      <c r="Y315" s="218" t="s">
        <v>27</v>
      </c>
      <c r="Z315" s="218" t="s">
        <v>27</v>
      </c>
      <c r="AA315" s="218" t="s">
        <v>27</v>
      </c>
      <c r="AB315" s="218" t="s">
        <v>27</v>
      </c>
      <c r="AC315" s="218" t="s">
        <v>27</v>
      </c>
      <c r="AE315" s="218" t="s">
        <v>27</v>
      </c>
      <c r="AF315" s="218" t="s">
        <v>27</v>
      </c>
      <c r="AG315" s="218" t="s">
        <v>27</v>
      </c>
    </row>
    <row r="316" spans="1:34" s="2" customFormat="1" x14ac:dyDescent="0.15">
      <c r="D316" s="46"/>
      <c r="E316" s="46"/>
      <c r="F316" s="184"/>
      <c r="I316" s="10"/>
      <c r="J316" s="47"/>
      <c r="K316" s="47"/>
      <c r="V316" s="329"/>
      <c r="W316" s="257" cm="1">
        <f t="array" ref="W316">SUMPRODUCT(($G$3:$G$309=W315)*(Tabelle1[Aufgelaufene Kosten 2022
CHF inkl. MWST]))</f>
        <v>303056.96000000002</v>
      </c>
      <c r="X316" s="257" cm="1">
        <f t="array" ref="X316">SUMPRODUCT(($G$3:$G$309=X315)*(Tabelle1[Geplant 2022
CHF inkl. MWST]))</f>
        <v>14600</v>
      </c>
      <c r="Y316" s="257" cm="1">
        <f t="array" ref="Y316">SUMPRODUCT(($G$3:$G$309=Y315)*(Tabelle1[Aufgelaufene Kosten 2023
CHF inkl. MWST]))</f>
        <v>0</v>
      </c>
      <c r="Z316" s="257" cm="1">
        <f t="array" ref="Z316">SUMPRODUCT(($G$3:$G$309=Z315)*(Tabelle1[Geplant 2023
CHF inkl. MWST]))</f>
        <v>281393.71000000002</v>
      </c>
      <c r="AA316" s="257" cm="1">
        <f t="array" ref="AA316">SUMPRODUCT(($G$3:$G$309=AA315)*(Tabelle1[Geplant 2024
CHF inkl. MWST]))</f>
        <v>211000</v>
      </c>
      <c r="AB316" s="257" cm="1">
        <f t="array" ref="AB316">SUMPRODUCT(($G$3:$G$309=AB315)*(Tabelle1[Geplant 2025
CHF inkl. MWST]))</f>
        <v>2105000</v>
      </c>
      <c r="AC316" s="257" cm="1">
        <f t="array" ref="AC316">SUMPRODUCT(($G$3:$G$309=AC315)*(Tabelle1[Geplant 2026
CHF inkl. MWST]))</f>
        <v>10393323.59</v>
      </c>
      <c r="AE316" s="257" cm="1">
        <f t="array" ref="AE316">SUMPRODUCT(($G$3:$G$309=AE315)*(Tabelle1[Total Rechnungen]))</f>
        <v>532518.58999999985</v>
      </c>
      <c r="AF316" s="257" cm="1">
        <f t="array" ref="AF316">SUMPRODUCT(($G$3:$G$309=AF315)*(Tabelle1[Restbudget Vertrag]))</f>
        <v>13124342.732100001</v>
      </c>
      <c r="AG316" s="257" cm="1">
        <f t="array" ref="AG316">SUMPRODUCT(($G$3:$G$309=AG315)*(Tabelle1[EKP]))</f>
        <v>13656861.3221</v>
      </c>
    </row>
    <row r="317" spans="1:34" s="2" customFormat="1" x14ac:dyDescent="0.15">
      <c r="F317" s="29"/>
      <c r="I317" s="10"/>
      <c r="J317" s="10"/>
      <c r="K317" s="47"/>
      <c r="O317" s="10"/>
      <c r="P317" s="10"/>
      <c r="Q317" s="10"/>
      <c r="R317" s="10"/>
      <c r="S317" s="145"/>
      <c r="T317" s="145"/>
      <c r="U317" s="145"/>
      <c r="V317" s="328"/>
      <c r="W317" s="218" t="s">
        <v>28</v>
      </c>
      <c r="X317" s="218" t="s">
        <v>28</v>
      </c>
      <c r="Y317" s="218" t="s">
        <v>28</v>
      </c>
      <c r="Z317" s="218" t="s">
        <v>28</v>
      </c>
      <c r="AA317" s="218" t="s">
        <v>28</v>
      </c>
      <c r="AB317" s="218" t="s">
        <v>28</v>
      </c>
      <c r="AC317" s="218" t="s">
        <v>28</v>
      </c>
      <c r="AD317" s="145"/>
      <c r="AE317" s="218" t="s">
        <v>28</v>
      </c>
      <c r="AF317" s="218" t="s">
        <v>28</v>
      </c>
      <c r="AG317" s="218" t="s">
        <v>28</v>
      </c>
    </row>
    <row r="318" spans="1:34" s="2" customFormat="1" x14ac:dyDescent="0.15">
      <c r="F318" s="29"/>
      <c r="I318" s="10"/>
      <c r="J318" s="10"/>
      <c r="K318" s="10"/>
      <c r="N318" s="29"/>
      <c r="O318" s="47"/>
      <c r="P318" s="47"/>
      <c r="Q318" s="47"/>
      <c r="R318" s="47"/>
      <c r="S318" s="47"/>
      <c r="T318" s="47"/>
      <c r="U318" s="47"/>
      <c r="V318" s="329"/>
      <c r="W318" s="257" cm="1">
        <f t="array" ref="W318">SUMPRODUCT(($G$3:$G$309=W317)*(Tabelle1[Aufgelaufene Kosten 2022
CHF inkl. MWST]))</f>
        <v>7132951.8648000024</v>
      </c>
      <c r="X318" s="257" cm="1">
        <f t="array" ref="X318">SUMPRODUCT(($G$3:$G$309=X317)*(Tabelle1[Geplant 2022
CHF inkl. MWST]))</f>
        <v>477985.86069999979</v>
      </c>
      <c r="Y318" s="257" cm="1">
        <f t="array" ref="Y318">SUMPRODUCT(($G$3:$G$309=Y317)*(Tabelle1[Aufgelaufene Kosten 2023
CHF inkl. MWST]))</f>
        <v>29213.9</v>
      </c>
      <c r="Z318" s="257" cm="1">
        <f t="array" ref="Z318">SUMPRODUCT(($G$3:$G$309=Z317)*(Tabelle1[Geplant 2023
CHF inkl. MWST]))</f>
        <v>7484576.2580499994</v>
      </c>
      <c r="AA318" s="257" cm="1">
        <f t="array" ref="AA318">SUMPRODUCT(($G$3:$G$309=AA317)*(Tabelle1[Geplant 2024
CHF inkl. MWST]))</f>
        <v>5272000</v>
      </c>
      <c r="AB318" s="257" cm="1">
        <f t="array" ref="AB318">SUMPRODUCT(($G$3:$G$309=AB317)*(Tabelle1[Geplant 2025
CHF inkl. MWST]))</f>
        <v>3210234.8</v>
      </c>
      <c r="AC318" s="257" cm="1">
        <f t="array" ref="AC318">SUMPRODUCT(($G$3:$G$309=AC317)*(Tabelle1[Geplant 2026
CHF inkl. MWST]))</f>
        <v>1130410.7</v>
      </c>
      <c r="AD318" s="47"/>
      <c r="AE318" s="257" cm="1">
        <f t="array" ref="AE318">SUMPRODUCT(($G$3:$G$309=AE317)*(Tabelle1[Total Rechnungen]))</f>
        <v>14899393.771200005</v>
      </c>
      <c r="AF318" s="257" cm="1">
        <f t="array" ref="AF318">SUMPRODUCT(($G$3:$G$309=AF317)*(Tabelle1[Restbudget Vertrag]))</f>
        <v>18354503.080419995</v>
      </c>
      <c r="AG318" s="257" cm="1">
        <f t="array" ref="AG318">SUMPRODUCT(($G$3:$G$309=AG317)*(Tabelle1[EKP]))</f>
        <v>32659407.901619997</v>
      </c>
    </row>
    <row r="319" spans="1:34" s="2" customFormat="1" x14ac:dyDescent="0.15">
      <c r="F319" s="29"/>
      <c r="I319" s="10"/>
      <c r="J319" s="10"/>
      <c r="K319" s="10"/>
      <c r="N319" s="29"/>
      <c r="O319" s="47"/>
      <c r="P319" s="47"/>
      <c r="Q319" s="47"/>
      <c r="R319" s="47"/>
      <c r="S319" s="47"/>
      <c r="T319" s="47"/>
      <c r="U319" s="47"/>
      <c r="V319" s="330"/>
      <c r="W319" s="271" t="s">
        <v>29</v>
      </c>
      <c r="X319" s="271" t="s">
        <v>29</v>
      </c>
      <c r="Y319" s="271" t="s">
        <v>29</v>
      </c>
      <c r="Z319" s="271" t="s">
        <v>29</v>
      </c>
      <c r="AA319" s="271" t="s">
        <v>29</v>
      </c>
      <c r="AB319" s="271" t="s">
        <v>29</v>
      </c>
      <c r="AC319" s="271" t="s">
        <v>29</v>
      </c>
      <c r="AD319" s="47"/>
      <c r="AE319" s="271" t="s">
        <v>29</v>
      </c>
      <c r="AF319" s="271" t="s">
        <v>29</v>
      </c>
      <c r="AG319" s="271" t="s">
        <v>29</v>
      </c>
    </row>
    <row r="320" spans="1:34" s="2" customFormat="1" x14ac:dyDescent="0.15">
      <c r="F320" s="29"/>
      <c r="I320" s="10"/>
      <c r="J320" s="10"/>
      <c r="K320" s="10"/>
      <c r="N320" s="29"/>
      <c r="O320" s="47"/>
      <c r="P320" s="47"/>
      <c r="Q320" s="47"/>
      <c r="R320" s="47"/>
      <c r="S320" s="47"/>
      <c r="T320" s="47"/>
      <c r="U320" s="47"/>
      <c r="V320" s="329"/>
      <c r="W320" s="257" cm="1">
        <f t="array" ref="W320">SUMPRODUCT(($G$3:$G$309=W319)*(Tabelle1[Aufgelaufene Kosten 2022
CHF inkl. MWST]))</f>
        <v>5511797.3300000001</v>
      </c>
      <c r="X320" s="257" cm="1">
        <f t="array" ref="X320">SUMPRODUCT(($G$3:$G$309=X319)*(Tabelle1[Geplant 2022
CHF inkl. MWST]))</f>
        <v>1428068.0300000012</v>
      </c>
      <c r="Y320" s="257" cm="1">
        <f t="array" ref="Y320">SUMPRODUCT(($G$3:$G$309=Y319)*(Tabelle1[Aufgelaufene Kosten 2023
CHF inkl. MWST]))</f>
        <v>0</v>
      </c>
      <c r="Z320" s="257" cm="1">
        <f t="array" ref="Z320">SUMPRODUCT(($G$3:$G$309=Z319)*(Tabelle1[Geplant 2023
CHF inkl. MWST]))</f>
        <v>16590000</v>
      </c>
      <c r="AA320" s="257" cm="1">
        <f t="array" ref="AA320">SUMPRODUCT(($G$3:$G$309=AA319)*(Tabelle1[Geplant 2024
CHF inkl. MWST]))</f>
        <v>9510000</v>
      </c>
      <c r="AB320" s="257" cm="1">
        <f t="array" ref="AB320">SUMPRODUCT(($G$3:$G$309=AB319)*(Tabelle1[Geplant 2025
CHF inkl. MWST]))</f>
        <v>6519601.54</v>
      </c>
      <c r="AC320" s="257" cm="1">
        <f t="array" ref="AC320">SUMPRODUCT(($G$3:$G$309=AC319)*(Tabelle1[Geplant 2026
CHF inkl. MWST]))</f>
        <v>0</v>
      </c>
      <c r="AD320" s="47"/>
      <c r="AE320" s="257" cm="1">
        <f t="array" ref="AE320">SUMPRODUCT(($G$3:$G$309=AE319)*(Tabelle1[Total Rechnungen]))</f>
        <v>10923490.920000002</v>
      </c>
      <c r="AF320" s="257" cm="1">
        <f t="array" ref="AF320">SUMPRODUCT(($G$3:$G$309=AF319)*(Tabelle1[Restbudget Vertrag]))</f>
        <v>32904573.886149999</v>
      </c>
      <c r="AG320" s="257" cm="1">
        <f t="array" ref="AG320">SUMPRODUCT(($G$3:$G$309=AG319)*(Tabelle1[EKP]))</f>
        <v>43828064.806149997</v>
      </c>
    </row>
    <row r="321" spans="1:33" s="2" customFormat="1" x14ac:dyDescent="0.15">
      <c r="F321" s="29"/>
      <c r="I321" s="10"/>
      <c r="J321" s="10"/>
      <c r="K321" s="10"/>
      <c r="N321" s="29"/>
      <c r="O321" s="47"/>
      <c r="P321" s="47"/>
      <c r="Q321" s="47"/>
      <c r="R321" s="47"/>
      <c r="S321" s="47"/>
      <c r="T321" s="47"/>
      <c r="U321" s="47"/>
      <c r="V321" s="331"/>
      <c r="X321" s="47"/>
      <c r="Y321" s="380"/>
      <c r="Z321" s="47"/>
      <c r="AA321" s="47"/>
      <c r="AB321" s="47"/>
      <c r="AC321" s="47"/>
      <c r="AD321" s="47"/>
      <c r="AE321" s="383"/>
      <c r="AF321" s="383"/>
      <c r="AG321" s="383"/>
    </row>
    <row r="322" spans="1:33" s="2" customFormat="1" x14ac:dyDescent="0.15">
      <c r="F322" s="29"/>
      <c r="I322" s="10"/>
      <c r="J322" s="10"/>
      <c r="K322" s="10"/>
      <c r="N322" s="29"/>
      <c r="O322" s="47"/>
      <c r="P322" s="47"/>
      <c r="Q322" s="47"/>
      <c r="R322" s="47"/>
      <c r="S322" s="47"/>
      <c r="T322" s="47"/>
      <c r="U322" s="47"/>
      <c r="V322" s="328"/>
      <c r="W322" s="386" t="s">
        <v>27</v>
      </c>
      <c r="X322" s="387"/>
      <c r="Y322" s="395" t="s">
        <v>27</v>
      </c>
      <c r="Z322" s="395"/>
      <c r="AA322" s="320" t="s">
        <v>27</v>
      </c>
      <c r="AB322" s="320" t="s">
        <v>27</v>
      </c>
      <c r="AC322" s="320" t="s">
        <v>27</v>
      </c>
      <c r="AD322" s="47"/>
      <c r="AE322" s="320" t="s">
        <v>27</v>
      </c>
      <c r="AF322" s="320" t="s">
        <v>27</v>
      </c>
      <c r="AG322" s="320" t="s">
        <v>27</v>
      </c>
    </row>
    <row r="323" spans="1:33" s="2" customFormat="1" x14ac:dyDescent="0.15">
      <c r="F323" s="29"/>
      <c r="I323" s="10"/>
      <c r="J323" s="10"/>
      <c r="K323" s="10"/>
      <c r="N323" s="29"/>
      <c r="O323" s="47"/>
      <c r="P323" s="47"/>
      <c r="Q323" s="47"/>
      <c r="R323" s="47"/>
      <c r="S323" s="47"/>
      <c r="T323" s="47"/>
      <c r="U323" s="47"/>
      <c r="V323" s="332"/>
      <c r="W323" s="388">
        <f>SUM(W316:X316)+(SUM(W320:X320)*0.05)</f>
        <v>664650.22800000012</v>
      </c>
      <c r="X323" s="387"/>
      <c r="Y323" s="388">
        <f>SUM(Y316:Z316)+(SUM(Y320:Z320)*0.05)</f>
        <v>1110893.71</v>
      </c>
      <c r="Z323" s="387"/>
      <c r="AA323" s="317">
        <f t="shared" ref="AA323:AC323" si="1">AA316+(AA320*0.05)</f>
        <v>686500</v>
      </c>
      <c r="AB323" s="317">
        <f t="shared" si="1"/>
        <v>2430980.077</v>
      </c>
      <c r="AC323" s="317">
        <f t="shared" si="1"/>
        <v>10393323.59</v>
      </c>
      <c r="AD323" s="47"/>
      <c r="AE323" s="383">
        <f t="shared" ref="AE323:AG323" si="2">AE316+(AE320*0.05)</f>
        <v>1078693.1359999999</v>
      </c>
      <c r="AF323" s="383">
        <f t="shared" si="2"/>
        <v>14769571.426407501</v>
      </c>
      <c r="AG323" s="383">
        <f t="shared" si="2"/>
        <v>15848264.562407501</v>
      </c>
    </row>
    <row r="324" spans="1:33" s="2" customFormat="1" x14ac:dyDescent="0.15">
      <c r="F324" s="29"/>
      <c r="I324" s="10"/>
      <c r="J324" s="10"/>
      <c r="K324" s="10"/>
      <c r="N324" s="29"/>
      <c r="O324" s="47"/>
      <c r="P324" s="47"/>
      <c r="Q324" s="47"/>
      <c r="R324" s="47"/>
      <c r="S324" s="47"/>
      <c r="T324" s="47"/>
      <c r="U324" s="47"/>
      <c r="V324" s="328"/>
      <c r="W324" s="386" t="s">
        <v>28</v>
      </c>
      <c r="X324" s="387"/>
      <c r="Y324" s="395" t="s">
        <v>28</v>
      </c>
      <c r="Z324" s="395"/>
      <c r="AA324" s="320" t="s">
        <v>28</v>
      </c>
      <c r="AB324" s="320" t="s">
        <v>28</v>
      </c>
      <c r="AC324" s="320" t="s">
        <v>28</v>
      </c>
      <c r="AD324" s="47"/>
      <c r="AE324" s="320" t="s">
        <v>28</v>
      </c>
      <c r="AF324" s="320" t="s">
        <v>28</v>
      </c>
      <c r="AG324" s="320" t="s">
        <v>28</v>
      </c>
    </row>
    <row r="325" spans="1:33" s="2" customFormat="1" x14ac:dyDescent="0.15">
      <c r="F325" s="29"/>
      <c r="I325" s="10"/>
      <c r="J325" s="10"/>
      <c r="K325" s="10"/>
      <c r="N325" s="29"/>
      <c r="O325" s="47"/>
      <c r="P325" s="47"/>
      <c r="Q325" s="47"/>
      <c r="R325" s="47"/>
      <c r="S325" s="47"/>
      <c r="T325" s="47"/>
      <c r="U325" s="47"/>
      <c r="V325" s="332"/>
      <c r="W325" s="388">
        <f>SUM(W318:X318)+(SUM(W320:X320)*0.95)</f>
        <v>14203809.817500003</v>
      </c>
      <c r="X325" s="387"/>
      <c r="Y325" s="388">
        <f>SUM(Y318:Z318)+(SUM(Y320:Z320)*0.95)</f>
        <v>23274290.158050001</v>
      </c>
      <c r="Z325" s="387"/>
      <c r="AA325" s="317">
        <f t="shared" ref="AA325:AC325" si="3">AA318+AA320*0.95</f>
        <v>14306500</v>
      </c>
      <c r="AB325" s="317">
        <f t="shared" si="3"/>
        <v>9403856.2630000003</v>
      </c>
      <c r="AC325" s="317">
        <f t="shared" si="3"/>
        <v>1130410.7</v>
      </c>
      <c r="AD325" s="47"/>
      <c r="AE325" s="383">
        <f t="shared" ref="AE325:AG325" si="4">AE318+AE320*0.95</f>
        <v>25276710.145200007</v>
      </c>
      <c r="AF325" s="383">
        <f t="shared" si="4"/>
        <v>49613848.272262491</v>
      </c>
      <c r="AG325" s="383">
        <f t="shared" si="4"/>
        <v>74296069.467462495</v>
      </c>
    </row>
    <row r="326" spans="1:33" s="2" customFormat="1" x14ac:dyDescent="0.15">
      <c r="F326" s="29"/>
      <c r="I326" s="10"/>
      <c r="J326" s="10"/>
      <c r="K326" s="10"/>
      <c r="N326" s="29"/>
      <c r="O326" s="47"/>
      <c r="P326" s="47"/>
      <c r="Q326" s="47"/>
      <c r="R326" s="47"/>
      <c r="S326" s="47"/>
      <c r="T326" s="47"/>
      <c r="U326" s="47"/>
      <c r="V326" s="331"/>
      <c r="W326" s="389">
        <f>W323+W325</f>
        <v>14868460.045500003</v>
      </c>
      <c r="X326" s="390"/>
      <c r="Y326" s="389">
        <f>Y323+Y325</f>
        <v>24385183.868050002</v>
      </c>
      <c r="Z326" s="389"/>
      <c r="AA326" s="321">
        <f t="shared" ref="AA326:AC326" si="5">AA323+AA325</f>
        <v>14993000</v>
      </c>
      <c r="AB326" s="321">
        <f t="shared" si="5"/>
        <v>11834836.34</v>
      </c>
      <c r="AC326" s="321">
        <f t="shared" si="5"/>
        <v>11523734.289999999</v>
      </c>
      <c r="AD326" s="321" t="s">
        <v>500</v>
      </c>
      <c r="AE326" s="384">
        <f t="shared" ref="AE326:AG326" si="6">AE323+AE325</f>
        <v>26355403.281200007</v>
      </c>
      <c r="AF326" s="384">
        <f t="shared" si="6"/>
        <v>64383419.698669992</v>
      </c>
      <c r="AG326" s="384">
        <f t="shared" si="6"/>
        <v>90144334.029870003</v>
      </c>
    </row>
    <row r="327" spans="1:33" s="2" customFormat="1" x14ac:dyDescent="0.15">
      <c r="A327" s="29"/>
      <c r="B327" s="29"/>
      <c r="C327" s="29"/>
      <c r="F327" s="29"/>
      <c r="I327" s="10"/>
      <c r="J327" s="10"/>
      <c r="K327" s="10"/>
      <c r="V327" s="331"/>
      <c r="AD327" s="47"/>
    </row>
    <row r="328" spans="1:33" s="2" customFormat="1" x14ac:dyDescent="0.15">
      <c r="I328" s="10"/>
      <c r="J328" s="10"/>
      <c r="K328" s="10"/>
      <c r="V328" s="328"/>
      <c r="W328" s="218" t="s">
        <v>397</v>
      </c>
      <c r="X328" s="218" t="s">
        <v>397</v>
      </c>
      <c r="Y328" s="218" t="s">
        <v>397</v>
      </c>
      <c r="Z328" s="218" t="s">
        <v>397</v>
      </c>
      <c r="AA328" s="218" t="s">
        <v>397</v>
      </c>
      <c r="AB328" s="218" t="s">
        <v>397</v>
      </c>
      <c r="AC328" s="218" t="s">
        <v>397</v>
      </c>
      <c r="AD328" s="47"/>
      <c r="AE328" s="218" t="s">
        <v>397</v>
      </c>
      <c r="AF328" s="218" t="s">
        <v>397</v>
      </c>
      <c r="AG328" s="218" t="s">
        <v>397</v>
      </c>
    </row>
    <row r="329" spans="1:33" s="2" customFormat="1" x14ac:dyDescent="0.15">
      <c r="I329" s="10"/>
      <c r="J329" s="10"/>
      <c r="K329" s="10"/>
      <c r="S329" s="29"/>
      <c r="V329" s="329"/>
      <c r="W329" s="257" cm="1">
        <f t="array" ref="W329">SUMPRODUCT(($I$3:$I$309=W328)*(Tabelle1[Aufgelaufene Kosten 2022
CHF inkl. MWST]))</f>
        <v>1971777.3900000006</v>
      </c>
      <c r="X329" s="257" cm="1">
        <f t="array" ref="X329">SUMPRODUCT(($I$3:$I$309=X328)*(Tabelle1[Geplant 2022
CHF inkl. MWST]))</f>
        <v>56860.1</v>
      </c>
      <c r="Y329" s="257" cm="1">
        <f t="array" ref="Y329">SUMPRODUCT(($I$3:$I$309=Y328)*(Tabelle1[Aufgelaufene Kosten 2023
CHF inkl. MWST]))</f>
        <v>29213.9</v>
      </c>
      <c r="Z329" s="257" cm="1">
        <f t="array" ref="Z329">SUMPRODUCT(($I$3:$I$309=Z328)*(Tabelle1[Geplant 2023
CHF inkl. MWST]))</f>
        <v>2022361.1669999999</v>
      </c>
      <c r="AA329" s="257" cm="1">
        <f t="array" ref="AA329">SUMPRODUCT(($I$3:$I$309=AA328)*(Tabelle1[Geplant 2024
CHF inkl. MWST]))</f>
        <v>1662500</v>
      </c>
      <c r="AB329" s="257" cm="1">
        <f t="array" ref="AB329">SUMPRODUCT(($I$3:$I$309=AB328)*(Tabelle1[Geplant 2025
CHF inkl. MWST]))</f>
        <v>1467976.55</v>
      </c>
      <c r="AC329" s="257" cm="1">
        <f t="array" ref="AC329">SUMPRODUCT(($I$3:$I$309=AC328)*(Tabelle1[Geplant 2026
CHF inkl. MWST]))</f>
        <v>1234701.5100000002</v>
      </c>
      <c r="AD329" s="47"/>
      <c r="AE329" s="257" cm="1">
        <f t="array" ref="AE329">SUMPRODUCT(($I$3:$I$309=AE328)*(Tabelle1[Total Rechnungen]))</f>
        <v>13643343.026400004</v>
      </c>
      <c r="AF329" s="257" cm="1">
        <f t="array" ref="AF329">SUMPRODUCT(($I$3:$I$309=AF328)*(Tabelle1[Restbudget Vertrag]))</f>
        <v>6718036.4140800005</v>
      </c>
      <c r="AG329" s="257" cm="1">
        <f t="array" ref="AG329">SUMPRODUCT(($I$3:$I$309=AG328)*(Tabelle1[EKP]))</f>
        <v>19766890.490479995</v>
      </c>
    </row>
    <row r="330" spans="1:33" s="2" customFormat="1" x14ac:dyDescent="0.15">
      <c r="I330" s="10"/>
      <c r="J330" s="10"/>
      <c r="K330" s="10"/>
      <c r="V330" s="331"/>
      <c r="W330" s="388">
        <f>W329+X329</f>
        <v>2028637.4900000007</v>
      </c>
      <c r="X330" s="388"/>
      <c r="Y330" s="388">
        <f>Y329+Z329</f>
        <v>2051575.0669999998</v>
      </c>
      <c r="Z330" s="387"/>
    </row>
    <row r="331" spans="1:33" s="2" customFormat="1" x14ac:dyDescent="0.15">
      <c r="I331" s="10"/>
      <c r="J331" s="10"/>
      <c r="K331" s="10"/>
      <c r="V331" s="259"/>
      <c r="W331" s="258" t="s">
        <v>399</v>
      </c>
      <c r="X331" s="258" t="s">
        <v>399</v>
      </c>
      <c r="Y331" s="258" t="s">
        <v>399</v>
      </c>
      <c r="Z331" s="258" t="s">
        <v>399</v>
      </c>
      <c r="AA331" s="258" t="s">
        <v>399</v>
      </c>
      <c r="AB331" s="258" t="s">
        <v>399</v>
      </c>
      <c r="AC331" s="258" t="s">
        <v>399</v>
      </c>
      <c r="AE331" s="258" t="s">
        <v>399</v>
      </c>
      <c r="AF331" s="258" t="s">
        <v>399</v>
      </c>
      <c r="AG331" s="258" t="s">
        <v>399</v>
      </c>
    </row>
    <row r="332" spans="1:33" s="2" customFormat="1" x14ac:dyDescent="0.15">
      <c r="I332" s="10"/>
      <c r="J332" s="10"/>
      <c r="K332" s="10"/>
      <c r="V332" s="329"/>
      <c r="W332" s="257" cm="1">
        <f t="array" ref="W332">SUMPRODUCT(($I$3:$I$309=W331)*(Tabelle1[Aufgelaufene Kosten 2022
CHF inkl. MWST]))</f>
        <v>1986.95</v>
      </c>
      <c r="X332" s="257" cm="1">
        <f t="array" ref="X332">SUMPRODUCT(($I$3:$I$309=X331)*(Tabelle1[Geplant 2022
CHF inkl. MWST]))</f>
        <v>10000</v>
      </c>
      <c r="Y332" s="257" cm="1">
        <f t="array" ref="Y332">SUMPRODUCT(($I$3:$I$309=Y331)*(Tabelle1[Aufgelaufene Kosten 2023
CHF inkl. MWST]))</f>
        <v>0</v>
      </c>
      <c r="Z332" s="257" cm="1">
        <f t="array" ref="Z332">SUMPRODUCT(($I$3:$I$309=Z331)*(Tabelle1[Geplant 2023
CHF inkl. MWST]))</f>
        <v>10000</v>
      </c>
      <c r="AA332" s="257" cm="1">
        <f t="array" ref="AA332">SUMPRODUCT(($I$3:$I$309=AA331)*(Tabelle1[Geplant 2024
CHF inkl. MWST]))</f>
        <v>10000</v>
      </c>
      <c r="AB332" s="257" cm="1">
        <f t="array" ref="AB332">SUMPRODUCT(($I$3:$I$309=AB331)*(Tabelle1[Geplant 2025
CHF inkl. MWST]))</f>
        <v>10000</v>
      </c>
      <c r="AC332" s="257" cm="1">
        <f t="array" ref="AC332">SUMPRODUCT(($I$3:$I$309=AC331)*(Tabelle1[Geplant 2026
CHF inkl. MWST]))</f>
        <v>10000</v>
      </c>
      <c r="AE332" s="257" cm="1">
        <f t="array" ref="AE332">SUMPRODUCT(($I$3:$I$309=AE331)*(Tabelle1[Total Rechnungen]))</f>
        <v>5211.75</v>
      </c>
      <c r="AF332" s="257" cm="1">
        <f t="array" ref="AF332">SUMPRODUCT(($I$3:$I$309=AF331)*(Tabelle1[Restbudget Vertrag]))</f>
        <v>50000</v>
      </c>
      <c r="AG332" s="257" cm="1">
        <f t="array" ref="AG332">SUMPRODUCT(($I$3:$I$309=AG331)*(Tabelle1[EKP]))</f>
        <v>55211.75</v>
      </c>
    </row>
    <row r="333" spans="1:33" s="2" customFormat="1" x14ac:dyDescent="0.15">
      <c r="I333" s="10"/>
      <c r="J333" s="10"/>
      <c r="K333" s="10"/>
      <c r="V333" s="331"/>
      <c r="W333" s="388">
        <f>W332+X332</f>
        <v>11986.95</v>
      </c>
      <c r="X333" s="387"/>
      <c r="Y333" s="388">
        <f>Y332+Z332</f>
        <v>10000</v>
      </c>
      <c r="Z333" s="387"/>
    </row>
    <row r="334" spans="1:33" s="2" customFormat="1" x14ac:dyDescent="0.15">
      <c r="I334" s="10"/>
      <c r="J334" s="10"/>
      <c r="K334" s="10"/>
      <c r="V334" s="259"/>
      <c r="W334" s="258" t="s">
        <v>398</v>
      </c>
      <c r="X334" s="258" t="s">
        <v>398</v>
      </c>
      <c r="Y334" s="258" t="s">
        <v>398</v>
      </c>
      <c r="Z334" s="258" t="s">
        <v>398</v>
      </c>
      <c r="AA334" s="258" t="s">
        <v>398</v>
      </c>
      <c r="AB334" s="258" t="s">
        <v>398</v>
      </c>
      <c r="AC334" s="258" t="s">
        <v>398</v>
      </c>
      <c r="AE334" s="258" t="s">
        <v>398</v>
      </c>
      <c r="AF334" s="258" t="s">
        <v>398</v>
      </c>
      <c r="AG334" s="258" t="s">
        <v>398</v>
      </c>
    </row>
    <row r="335" spans="1:33" s="2" customFormat="1" x14ac:dyDescent="0.15">
      <c r="I335" s="10"/>
      <c r="J335" s="10"/>
      <c r="K335" s="10"/>
      <c r="V335" s="329"/>
      <c r="W335" s="257" cm="1">
        <f t="array" ref="W335">SUMPRODUCT(($I$3:$I$309=W334)*(Tabelle1[Aufgelaufene Kosten 2022
CHF inkl. MWST]))</f>
        <v>10974041.814799998</v>
      </c>
      <c r="X335" s="257" cm="1">
        <f t="array" ref="X335">SUMPRODUCT(($I$3:$I$309=X334)*(Tabelle1[Geplant 2022
CHF inkl. MWST]))</f>
        <v>1853793.7907000007</v>
      </c>
      <c r="Y335" s="257" cm="1">
        <f t="array" ref="Y335">SUMPRODUCT(($I$3:$I$309=Y334)*(Tabelle1[Aufgelaufene Kosten 2023
CHF inkl. MWST]))</f>
        <v>0</v>
      </c>
      <c r="Z335" s="257" cm="1">
        <f t="array" ref="Z335">SUMPRODUCT(($I$3:$I$309=Z334)*(Tabelle1[Geplant 2023
CHF inkl. MWST]))</f>
        <v>22323608.80105</v>
      </c>
      <c r="AA335" s="257" cm="1">
        <f t="array" ref="AA335">SUMPRODUCT(($I$3:$I$309=AA334)*(Tabelle1[Geplant 2024
CHF inkl. MWST]))</f>
        <v>13320500</v>
      </c>
      <c r="AB335" s="257" cm="1">
        <f t="array" ref="AB335">SUMPRODUCT(($I$3:$I$309=AB334)*(Tabelle1[Geplant 2025
CHF inkl. MWST]))</f>
        <v>10356859.789999999</v>
      </c>
      <c r="AC335" s="257" cm="1">
        <f t="array" ref="AC335">SUMPRODUCT(($I$3:$I$309=AC334)*(Tabelle1[Geplant 2026
CHF inkl. MWST]))</f>
        <v>10279032.779999999</v>
      </c>
      <c r="AE335" s="257" cm="1">
        <f t="array" ref="AE335">SUMPRODUCT(($I$3:$I$309=AE334)*(Tabelle1[Total Rechnungen]))</f>
        <v>12706848.504799999</v>
      </c>
      <c r="AF335" s="257" cm="1">
        <f t="array" ref="AF335">SUMPRODUCT(($I$3:$I$309=AF334)*(Tabelle1[Restbudget Vertrag]))</f>
        <v>57615383.284590013</v>
      </c>
      <c r="AG335" s="257" cm="1">
        <f t="array" ref="AG335">SUMPRODUCT(($I$3:$I$309=AG334)*(Tabelle1[EKP]))</f>
        <v>70322231.789389998</v>
      </c>
    </row>
    <row r="336" spans="1:33" x14ac:dyDescent="0.15">
      <c r="A336" s="2"/>
      <c r="B336" s="2"/>
      <c r="C336" s="2"/>
      <c r="D336" s="2"/>
      <c r="E336" s="2"/>
      <c r="F336" s="2"/>
      <c r="H336" s="2"/>
      <c r="I336" s="10"/>
      <c r="J336" s="10"/>
      <c r="K336" s="10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388">
        <f>W335+X335</f>
        <v>12827835.605499998</v>
      </c>
      <c r="X336" s="387"/>
      <c r="Y336" s="388">
        <f>Y335+Z335</f>
        <v>22323608.80105</v>
      </c>
      <c r="Z336" s="387"/>
      <c r="AA336" s="2"/>
      <c r="AB336" s="2"/>
      <c r="AC336" s="2"/>
      <c r="AD336" s="2"/>
      <c r="AE336" s="2"/>
      <c r="AF336" s="2"/>
      <c r="AG336" s="2"/>
    </row>
    <row r="337" spans="1:33" x14ac:dyDescent="0.15">
      <c r="A337" s="2"/>
      <c r="B337" s="2"/>
      <c r="C337" s="2"/>
      <c r="D337" s="2"/>
      <c r="E337" s="2"/>
      <c r="F337" s="2"/>
      <c r="H337" s="2"/>
      <c r="I337" s="10"/>
      <c r="J337" s="10"/>
      <c r="K337" s="10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19">
        <f>W329+W332+W335</f>
        <v>12947806.154799998</v>
      </c>
      <c r="X337" s="219">
        <f t="shared" ref="X337:AC337" si="7">X329+X332+X335</f>
        <v>1920653.8907000008</v>
      </c>
      <c r="Y337" s="219">
        <f>Y329+Y332+Y335</f>
        <v>29213.9</v>
      </c>
      <c r="Z337" s="219">
        <f t="shared" si="7"/>
        <v>24355969.968049999</v>
      </c>
      <c r="AA337" s="219">
        <f t="shared" si="7"/>
        <v>14993000</v>
      </c>
      <c r="AB337" s="219">
        <f t="shared" si="7"/>
        <v>11834836.34</v>
      </c>
      <c r="AC337" s="219">
        <f t="shared" si="7"/>
        <v>11523734.289999999</v>
      </c>
      <c r="AD337" s="2"/>
      <c r="AE337" s="219">
        <f t="shared" ref="AE337:AG337" si="8">AE329+AE332+AE335</f>
        <v>26355403.281200003</v>
      </c>
      <c r="AF337" s="219">
        <f t="shared" si="8"/>
        <v>64383419.698670015</v>
      </c>
      <c r="AG337" s="219">
        <f t="shared" si="8"/>
        <v>90144334.029869989</v>
      </c>
    </row>
    <row r="338" spans="1:33" x14ac:dyDescent="0.15">
      <c r="A338" s="2"/>
      <c r="B338" s="2"/>
      <c r="C338" s="2"/>
      <c r="D338" s="2"/>
      <c r="E338" s="2"/>
      <c r="F338" s="2"/>
      <c r="H338" s="2"/>
      <c r="I338" s="10"/>
      <c r="J338" s="10"/>
      <c r="K338" s="10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388">
        <f>W337+X337</f>
        <v>14868460.045499999</v>
      </c>
      <c r="X338" s="387"/>
      <c r="Y338" s="388">
        <f>Y337+Z337</f>
        <v>24385183.868049998</v>
      </c>
      <c r="Z338" s="387"/>
      <c r="AA338" s="2"/>
      <c r="AB338" s="2"/>
      <c r="AC338" s="2"/>
      <c r="AD338" s="2"/>
      <c r="AE338" s="2"/>
    </row>
    <row r="341" spans="1:33" x14ac:dyDescent="0.15">
      <c r="X341" s="81"/>
      <c r="Y341" s="81"/>
    </row>
  </sheetData>
  <mergeCells count="19">
    <mergeCell ref="Y338:Z338"/>
    <mergeCell ref="Y323:Z323"/>
    <mergeCell ref="Y325:Z325"/>
    <mergeCell ref="Y326:Z326"/>
    <mergeCell ref="Y322:Z322"/>
    <mergeCell ref="Y324:Z324"/>
    <mergeCell ref="Y330:Z330"/>
    <mergeCell ref="Y333:Z333"/>
    <mergeCell ref="Y336:Z336"/>
    <mergeCell ref="W338:X338"/>
    <mergeCell ref="W330:X330"/>
    <mergeCell ref="W336:X336"/>
    <mergeCell ref="W333:X333"/>
    <mergeCell ref="W326:X326"/>
    <mergeCell ref="W312:X312"/>
    <mergeCell ref="W322:X322"/>
    <mergeCell ref="W323:X323"/>
    <mergeCell ref="W324:X324"/>
    <mergeCell ref="W325:X325"/>
  </mergeCells>
  <phoneticPr fontId="70" type="noConversion"/>
  <printOptions horizontalCentered="1"/>
  <pageMargins left="0.39370078740157483" right="0.39370078740157483" top="0.59055118110236227" bottom="0.19685039370078741" header="0.31496062992125984" footer="0.31496062992125984"/>
  <pageSetup paperSize="8" scale="44" orientation="landscape" verticalDpi="1200" r:id="rId1"/>
  <headerFooter alignWithMargins="0">
    <oddFooter>&amp;L&amp;8&amp;Z&amp;F&amp;R&amp;8&amp;P /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78"/>
  <sheetViews>
    <sheetView workbookViewId="0">
      <selection activeCell="A41" sqref="A41"/>
    </sheetView>
  </sheetViews>
  <sheetFormatPr baseColWidth="10" defaultRowHeight="11.25" x14ac:dyDescent="0.15"/>
  <cols>
    <col min="1" max="1" width="19.25" bestFit="1" customWidth="1"/>
    <col min="2" max="3" width="12.75" customWidth="1"/>
    <col min="4" max="4" width="11.125" customWidth="1"/>
    <col min="5" max="6" width="12.75" customWidth="1"/>
    <col min="7" max="7" width="11.125" customWidth="1"/>
    <col min="8" max="9" width="12.75" customWidth="1"/>
    <col min="10" max="12" width="11.125" bestFit="1" customWidth="1"/>
    <col min="13" max="13" width="12.75" bestFit="1" customWidth="1"/>
    <col min="14" max="15" width="13.875" bestFit="1" customWidth="1"/>
    <col min="16" max="17" width="7.875" customWidth="1"/>
    <col min="18" max="18" width="6.875" customWidth="1"/>
    <col min="19" max="19" width="7.875" customWidth="1"/>
    <col min="20" max="20" width="6.875" customWidth="1"/>
    <col min="21" max="21" width="7.875" customWidth="1"/>
    <col min="22" max="22" width="8.875" customWidth="1"/>
    <col min="23" max="23" width="7.875" customWidth="1"/>
    <col min="24" max="24" width="6.875" customWidth="1"/>
    <col min="25" max="29" width="7.875" customWidth="1"/>
    <col min="30" max="31" width="5.875" customWidth="1"/>
    <col min="32" max="33" width="8.875" customWidth="1"/>
    <col min="34" max="35" width="7.875" customWidth="1"/>
    <col min="36" max="36" width="8.875" customWidth="1"/>
    <col min="37" max="38" width="7.875" customWidth="1"/>
    <col min="39" max="39" width="8.875" customWidth="1"/>
    <col min="40" max="40" width="7.875" customWidth="1"/>
    <col min="41" max="41" width="8.875" customWidth="1"/>
    <col min="42" max="42" width="7.875" customWidth="1"/>
    <col min="43" max="44" width="8.875" customWidth="1"/>
    <col min="45" max="45" width="5.875" customWidth="1"/>
    <col min="46" max="46" width="7.875" customWidth="1"/>
    <col min="47" max="47" width="5.875" customWidth="1"/>
    <col min="48" max="49" width="8.875" customWidth="1"/>
    <col min="50" max="50" width="7.875" customWidth="1"/>
    <col min="51" max="51" width="8.875" customWidth="1"/>
    <col min="52" max="52" width="7.875" customWidth="1"/>
    <col min="53" max="53" width="5.875" customWidth="1"/>
    <col min="54" max="54" width="8.875" customWidth="1"/>
    <col min="55" max="55" width="5.875" customWidth="1"/>
    <col min="56" max="56" width="7.875" customWidth="1"/>
    <col min="57" max="57" width="5.875" customWidth="1"/>
    <col min="58" max="58" width="10" customWidth="1"/>
    <col min="59" max="62" width="8.875" customWidth="1"/>
    <col min="63" max="63" width="10" customWidth="1"/>
    <col min="64" max="65" width="8.875" customWidth="1"/>
    <col min="66" max="66" width="10" customWidth="1"/>
    <col min="67" max="67" width="8.875" customWidth="1"/>
    <col min="68" max="68" width="5.875" customWidth="1"/>
    <col min="69" max="70" width="7.875" customWidth="1"/>
    <col min="71" max="72" width="10" customWidth="1"/>
    <col min="73" max="73" width="5.875" customWidth="1"/>
    <col min="74" max="74" width="10" customWidth="1"/>
    <col min="75" max="75" width="8.875" customWidth="1"/>
    <col min="76" max="76" width="7.875" customWidth="1"/>
    <col min="77" max="77" width="10" customWidth="1"/>
    <col min="78" max="78" width="7.875" customWidth="1"/>
    <col min="79" max="79" width="8.875" customWidth="1"/>
    <col min="80" max="80" width="5.875" customWidth="1"/>
    <col min="81" max="81" width="9.875" customWidth="1"/>
    <col min="82" max="82" width="10" customWidth="1"/>
    <col min="83" max="83" width="7.875" customWidth="1"/>
    <col min="84" max="86" width="9.875" customWidth="1"/>
    <col min="87" max="87" width="11.125" bestFit="1" customWidth="1"/>
    <col min="88" max="88" width="10" customWidth="1"/>
    <col min="89" max="89" width="11.125" bestFit="1" customWidth="1"/>
    <col min="90" max="90" width="6.875" customWidth="1"/>
    <col min="91" max="92" width="9.875" customWidth="1"/>
    <col min="93" max="94" width="6.875" customWidth="1"/>
    <col min="95" max="95" width="11.125" bestFit="1" customWidth="1"/>
    <col min="96" max="96" width="6.875" customWidth="1"/>
    <col min="97" max="97" width="8.875" customWidth="1"/>
    <col min="98" max="98" width="10" customWidth="1"/>
    <col min="99" max="100" width="8.875" customWidth="1"/>
    <col min="101" max="101" width="6.875" customWidth="1"/>
    <col min="102" max="105" width="8.875" customWidth="1"/>
    <col min="106" max="106" width="6.875" customWidth="1"/>
    <col min="107" max="108" width="8.875" customWidth="1"/>
    <col min="109" max="109" width="6.875" customWidth="1"/>
    <col min="110" max="110" width="9.875" customWidth="1"/>
    <col min="111" max="111" width="7.875" customWidth="1"/>
    <col min="112" max="112" width="11.125" bestFit="1" customWidth="1"/>
    <col min="113" max="114" width="9.875" customWidth="1"/>
    <col min="115" max="115" width="5.625" customWidth="1"/>
    <col min="116" max="116" width="6.5" customWidth="1"/>
    <col min="117" max="117" width="1.875" customWidth="1"/>
    <col min="118" max="118" width="3.875" customWidth="1"/>
    <col min="119" max="119" width="5.875" customWidth="1"/>
    <col min="120" max="121" width="6.875" customWidth="1"/>
    <col min="122" max="122" width="3.875" customWidth="1"/>
    <col min="123" max="124" width="4.875" customWidth="1"/>
    <col min="125" max="125" width="6.875" customWidth="1"/>
    <col min="126" max="126" width="7.875" customWidth="1"/>
    <col min="127" max="127" width="6.875" customWidth="1"/>
    <col min="128" max="128" width="7.875" customWidth="1"/>
    <col min="129" max="129" width="4.875" customWidth="1"/>
    <col min="130" max="130" width="7.875" customWidth="1"/>
    <col min="131" max="133" width="8.875" customWidth="1"/>
    <col min="134" max="134" width="6.875" customWidth="1"/>
    <col min="135" max="135" width="7.875" customWidth="1"/>
    <col min="136" max="136" width="4.875" customWidth="1"/>
    <col min="137" max="137" width="7.875" customWidth="1"/>
    <col min="138" max="138" width="6.875" customWidth="1"/>
    <col min="139" max="139" width="8.875" customWidth="1"/>
    <col min="140" max="143" width="7.875" customWidth="1"/>
    <col min="144" max="144" width="5.875" customWidth="1"/>
    <col min="145" max="147" width="8.875" customWidth="1"/>
    <col min="148" max="149" width="7.875" customWidth="1"/>
    <col min="150" max="150" width="8.875" customWidth="1"/>
    <col min="151" max="152" width="7.875" customWidth="1"/>
    <col min="153" max="153" width="8.875" customWidth="1"/>
    <col min="154" max="154" width="7.875" customWidth="1"/>
    <col min="155" max="155" width="8.875" customWidth="1"/>
    <col min="156" max="156" width="7.875" customWidth="1"/>
    <col min="157" max="158" width="8.875" customWidth="1"/>
    <col min="159" max="159" width="5.875" customWidth="1"/>
    <col min="160" max="160" width="7.875" customWidth="1"/>
    <col min="161" max="161" width="5.875" customWidth="1"/>
    <col min="162" max="162" width="7.875" customWidth="1"/>
    <col min="163" max="163" width="8.875" customWidth="1"/>
    <col min="164" max="164" width="7.875" customWidth="1"/>
    <col min="165" max="165" width="8.875" customWidth="1"/>
    <col min="166" max="166" width="7.875" customWidth="1"/>
    <col min="167" max="167" width="5.875" customWidth="1"/>
    <col min="168" max="168" width="8.875" customWidth="1"/>
    <col min="169" max="169" width="5.875" customWidth="1"/>
    <col min="170" max="170" width="7.875" customWidth="1"/>
    <col min="171" max="171" width="5.875" customWidth="1"/>
    <col min="172" max="178" width="8.875" customWidth="1"/>
    <col min="179" max="179" width="10" customWidth="1"/>
    <col min="180" max="180" width="5.875" customWidth="1"/>
    <col min="181" max="181" width="8.875" customWidth="1"/>
    <col min="182" max="182" width="5.875" customWidth="1"/>
    <col min="183" max="184" width="7.875" customWidth="1"/>
    <col min="185" max="186" width="8.875" customWidth="1"/>
    <col min="187" max="187" width="5.875" customWidth="1"/>
    <col min="188" max="188" width="7.875" customWidth="1"/>
    <col min="189" max="189" width="8.875" customWidth="1"/>
    <col min="190" max="190" width="7.875" customWidth="1"/>
    <col min="191" max="191" width="8.875" customWidth="1"/>
    <col min="192" max="192" width="10" customWidth="1"/>
    <col min="193" max="193" width="8.875" customWidth="1"/>
    <col min="194" max="194" width="5.875" customWidth="1"/>
    <col min="195" max="195" width="9.875" customWidth="1"/>
    <col min="196" max="197" width="7.875" customWidth="1"/>
    <col min="198" max="200" width="9.875" customWidth="1"/>
    <col min="201" max="201" width="8.875" customWidth="1"/>
    <col min="202" max="202" width="10" customWidth="1"/>
    <col min="203" max="203" width="9.875" customWidth="1"/>
    <col min="204" max="204" width="6.875" customWidth="1"/>
    <col min="205" max="205" width="11.125" bestFit="1" customWidth="1"/>
    <col min="206" max="206" width="9.875" customWidth="1"/>
    <col min="207" max="208" width="6.875" customWidth="1"/>
    <col min="209" max="209" width="9.875" customWidth="1"/>
    <col min="210" max="210" width="6.875" customWidth="1"/>
    <col min="211" max="211" width="8.875" customWidth="1"/>
    <col min="212" max="212" width="10" customWidth="1"/>
    <col min="213" max="214" width="8.875" customWidth="1"/>
    <col min="215" max="215" width="6.875" customWidth="1"/>
    <col min="216" max="219" width="8.875" customWidth="1"/>
    <col min="220" max="220" width="6.875" customWidth="1"/>
    <col min="221" max="222" width="8.875" customWidth="1"/>
    <col min="223" max="223" width="6.875" customWidth="1"/>
    <col min="224" max="224" width="9.875" customWidth="1"/>
    <col min="225" max="226" width="11.125" bestFit="1" customWidth="1"/>
    <col min="227" max="228" width="9.875" customWidth="1"/>
    <col min="229" max="229" width="5.625" customWidth="1"/>
    <col min="230" max="230" width="6.5" customWidth="1"/>
    <col min="231" max="231" width="1.875" customWidth="1"/>
    <col min="232" max="232" width="3.875" customWidth="1"/>
    <col min="233" max="233" width="5.875" customWidth="1"/>
    <col min="234" max="235" width="6.875" customWidth="1"/>
    <col min="236" max="236" width="3.875" customWidth="1"/>
    <col min="237" max="238" width="4.875" customWidth="1"/>
    <col min="239" max="239" width="6.875" customWidth="1"/>
    <col min="240" max="240" width="7.875" customWidth="1"/>
    <col min="241" max="241" width="6.875" customWidth="1"/>
    <col min="242" max="242" width="7.875" customWidth="1"/>
    <col min="243" max="243" width="4.875" customWidth="1"/>
    <col min="244" max="245" width="7.875" customWidth="1"/>
    <col min="246" max="246" width="8.875" customWidth="1"/>
    <col min="247" max="247" width="7.875" customWidth="1"/>
    <col min="248" max="248" width="6.875" customWidth="1"/>
    <col min="249" max="249" width="7.875" customWidth="1"/>
    <col min="250" max="250" width="4.875" customWidth="1"/>
    <col min="251" max="251" width="7.875" customWidth="1"/>
    <col min="252" max="252" width="6.875" customWidth="1"/>
    <col min="253" max="257" width="7.875" customWidth="1"/>
    <col min="258" max="258" width="5.875" customWidth="1"/>
    <col min="259" max="261" width="8.875" customWidth="1"/>
    <col min="262" max="263" width="7.875" customWidth="1"/>
    <col min="264" max="264" width="8.875" customWidth="1"/>
    <col min="265" max="266" width="7.875" customWidth="1"/>
    <col min="267" max="267" width="8.875" customWidth="1"/>
    <col min="268" max="268" width="7.875" customWidth="1"/>
    <col min="269" max="269" width="8.875" customWidth="1"/>
    <col min="270" max="270" width="7.875" customWidth="1"/>
    <col min="271" max="272" width="8.875" customWidth="1"/>
    <col min="273" max="273" width="5.875" customWidth="1"/>
    <col min="274" max="274" width="10" customWidth="1"/>
    <col min="275" max="275" width="5.875" customWidth="1"/>
    <col min="276" max="276" width="7.875" customWidth="1"/>
    <col min="277" max="277" width="8.875" customWidth="1"/>
    <col min="278" max="278" width="7.875" customWidth="1"/>
    <col min="279" max="279" width="10" customWidth="1"/>
    <col min="280" max="280" width="7.875" customWidth="1"/>
    <col min="281" max="281" width="5.875" customWidth="1"/>
    <col min="282" max="282" width="8.875" customWidth="1"/>
    <col min="283" max="283" width="5.875" customWidth="1"/>
    <col min="284" max="284" width="7.875" customWidth="1"/>
    <col min="285" max="285" width="5.875" customWidth="1"/>
    <col min="286" max="290" width="8.875" customWidth="1"/>
    <col min="291" max="291" width="7.875" customWidth="1"/>
    <col min="292" max="293" width="8.875" customWidth="1"/>
    <col min="294" max="294" width="5.875" customWidth="1"/>
    <col min="295" max="295" width="8.875" customWidth="1"/>
    <col min="296" max="296" width="5.875" customWidth="1"/>
    <col min="297" max="298" width="7.875" customWidth="1"/>
    <col min="299" max="299" width="8.875" customWidth="1"/>
    <col min="300" max="300" width="7.875" customWidth="1"/>
    <col min="301" max="301" width="5.875" customWidth="1"/>
    <col min="302" max="302" width="7.875" customWidth="1"/>
    <col min="303" max="303" width="8.875" customWidth="1"/>
    <col min="304" max="304" width="7.875" customWidth="1"/>
    <col min="305" max="305" width="8.875" customWidth="1"/>
    <col min="306" max="306" width="7.875" customWidth="1"/>
    <col min="307" max="307" width="8.875" customWidth="1"/>
    <col min="308" max="308" width="5.875" customWidth="1"/>
    <col min="309" max="309" width="9.875" customWidth="1"/>
    <col min="310" max="310" width="7.875" customWidth="1"/>
    <col min="311" max="311" width="10" customWidth="1"/>
    <col min="312" max="314" width="9.875" customWidth="1"/>
    <col min="315" max="315" width="8.875" customWidth="1"/>
    <col min="316" max="316" width="10" customWidth="1"/>
    <col min="317" max="317" width="9.875" customWidth="1"/>
    <col min="318" max="318" width="6.875" customWidth="1"/>
    <col min="319" max="320" width="9.875" customWidth="1"/>
    <col min="321" max="322" width="6.875" customWidth="1"/>
    <col min="323" max="323" width="9.875" customWidth="1"/>
    <col min="324" max="324" width="6.875" customWidth="1"/>
    <col min="325" max="325" width="8.875" customWidth="1"/>
    <col min="326" max="326" width="10" customWidth="1"/>
    <col min="327" max="327" width="8.875" customWidth="1"/>
    <col min="328" max="328" width="11.125" bestFit="1" customWidth="1"/>
    <col min="329" max="329" width="6.875" customWidth="1"/>
    <col min="330" max="330" width="8.875" customWidth="1"/>
    <col min="331" max="331" width="11.125" bestFit="1" customWidth="1"/>
    <col min="332" max="333" width="8.875" customWidth="1"/>
    <col min="334" max="334" width="6.875" customWidth="1"/>
    <col min="335" max="336" width="8.875" customWidth="1"/>
    <col min="337" max="337" width="6.875" customWidth="1"/>
    <col min="338" max="338" width="9.875" customWidth="1"/>
    <col min="339" max="339" width="10" customWidth="1"/>
    <col min="340" max="340" width="11.125" bestFit="1" customWidth="1"/>
    <col min="341" max="342" width="9.875" customWidth="1"/>
    <col min="343" max="343" width="5.625" customWidth="1"/>
    <col min="344" max="344" width="6.5" customWidth="1"/>
    <col min="345" max="345" width="1.875" customWidth="1"/>
    <col min="346" max="346" width="3.875" customWidth="1"/>
    <col min="347" max="347" width="5.875" customWidth="1"/>
    <col min="348" max="348" width="7.25" customWidth="1"/>
    <col min="349" max="349" width="6.875" customWidth="1"/>
    <col min="350" max="350" width="3.875" customWidth="1"/>
    <col min="351" max="352" width="4.875" customWidth="1"/>
    <col min="353" max="353" width="6.875" customWidth="1"/>
    <col min="354" max="354" width="7.875" customWidth="1"/>
    <col min="355" max="355" width="6.875" customWidth="1"/>
    <col min="356" max="356" width="7.875" customWidth="1"/>
    <col min="357" max="357" width="4.875" customWidth="1"/>
    <col min="358" max="359" width="7.875" customWidth="1"/>
    <col min="360" max="360" width="8.875" customWidth="1"/>
    <col min="361" max="361" width="7.875" customWidth="1"/>
    <col min="362" max="362" width="6.875" customWidth="1"/>
    <col min="363" max="363" width="7.875" customWidth="1"/>
    <col min="364" max="364" width="4.875" customWidth="1"/>
    <col min="365" max="365" width="8.875" customWidth="1"/>
    <col min="366" max="366" width="6.875" customWidth="1"/>
    <col min="367" max="367" width="7.875" customWidth="1"/>
    <col min="368" max="368" width="8.875" customWidth="1"/>
    <col min="369" max="371" width="7.875" customWidth="1"/>
    <col min="372" max="373" width="5.875" customWidth="1"/>
    <col min="374" max="375" width="8.875" customWidth="1"/>
    <col min="376" max="377" width="7.875" customWidth="1"/>
    <col min="378" max="378" width="8.875" customWidth="1"/>
    <col min="379" max="380" width="7.875" customWidth="1"/>
    <col min="381" max="381" width="8.875" customWidth="1"/>
    <col min="382" max="382" width="7.875" customWidth="1"/>
    <col min="383" max="383" width="8.875" customWidth="1"/>
    <col min="384" max="384" width="7.875" customWidth="1"/>
    <col min="385" max="385" width="8.875" customWidth="1"/>
    <col min="386" max="386" width="10" customWidth="1"/>
    <col min="387" max="387" width="5.875" customWidth="1"/>
    <col min="388" max="388" width="7.875" customWidth="1"/>
    <col min="389" max="389" width="5.875" customWidth="1"/>
    <col min="390" max="390" width="7.875" customWidth="1"/>
    <col min="391" max="391" width="8.875" customWidth="1"/>
    <col min="392" max="392" width="7.875" customWidth="1"/>
    <col min="393" max="393" width="8.875" customWidth="1"/>
    <col min="394" max="394" width="7.875" customWidth="1"/>
    <col min="395" max="395" width="5.875" customWidth="1"/>
    <col min="396" max="396" width="8.875" customWidth="1"/>
    <col min="397" max="397" width="5.875" customWidth="1"/>
    <col min="398" max="398" width="7.875" customWidth="1"/>
    <col min="399" max="399" width="5.875" customWidth="1"/>
    <col min="400" max="404" width="8.875" customWidth="1"/>
    <col min="405" max="405" width="7.875" customWidth="1"/>
    <col min="406" max="407" width="8.875" customWidth="1"/>
    <col min="408" max="408" width="5.875" customWidth="1"/>
    <col min="409" max="409" width="8.875" customWidth="1"/>
    <col min="410" max="410" width="5.875" customWidth="1"/>
    <col min="411" max="412" width="7.875" customWidth="1"/>
    <col min="413" max="413" width="8.875" customWidth="1"/>
    <col min="414" max="414" width="7.875" customWidth="1"/>
    <col min="415" max="415" width="10" customWidth="1"/>
    <col min="416" max="416" width="7.875" customWidth="1"/>
    <col min="417" max="417" width="8.875" customWidth="1"/>
    <col min="418" max="418" width="7.875" customWidth="1"/>
    <col min="419" max="419" width="8.875" customWidth="1"/>
    <col min="420" max="420" width="7.875" customWidth="1"/>
    <col min="421" max="421" width="8.875" customWidth="1"/>
    <col min="422" max="422" width="5.875" customWidth="1"/>
    <col min="423" max="423" width="9.875" customWidth="1"/>
    <col min="424" max="424" width="7.875" customWidth="1"/>
    <col min="425" max="425" width="10" customWidth="1"/>
    <col min="426" max="426" width="9.875" customWidth="1"/>
    <col min="427" max="428" width="10" customWidth="1"/>
    <col min="429" max="429" width="8.875" customWidth="1"/>
    <col min="430" max="431" width="9.875" customWidth="1"/>
    <col min="432" max="432" width="6.875" customWidth="1"/>
    <col min="433" max="433" width="9.875" customWidth="1"/>
    <col min="434" max="434" width="10" customWidth="1"/>
    <col min="435" max="436" width="6.875" customWidth="1"/>
    <col min="437" max="437" width="9.875" customWidth="1"/>
    <col min="438" max="438" width="6.875" customWidth="1"/>
    <col min="439" max="441" width="8.875" customWidth="1"/>
    <col min="442" max="442" width="10" customWidth="1"/>
    <col min="443" max="443" width="6.875" customWidth="1"/>
    <col min="444" max="444" width="8.875" customWidth="1"/>
    <col min="445" max="445" width="11.125" bestFit="1" customWidth="1"/>
    <col min="446" max="447" width="8.875" customWidth="1"/>
    <col min="448" max="448" width="6.875" customWidth="1"/>
    <col min="449" max="449" width="8.875" customWidth="1"/>
    <col min="450" max="450" width="11.125" bestFit="1" customWidth="1"/>
    <col min="451" max="451" width="6.875" customWidth="1"/>
    <col min="452" max="452" width="9.875" customWidth="1"/>
    <col min="453" max="453" width="10" customWidth="1"/>
    <col min="454" max="456" width="9.875" customWidth="1"/>
    <col min="457" max="457" width="5.625" customWidth="1"/>
    <col min="458" max="458" width="6.5" customWidth="1"/>
    <col min="459" max="459" width="1.875" customWidth="1"/>
    <col min="460" max="461" width="7.25" customWidth="1"/>
    <col min="462" max="463" width="6.875" customWidth="1"/>
    <col min="464" max="464" width="7.25" customWidth="1"/>
    <col min="465" max="466" width="4.875" customWidth="1"/>
    <col min="467" max="467" width="6.875" customWidth="1"/>
    <col min="468" max="468" width="7.875" customWidth="1"/>
    <col min="469" max="469" width="6.875" customWidth="1"/>
    <col min="470" max="470" width="7.875" customWidth="1"/>
    <col min="471" max="471" width="7.25" customWidth="1"/>
    <col min="472" max="473" width="7.875" customWidth="1"/>
    <col min="474" max="474" width="6.875" customWidth="1"/>
    <col min="475" max="475" width="7.875" customWidth="1"/>
    <col min="476" max="476" width="6.875" customWidth="1"/>
    <col min="477" max="477" width="7.875" customWidth="1"/>
    <col min="478" max="478" width="4.875" customWidth="1"/>
    <col min="479" max="479" width="7.875" customWidth="1"/>
    <col min="480" max="480" width="6.875" customWidth="1"/>
    <col min="481" max="485" width="7.875" customWidth="1"/>
    <col min="486" max="486" width="8.875" customWidth="1"/>
    <col min="487" max="487" width="5.875" customWidth="1"/>
    <col min="488" max="489" width="8.875" customWidth="1"/>
    <col min="490" max="490" width="7.875" customWidth="1"/>
    <col min="491" max="492" width="10" customWidth="1"/>
    <col min="493" max="493" width="7.875" customWidth="1"/>
    <col min="494" max="494" width="10" customWidth="1"/>
    <col min="495" max="495" width="8.875" customWidth="1"/>
    <col min="496" max="496" width="7.875" customWidth="1"/>
    <col min="497" max="497" width="8.875" customWidth="1"/>
    <col min="498" max="498" width="7.875" customWidth="1"/>
    <col min="499" max="500" width="8.875" customWidth="1"/>
    <col min="501" max="501" width="5.875" customWidth="1"/>
    <col min="502" max="502" width="7.875" customWidth="1"/>
    <col min="503" max="503" width="10" customWidth="1"/>
    <col min="504" max="504" width="7.875" customWidth="1"/>
    <col min="505" max="505" width="8.875" customWidth="1"/>
    <col min="506" max="506" width="7.875" customWidth="1"/>
    <col min="507" max="507" width="8.875" customWidth="1"/>
    <col min="508" max="508" width="7.875" customWidth="1"/>
    <col min="509" max="509" width="5.875" customWidth="1"/>
    <col min="510" max="510" width="10" customWidth="1"/>
    <col min="511" max="511" width="5.875" customWidth="1"/>
    <col min="512" max="512" width="7.875" customWidth="1"/>
    <col min="513" max="513" width="5.875" customWidth="1"/>
    <col min="514" max="518" width="8.875" customWidth="1"/>
    <col min="519" max="519" width="7.875" customWidth="1"/>
    <col min="520" max="521" width="8.875" customWidth="1"/>
    <col min="522" max="522" width="5.875" customWidth="1"/>
    <col min="523" max="523" width="8.875" customWidth="1"/>
    <col min="524" max="524" width="5.875" customWidth="1"/>
    <col min="525" max="526" width="10" customWidth="1"/>
    <col min="527" max="527" width="8.875" customWidth="1"/>
    <col min="528" max="528" width="7.875" customWidth="1"/>
    <col min="529" max="529" width="8.875" customWidth="1"/>
    <col min="530" max="530" width="7.875" customWidth="1"/>
    <col min="531" max="531" width="10" customWidth="1"/>
    <col min="532" max="532" width="7.875" customWidth="1"/>
    <col min="533" max="533" width="8.875" customWidth="1"/>
    <col min="534" max="534" width="7.875" customWidth="1"/>
    <col min="535" max="535" width="10" customWidth="1"/>
    <col min="536" max="536" width="5.875" customWidth="1"/>
    <col min="537" max="537" width="9.875" customWidth="1"/>
    <col min="538" max="539" width="7.875" customWidth="1"/>
    <col min="540" max="540" width="11.125" bestFit="1" customWidth="1"/>
    <col min="541" max="542" width="9.875" customWidth="1"/>
    <col min="543" max="543" width="8.875" customWidth="1"/>
    <col min="544" max="545" width="9.875" customWidth="1"/>
    <col min="546" max="546" width="6.875" customWidth="1"/>
    <col min="547" max="547" width="9.875" customWidth="1"/>
    <col min="548" max="548" width="10" customWidth="1"/>
    <col min="549" max="550" width="6.875" customWidth="1"/>
    <col min="551" max="551" width="9.875" customWidth="1"/>
    <col min="552" max="552" width="6.875" customWidth="1"/>
    <col min="553" max="556" width="8.875" customWidth="1"/>
    <col min="557" max="557" width="6.875" customWidth="1"/>
    <col min="558" max="561" width="8.875" customWidth="1"/>
    <col min="562" max="562" width="6.875" customWidth="1"/>
    <col min="563" max="563" width="8.875" customWidth="1"/>
    <col min="564" max="564" width="12.75" bestFit="1" customWidth="1"/>
    <col min="565" max="565" width="6.875" customWidth="1"/>
    <col min="566" max="566" width="9.875" customWidth="1"/>
    <col min="567" max="568" width="10" customWidth="1"/>
    <col min="569" max="570" width="9.875" customWidth="1"/>
    <col min="571" max="571" width="5.625" customWidth="1"/>
    <col min="572" max="572" width="6.5" customWidth="1"/>
    <col min="573" max="573" width="1.875" customWidth="1"/>
    <col min="574" max="574" width="7.25" customWidth="1"/>
    <col min="575" max="575" width="5.875" customWidth="1"/>
    <col min="576" max="577" width="6.875" customWidth="1"/>
    <col min="578" max="578" width="3.875" customWidth="1"/>
    <col min="579" max="579" width="4.875" customWidth="1"/>
    <col min="580" max="581" width="8.875" customWidth="1"/>
    <col min="582" max="582" width="7.875" customWidth="1"/>
    <col min="583" max="583" width="6.875" customWidth="1"/>
    <col min="584" max="584" width="7.875" customWidth="1"/>
    <col min="585" max="585" width="4.875" customWidth="1"/>
    <col min="586" max="586" width="8.875" customWidth="1"/>
    <col min="587" max="587" width="7.875" customWidth="1"/>
    <col min="588" max="588" width="6.875" customWidth="1"/>
    <col min="589" max="589" width="7.875" customWidth="1"/>
    <col min="590" max="591" width="8.875" customWidth="1"/>
    <col min="592" max="592" width="4.875" customWidth="1"/>
    <col min="593" max="593" width="7.875" customWidth="1"/>
    <col min="594" max="594" width="8.875" customWidth="1"/>
    <col min="595" max="599" width="7.875" customWidth="1"/>
    <col min="600" max="601" width="5.875" customWidth="1"/>
    <col min="602" max="603" width="8.875" customWidth="1"/>
    <col min="604" max="605" width="7.875" customWidth="1"/>
    <col min="606" max="606" width="8.875" customWidth="1"/>
    <col min="607" max="608" width="7.875" customWidth="1"/>
    <col min="609" max="609" width="8.875" customWidth="1"/>
    <col min="610" max="610" width="7.875" customWidth="1"/>
    <col min="611" max="611" width="8.875" customWidth="1"/>
    <col min="612" max="612" width="10" customWidth="1"/>
    <col min="613" max="614" width="8.875" customWidth="1"/>
    <col min="615" max="615" width="10" customWidth="1"/>
    <col min="616" max="616" width="7.875" customWidth="1"/>
    <col min="617" max="617" width="5.875" customWidth="1"/>
    <col min="618" max="618" width="7.875" customWidth="1"/>
    <col min="619" max="619" width="8.875" customWidth="1"/>
    <col min="620" max="620" width="10" customWidth="1"/>
    <col min="621" max="621" width="8.875" customWidth="1"/>
    <col min="622" max="622" width="7.875" customWidth="1"/>
    <col min="623" max="623" width="10" customWidth="1"/>
    <col min="624" max="624" width="8.875" customWidth="1"/>
    <col min="625" max="625" width="5.875" customWidth="1"/>
    <col min="626" max="626" width="7.875" customWidth="1"/>
    <col min="627" max="627" width="10" customWidth="1"/>
    <col min="628" max="629" width="8.875" customWidth="1"/>
    <col min="630" max="630" width="10" customWidth="1"/>
    <col min="631" max="632" width="8.875" customWidth="1"/>
    <col min="633" max="633" width="7.875" customWidth="1"/>
    <col min="634" max="634" width="10" customWidth="1"/>
    <col min="635" max="635" width="8.875" customWidth="1"/>
    <col min="636" max="636" width="5.875" customWidth="1"/>
    <col min="637" max="637" width="8.875" customWidth="1"/>
    <col min="638" max="638" width="5.875" customWidth="1"/>
    <col min="639" max="640" width="7.875" customWidth="1"/>
    <col min="641" max="641" width="8.875" customWidth="1"/>
    <col min="642" max="642" width="7.875" customWidth="1"/>
    <col min="643" max="643" width="5.875" customWidth="1"/>
    <col min="644" max="644" width="7.875" customWidth="1"/>
    <col min="645" max="645" width="10" customWidth="1"/>
    <col min="646" max="646" width="7.875" customWidth="1"/>
    <col min="647" max="647" width="8.875" customWidth="1"/>
    <col min="648" max="648" width="7.875" customWidth="1"/>
    <col min="649" max="649" width="10" customWidth="1"/>
    <col min="650" max="650" width="5.875" customWidth="1"/>
    <col min="651" max="651" width="9.875" customWidth="1"/>
    <col min="652" max="653" width="7.875" customWidth="1"/>
    <col min="654" max="654" width="10" customWidth="1"/>
    <col min="655" max="656" width="9.875" customWidth="1"/>
    <col min="657" max="657" width="8.875" customWidth="1"/>
    <col min="658" max="659" width="9.875" customWidth="1"/>
    <col min="660" max="660" width="6.875" customWidth="1"/>
    <col min="661" max="662" width="9.875" customWidth="1"/>
    <col min="663" max="664" width="6.875" customWidth="1"/>
    <col min="665" max="665" width="9.875" customWidth="1"/>
    <col min="666" max="666" width="6.875" customWidth="1"/>
    <col min="667" max="667" width="8.875" customWidth="1"/>
    <col min="668" max="668" width="6.875" customWidth="1"/>
    <col min="669" max="670" width="8.875" customWidth="1"/>
    <col min="671" max="671" width="6.875" customWidth="1"/>
    <col min="672" max="675" width="8.875" customWidth="1"/>
    <col min="676" max="676" width="6.875" customWidth="1"/>
    <col min="677" max="677" width="8.875" customWidth="1"/>
    <col min="678" max="678" width="11.125" bestFit="1" customWidth="1"/>
    <col min="679" max="679" width="6.875" customWidth="1"/>
    <col min="680" max="680" width="9.875" customWidth="1"/>
    <col min="681" max="681" width="10" customWidth="1"/>
    <col min="682" max="684" width="9.875" customWidth="1"/>
    <col min="685" max="685" width="5.625" customWidth="1"/>
    <col min="686" max="686" width="6.5" customWidth="1"/>
    <col min="687" max="687" width="1.875" customWidth="1"/>
    <col min="688" max="688" width="3.875" customWidth="1"/>
    <col min="689" max="689" width="5.875" customWidth="1"/>
    <col min="690" max="691" width="6.875" customWidth="1"/>
    <col min="692" max="692" width="3.875" customWidth="1"/>
    <col min="693" max="694" width="4.875" customWidth="1"/>
    <col min="695" max="695" width="6.875" customWidth="1"/>
    <col min="696" max="696" width="8.875" customWidth="1"/>
    <col min="697" max="697" width="6.875" customWidth="1"/>
    <col min="698" max="698" width="8.875" customWidth="1"/>
    <col min="699" max="699" width="4.875" customWidth="1"/>
    <col min="700" max="701" width="7.875" customWidth="1"/>
    <col min="702" max="702" width="6.875" customWidth="1"/>
    <col min="703" max="703" width="7.875" customWidth="1"/>
    <col min="704" max="704" width="6.875" customWidth="1"/>
    <col min="705" max="705" width="7.875" customWidth="1"/>
    <col min="706" max="706" width="4.875" customWidth="1"/>
    <col min="707" max="707" width="7.875" customWidth="1"/>
    <col min="708" max="708" width="6.875" customWidth="1"/>
    <col min="709" max="711" width="7.875" customWidth="1"/>
    <col min="712" max="712" width="8.875" customWidth="1"/>
    <col min="713" max="713" width="7.875" customWidth="1"/>
    <col min="714" max="715" width="5.875" customWidth="1"/>
    <col min="716" max="717" width="8.875" customWidth="1"/>
    <col min="718" max="719" width="7.875" customWidth="1"/>
    <col min="720" max="720" width="8.875" customWidth="1"/>
    <col min="721" max="721" width="10" customWidth="1"/>
    <col min="722" max="722" width="7.875" customWidth="1"/>
    <col min="723" max="723" width="8.875" customWidth="1"/>
    <col min="724" max="724" width="7.875" customWidth="1"/>
    <col min="725" max="725" width="8.875" customWidth="1"/>
    <col min="726" max="726" width="7.875" customWidth="1"/>
    <col min="727" max="727" width="10" customWidth="1"/>
    <col min="728" max="728" width="8.875" customWidth="1"/>
    <col min="729" max="729" width="5.875" customWidth="1"/>
    <col min="730" max="730" width="7.875" customWidth="1"/>
    <col min="731" max="731" width="5.875" customWidth="1"/>
    <col min="732" max="732" width="7.875" customWidth="1"/>
    <col min="733" max="733" width="8.875" customWidth="1"/>
    <col min="734" max="734" width="7.875" customWidth="1"/>
    <col min="735" max="735" width="8.875" customWidth="1"/>
    <col min="736" max="736" width="7.875" customWidth="1"/>
    <col min="737" max="737" width="5.875" customWidth="1"/>
    <col min="738" max="738" width="8.875" customWidth="1"/>
    <col min="739" max="739" width="5.875" customWidth="1"/>
    <col min="740" max="740" width="10" customWidth="1"/>
    <col min="741" max="741" width="5.875" customWidth="1"/>
    <col min="742" max="744" width="8.875" customWidth="1"/>
    <col min="745" max="745" width="10" customWidth="1"/>
    <col min="746" max="746" width="8.875" customWidth="1"/>
    <col min="747" max="747" width="7.875" customWidth="1"/>
    <col min="748" max="749" width="8.875" customWidth="1"/>
    <col min="750" max="750" width="5.875" customWidth="1"/>
    <col min="751" max="751" width="8.875" customWidth="1"/>
    <col min="752" max="752" width="5.875" customWidth="1"/>
    <col min="753" max="754" width="7.875" customWidth="1"/>
    <col min="755" max="755" width="8.875" customWidth="1"/>
    <col min="756" max="756" width="7.875" customWidth="1"/>
    <col min="757" max="757" width="5.875" customWidth="1"/>
    <col min="758" max="758" width="7.875" customWidth="1"/>
    <col min="759" max="759" width="8.875" customWidth="1"/>
    <col min="760" max="760" width="7.875" customWidth="1"/>
    <col min="761" max="761" width="8.875" customWidth="1"/>
    <col min="762" max="762" width="7.875" customWidth="1"/>
    <col min="763" max="763" width="8.875" customWidth="1"/>
    <col min="764" max="764" width="5.875" customWidth="1"/>
    <col min="765" max="765" width="9.875" customWidth="1"/>
    <col min="766" max="767" width="7.875" customWidth="1"/>
    <col min="768" max="770" width="9.875" customWidth="1"/>
    <col min="771" max="771" width="8.875" customWidth="1"/>
    <col min="772" max="773" width="9.875" customWidth="1"/>
    <col min="774" max="774" width="6.875" customWidth="1"/>
    <col min="775" max="776" width="9.875" customWidth="1"/>
    <col min="777" max="777" width="6.875" customWidth="1"/>
    <col min="778" max="778" width="10" customWidth="1"/>
    <col min="779" max="779" width="9.875" customWidth="1"/>
    <col min="780" max="780" width="6.875" customWidth="1"/>
    <col min="781" max="781" width="8.875" customWidth="1"/>
    <col min="782" max="782" width="6.875" customWidth="1"/>
    <col min="783" max="784" width="8.875" customWidth="1"/>
    <col min="785" max="785" width="6.875" customWidth="1"/>
    <col min="786" max="789" width="8.875" customWidth="1"/>
    <col min="790" max="790" width="6.875" customWidth="1"/>
    <col min="791" max="791" width="8.875" customWidth="1"/>
    <col min="792" max="792" width="11.125" bestFit="1" customWidth="1"/>
    <col min="793" max="793" width="6.875" customWidth="1"/>
    <col min="794" max="794" width="11.125" bestFit="1" customWidth="1"/>
    <col min="795" max="795" width="10" customWidth="1"/>
    <col min="796" max="798" width="9.875" customWidth="1"/>
    <col min="799" max="799" width="5.625" customWidth="1"/>
    <col min="800" max="800" width="6.5" customWidth="1"/>
    <col min="801" max="801" width="1.875" customWidth="1"/>
    <col min="802" max="802" width="3.875" customWidth="1"/>
    <col min="803" max="803" width="5.875" customWidth="1"/>
    <col min="804" max="804" width="6.875" customWidth="1"/>
    <col min="805" max="805" width="7.25" customWidth="1"/>
    <col min="806" max="806" width="3.875" customWidth="1"/>
    <col min="807" max="807" width="8.875" customWidth="1"/>
    <col min="808" max="808" width="4.875" customWidth="1"/>
    <col min="809" max="809" width="6.875" customWidth="1"/>
    <col min="810" max="810" width="7.875" customWidth="1"/>
    <col min="811" max="811" width="8.875" customWidth="1"/>
    <col min="812" max="812" width="7.875" customWidth="1"/>
    <col min="813" max="813" width="4.875" customWidth="1"/>
    <col min="814" max="815" width="7.875" customWidth="1"/>
    <col min="816" max="816" width="6.875" customWidth="1"/>
    <col min="817" max="817" width="7.875" customWidth="1"/>
    <col min="818" max="818" width="6.875" customWidth="1"/>
    <col min="819" max="819" width="7.875" customWidth="1"/>
    <col min="820" max="820" width="4.875" customWidth="1"/>
    <col min="821" max="821" width="7.875" customWidth="1"/>
    <col min="822" max="822" width="6.875" customWidth="1"/>
    <col min="823" max="826" width="7.875" customWidth="1"/>
    <col min="827" max="827" width="8.875" customWidth="1"/>
    <col min="828" max="829" width="5.875" customWidth="1"/>
    <col min="830" max="830" width="10" customWidth="1"/>
    <col min="831" max="831" width="8.875" customWidth="1"/>
    <col min="832" max="832" width="10" customWidth="1"/>
    <col min="833" max="833" width="7.875" customWidth="1"/>
    <col min="834" max="834" width="8.875" customWidth="1"/>
    <col min="835" max="836" width="7.875" customWidth="1"/>
    <col min="837" max="837" width="8.875" customWidth="1"/>
    <col min="838" max="838" width="10" customWidth="1"/>
    <col min="839" max="839" width="8.875" customWidth="1"/>
    <col min="840" max="840" width="7.875" customWidth="1"/>
    <col min="841" max="842" width="8.875" customWidth="1"/>
    <col min="843" max="843" width="5.875" customWidth="1"/>
    <col min="844" max="844" width="7.875" customWidth="1"/>
    <col min="845" max="845" width="5.875" customWidth="1"/>
    <col min="846" max="846" width="7.875" customWidth="1"/>
    <col min="847" max="847" width="10" customWidth="1"/>
    <col min="848" max="848" width="7.875" customWidth="1"/>
    <col min="849" max="849" width="8.875" customWidth="1"/>
    <col min="850" max="850" width="7.875" customWidth="1"/>
    <col min="851" max="851" width="5.875" customWidth="1"/>
    <col min="852" max="852" width="8.875" customWidth="1"/>
    <col min="853" max="853" width="5.875" customWidth="1"/>
    <col min="854" max="854" width="8.875" customWidth="1"/>
    <col min="855" max="855" width="5.875" customWidth="1"/>
    <col min="856" max="860" width="8.875" customWidth="1"/>
    <col min="861" max="861" width="7.875" customWidth="1"/>
    <col min="862" max="863" width="8.875" customWidth="1"/>
    <col min="864" max="864" width="5.875" customWidth="1"/>
    <col min="865" max="865" width="8.875" customWidth="1"/>
    <col min="866" max="866" width="5.875" customWidth="1"/>
    <col min="867" max="868" width="7.875" customWidth="1"/>
    <col min="869" max="869" width="8.875" customWidth="1"/>
    <col min="870" max="870" width="7.875" customWidth="1"/>
    <col min="871" max="871" width="5.875" customWidth="1"/>
    <col min="872" max="872" width="7.875" customWidth="1"/>
    <col min="873" max="873" width="10" customWidth="1"/>
    <col min="874" max="874" width="7.875" customWidth="1"/>
    <col min="875" max="875" width="8.875" customWidth="1"/>
    <col min="876" max="876" width="7.875" customWidth="1"/>
    <col min="877" max="877" width="8.875" customWidth="1"/>
    <col min="878" max="879" width="10" customWidth="1"/>
    <col min="880" max="881" width="7.875" customWidth="1"/>
    <col min="882" max="884" width="9.875" customWidth="1"/>
    <col min="885" max="885" width="8.875" customWidth="1"/>
    <col min="886" max="887" width="9.875" customWidth="1"/>
    <col min="888" max="888" width="10" customWidth="1"/>
    <col min="889" max="890" width="9.875" customWidth="1"/>
    <col min="891" max="891" width="6.875" customWidth="1"/>
    <col min="892" max="892" width="10" customWidth="1"/>
    <col min="893" max="893" width="9.875" customWidth="1"/>
    <col min="894" max="895" width="8.875" customWidth="1"/>
    <col min="896" max="896" width="6.875" customWidth="1"/>
    <col min="897" max="898" width="8.875" customWidth="1"/>
    <col min="899" max="899" width="6.875" customWidth="1"/>
    <col min="900" max="903" width="8.875" customWidth="1"/>
    <col min="904" max="904" width="6.875" customWidth="1"/>
    <col min="905" max="905" width="8.875" customWidth="1"/>
    <col min="906" max="906" width="10" customWidth="1"/>
    <col min="907" max="907" width="6.875" customWidth="1"/>
    <col min="908" max="908" width="11.125" bestFit="1" customWidth="1"/>
    <col min="909" max="909" width="10" customWidth="1"/>
    <col min="910" max="912" width="9.875" customWidth="1"/>
    <col min="913" max="913" width="5.625" customWidth="1"/>
    <col min="914" max="914" width="19.375" bestFit="1" customWidth="1"/>
    <col min="915" max="915" width="12.75" bestFit="1" customWidth="1"/>
    <col min="916" max="916" width="12" bestFit="1" customWidth="1"/>
    <col min="917" max="918" width="12.75" bestFit="1" customWidth="1"/>
    <col min="919" max="920" width="12" bestFit="1" customWidth="1"/>
    <col min="921" max="921" width="13.125" bestFit="1" customWidth="1"/>
  </cols>
  <sheetData>
    <row r="3" spans="1:15" x14ac:dyDescent="0.15">
      <c r="A3" s="77" t="s">
        <v>151</v>
      </c>
      <c r="B3" s="1" t="s">
        <v>154</v>
      </c>
      <c r="C3" s="1" t="s">
        <v>155</v>
      </c>
      <c r="D3" s="1" t="s">
        <v>156</v>
      </c>
      <c r="E3" s="1" t="s">
        <v>157</v>
      </c>
      <c r="F3" s="1" t="s">
        <v>158</v>
      </c>
      <c r="G3" s="1" t="s">
        <v>159</v>
      </c>
      <c r="H3" s="1" t="s">
        <v>160</v>
      </c>
      <c r="I3" s="1" t="s">
        <v>273</v>
      </c>
      <c r="J3" s="333" t="s">
        <v>283</v>
      </c>
      <c r="K3" s="1" t="s">
        <v>334</v>
      </c>
      <c r="L3" s="1" t="s">
        <v>371</v>
      </c>
      <c r="M3" s="333" t="s">
        <v>433</v>
      </c>
      <c r="N3" t="s">
        <v>224</v>
      </c>
      <c r="O3" t="s">
        <v>372</v>
      </c>
    </row>
    <row r="4" spans="1:15" x14ac:dyDescent="0.15">
      <c r="A4" s="78" t="s">
        <v>29</v>
      </c>
      <c r="B4" s="81"/>
      <c r="C4" s="81"/>
      <c r="D4" s="81"/>
      <c r="E4" s="81">
        <v>441055</v>
      </c>
      <c r="F4" s="81">
        <v>1269312.4500000002</v>
      </c>
      <c r="G4" s="81">
        <v>332609</v>
      </c>
      <c r="H4" s="81">
        <v>889153.36</v>
      </c>
      <c r="I4" s="81">
        <v>1028272.2800000003</v>
      </c>
      <c r="J4" s="81">
        <v>183999.97999999998</v>
      </c>
      <c r="K4" s="81">
        <v>117841.82000000002</v>
      </c>
      <c r="L4" s="81">
        <v>181196.4</v>
      </c>
      <c r="M4" s="81">
        <v>968253.3</v>
      </c>
      <c r="N4" s="81">
        <v>43657740.657650001</v>
      </c>
      <c r="O4" s="81">
        <v>43739430.398649998</v>
      </c>
    </row>
    <row r="5" spans="1:15" x14ac:dyDescent="0.15">
      <c r="A5" s="79" t="s">
        <v>102</v>
      </c>
      <c r="B5" s="81"/>
      <c r="C5" s="81"/>
      <c r="D5" s="81"/>
      <c r="E5" s="81">
        <v>441055</v>
      </c>
      <c r="F5" s="81">
        <v>1269312.4500000002</v>
      </c>
      <c r="G5" s="81">
        <v>332609</v>
      </c>
      <c r="H5" s="81">
        <v>889153.36</v>
      </c>
      <c r="I5" s="81">
        <v>1028272.2800000003</v>
      </c>
      <c r="J5" s="81">
        <v>183999.97999999998</v>
      </c>
      <c r="K5" s="81">
        <v>117841.82000000002</v>
      </c>
      <c r="L5" s="81">
        <v>181196.4</v>
      </c>
      <c r="M5" s="81">
        <v>968253.3</v>
      </c>
      <c r="N5" s="81">
        <v>43657740.657650001</v>
      </c>
      <c r="O5" s="81">
        <v>43739430.398649998</v>
      </c>
    </row>
    <row r="6" spans="1:15" x14ac:dyDescent="0.15">
      <c r="A6" s="82" t="s">
        <v>182</v>
      </c>
      <c r="B6" s="81"/>
      <c r="C6" s="81"/>
      <c r="D6" s="81"/>
      <c r="E6" s="81">
        <v>441055</v>
      </c>
      <c r="F6" s="81">
        <v>1269312.4500000002</v>
      </c>
      <c r="G6" s="81">
        <v>332609</v>
      </c>
      <c r="H6" s="81">
        <v>881708.36</v>
      </c>
      <c r="I6" s="81">
        <v>1025977.0400000003</v>
      </c>
      <c r="J6" s="81">
        <v>183999.97999999998</v>
      </c>
      <c r="K6" s="81">
        <v>117841.82000000002</v>
      </c>
      <c r="L6" s="81">
        <v>181196.4</v>
      </c>
      <c r="M6" s="81">
        <v>2522.5500000000002</v>
      </c>
      <c r="N6" s="81">
        <v>4407515.1150000002</v>
      </c>
      <c r="O6" s="81">
        <v>4479464.6160000004</v>
      </c>
    </row>
    <row r="7" spans="1:15" x14ac:dyDescent="0.15">
      <c r="A7" s="80" t="s">
        <v>230</v>
      </c>
      <c r="B7" s="81"/>
      <c r="C7" s="81"/>
      <c r="D7" s="81"/>
      <c r="E7" s="81"/>
      <c r="F7" s="81"/>
      <c r="G7" s="81"/>
      <c r="H7" s="81">
        <v>7445</v>
      </c>
      <c r="I7" s="81">
        <v>2295.2399999999998</v>
      </c>
      <c r="J7" s="81"/>
      <c r="K7" s="81"/>
      <c r="L7" s="81"/>
      <c r="M7" s="81"/>
      <c r="N7" s="81">
        <v>0</v>
      </c>
      <c r="O7" s="81">
        <v>9740.24</v>
      </c>
    </row>
    <row r="8" spans="1:15" x14ac:dyDescent="0.15">
      <c r="A8" s="80" t="s">
        <v>398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>
        <v>965730.75</v>
      </c>
      <c r="N8" s="81">
        <v>39250225.542649999</v>
      </c>
      <c r="O8" s="81">
        <v>39250225.542649999</v>
      </c>
    </row>
    <row r="9" spans="1:15" x14ac:dyDescent="0.15">
      <c r="A9" s="78" t="s">
        <v>27</v>
      </c>
      <c r="B9" s="81">
        <v>104633.79999999999</v>
      </c>
      <c r="C9" s="81">
        <v>12936.9</v>
      </c>
      <c r="D9" s="81"/>
      <c r="E9" s="81"/>
      <c r="F9" s="81">
        <v>9502.25</v>
      </c>
      <c r="G9" s="81">
        <v>51261.81</v>
      </c>
      <c r="H9" s="81">
        <v>15359.470000000001</v>
      </c>
      <c r="I9" s="81">
        <v>28478.800000000003</v>
      </c>
      <c r="J9" s="81"/>
      <c r="K9" s="81"/>
      <c r="L9" s="81"/>
      <c r="M9" s="81">
        <v>7288.6</v>
      </c>
      <c r="N9" s="81">
        <v>13761779.64185</v>
      </c>
      <c r="O9" s="81">
        <v>13656867.0221</v>
      </c>
    </row>
    <row r="10" spans="1:15" x14ac:dyDescent="0.15">
      <c r="A10" s="79" t="s">
        <v>100</v>
      </c>
      <c r="B10" s="81">
        <v>104633.79999999999</v>
      </c>
      <c r="C10" s="81">
        <v>12936.9</v>
      </c>
      <c r="D10" s="81"/>
      <c r="E10" s="81"/>
      <c r="F10" s="81"/>
      <c r="G10" s="81"/>
      <c r="H10" s="81">
        <v>7461.95</v>
      </c>
      <c r="I10" s="81">
        <v>27914.800000000003</v>
      </c>
      <c r="J10" s="81"/>
      <c r="K10" s="81"/>
      <c r="L10" s="81"/>
      <c r="M10" s="81"/>
      <c r="N10" s="81">
        <v>151459.54999999999</v>
      </c>
      <c r="O10" s="81">
        <v>152947.44999999998</v>
      </c>
    </row>
    <row r="11" spans="1:15" x14ac:dyDescent="0.15">
      <c r="A11" s="82" t="s">
        <v>182</v>
      </c>
      <c r="B11" s="81">
        <v>104633.79999999999</v>
      </c>
      <c r="C11" s="81">
        <v>12936.9</v>
      </c>
      <c r="D11" s="81"/>
      <c r="E11" s="81"/>
      <c r="F11" s="81"/>
      <c r="G11" s="81"/>
      <c r="H11" s="81">
        <v>4237.1499999999996</v>
      </c>
      <c r="I11" s="81">
        <v>27602.400000000001</v>
      </c>
      <c r="J11" s="81"/>
      <c r="K11" s="81"/>
      <c r="L11" s="81"/>
      <c r="M11" s="81"/>
      <c r="N11" s="81">
        <v>151459.54999999999</v>
      </c>
      <c r="O11" s="81">
        <v>149410.25</v>
      </c>
    </row>
    <row r="12" spans="1:15" x14ac:dyDescent="0.15">
      <c r="A12" s="80" t="s">
        <v>230</v>
      </c>
      <c r="B12" s="81"/>
      <c r="C12" s="81"/>
      <c r="D12" s="81"/>
      <c r="E12" s="81"/>
      <c r="F12" s="81"/>
      <c r="G12" s="81"/>
      <c r="H12" s="81"/>
      <c r="I12" s="81">
        <v>312.39999999999998</v>
      </c>
      <c r="J12" s="81"/>
      <c r="K12" s="81"/>
      <c r="L12" s="81"/>
      <c r="M12" s="81"/>
      <c r="N12" s="81">
        <v>0</v>
      </c>
      <c r="O12" s="81">
        <v>312.39999999999998</v>
      </c>
    </row>
    <row r="13" spans="1:15" x14ac:dyDescent="0.15">
      <c r="A13" s="80" t="s">
        <v>281</v>
      </c>
      <c r="B13" s="81"/>
      <c r="C13" s="81"/>
      <c r="D13" s="81"/>
      <c r="E13" s="81"/>
      <c r="F13" s="81"/>
      <c r="G13" s="81"/>
      <c r="H13" s="81">
        <v>3224.8</v>
      </c>
      <c r="I13" s="81"/>
      <c r="J13" s="81"/>
      <c r="K13" s="81"/>
      <c r="L13" s="81"/>
      <c r="M13" s="81"/>
      <c r="N13" s="81">
        <v>0</v>
      </c>
      <c r="O13" s="81">
        <v>3224.8</v>
      </c>
    </row>
    <row r="14" spans="1:15" x14ac:dyDescent="0.15">
      <c r="A14" s="79" t="s">
        <v>101</v>
      </c>
      <c r="B14" s="81"/>
      <c r="C14" s="81"/>
      <c r="D14" s="81"/>
      <c r="E14" s="81"/>
      <c r="F14" s="81">
        <v>9502.25</v>
      </c>
      <c r="G14" s="81">
        <v>51261.81</v>
      </c>
      <c r="H14" s="81">
        <v>7897.52</v>
      </c>
      <c r="I14" s="81">
        <v>564</v>
      </c>
      <c r="J14" s="81"/>
      <c r="K14" s="81"/>
      <c r="L14" s="81"/>
      <c r="M14" s="81">
        <v>7288.6</v>
      </c>
      <c r="N14" s="81">
        <v>13610320.09185</v>
      </c>
      <c r="O14" s="81">
        <v>13503919.5721</v>
      </c>
    </row>
    <row r="15" spans="1:15" x14ac:dyDescent="0.15">
      <c r="A15" s="80" t="s">
        <v>184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>
        <v>58904.759999999995</v>
      </c>
      <c r="O15" s="81">
        <v>58904.759999999995</v>
      </c>
    </row>
    <row r="16" spans="1:15" x14ac:dyDescent="0.15">
      <c r="A16" s="82" t="s">
        <v>181</v>
      </c>
      <c r="B16" s="81"/>
      <c r="C16" s="81"/>
      <c r="D16" s="81"/>
      <c r="E16" s="81"/>
      <c r="F16" s="81"/>
      <c r="G16" s="81">
        <v>43952.36</v>
      </c>
      <c r="H16" s="81"/>
      <c r="I16" s="81"/>
      <c r="J16" s="81"/>
      <c r="K16" s="81"/>
      <c r="L16" s="81"/>
      <c r="M16" s="81"/>
      <c r="N16" s="81">
        <v>152966.13574999999</v>
      </c>
      <c r="O16" s="81">
        <v>142991.54600000003</v>
      </c>
    </row>
    <row r="17" spans="1:15" x14ac:dyDescent="0.15">
      <c r="A17" s="82" t="s">
        <v>182</v>
      </c>
      <c r="B17" s="81"/>
      <c r="C17" s="81"/>
      <c r="D17" s="81"/>
      <c r="E17" s="81"/>
      <c r="F17" s="81">
        <v>9502.25</v>
      </c>
      <c r="G17" s="81">
        <v>7309.4500000000007</v>
      </c>
      <c r="H17" s="81">
        <v>7897.52</v>
      </c>
      <c r="I17" s="81">
        <v>564</v>
      </c>
      <c r="J17" s="81"/>
      <c r="K17" s="81"/>
      <c r="L17" s="81"/>
      <c r="M17" s="81">
        <v>7288.6</v>
      </c>
      <c r="N17" s="81">
        <v>1412186.1825999999</v>
      </c>
      <c r="O17" s="81">
        <v>1315760.2526</v>
      </c>
    </row>
    <row r="18" spans="1:15" x14ac:dyDescent="0.15">
      <c r="A18" s="80" t="s">
        <v>494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1986.95</v>
      </c>
      <c r="O18" s="81">
        <v>1986.95</v>
      </c>
    </row>
    <row r="19" spans="1:15" x14ac:dyDescent="0.15">
      <c r="A19" s="80" t="s">
        <v>398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>
        <v>11900000</v>
      </c>
      <c r="O19" s="81">
        <v>11900000</v>
      </c>
    </row>
    <row r="20" spans="1:15" x14ac:dyDescent="0.15">
      <c r="A20" s="80" t="s">
        <v>428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>
        <v>34276.063499999997</v>
      </c>
      <c r="O20" s="81">
        <v>34276.063499999997</v>
      </c>
    </row>
    <row r="21" spans="1:15" x14ac:dyDescent="0.15">
      <c r="A21" s="80" t="s">
        <v>399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>
        <v>50000</v>
      </c>
      <c r="O21" s="81">
        <v>50000</v>
      </c>
    </row>
    <row r="22" spans="1:15" x14ac:dyDescent="0.15">
      <c r="A22" s="78" t="s">
        <v>28</v>
      </c>
      <c r="B22" s="81">
        <v>940733.68</v>
      </c>
      <c r="C22" s="81">
        <v>1235199.82</v>
      </c>
      <c r="D22" s="81">
        <v>671879.48</v>
      </c>
      <c r="E22" s="81">
        <v>724056.59</v>
      </c>
      <c r="F22" s="81">
        <v>549738.67999999993</v>
      </c>
      <c r="G22" s="81">
        <v>277223.08999999997</v>
      </c>
      <c r="H22" s="81">
        <v>411709.56640000001</v>
      </c>
      <c r="I22" s="81">
        <v>766299.13</v>
      </c>
      <c r="J22" s="81">
        <v>218796.63</v>
      </c>
      <c r="K22" s="81">
        <v>219546.52000000002</v>
      </c>
      <c r="L22" s="81">
        <v>398777.52999999997</v>
      </c>
      <c r="M22" s="81">
        <v>1321267.29</v>
      </c>
      <c r="N22" s="81">
        <v>32763605.585590001</v>
      </c>
      <c r="O22" s="81">
        <v>31181859.631989997</v>
      </c>
    </row>
    <row r="23" spans="1:15" x14ac:dyDescent="0.15">
      <c r="A23" s="79" t="s">
        <v>98</v>
      </c>
      <c r="B23" s="81">
        <v>281848.35000000003</v>
      </c>
      <c r="C23" s="81">
        <v>940492.95000000007</v>
      </c>
      <c r="D23" s="81">
        <v>224279</v>
      </c>
      <c r="E23" s="81">
        <v>115146.75</v>
      </c>
      <c r="F23" s="81">
        <v>102229.90000000001</v>
      </c>
      <c r="G23" s="81">
        <v>68180.399999999994</v>
      </c>
      <c r="H23" s="81">
        <v>89678.05</v>
      </c>
      <c r="I23" s="81">
        <v>75362.25</v>
      </c>
      <c r="J23" s="81">
        <v>42540.1</v>
      </c>
      <c r="K23" s="81">
        <v>38427.250000000007</v>
      </c>
      <c r="L23" s="81">
        <v>64475.44</v>
      </c>
      <c r="M23" s="81">
        <v>69539.250000000015</v>
      </c>
      <c r="N23" s="81">
        <v>3336335.9949999996</v>
      </c>
      <c r="O23" s="81">
        <v>2868962.4350000001</v>
      </c>
    </row>
    <row r="24" spans="1:15" x14ac:dyDescent="0.15">
      <c r="A24" s="82" t="s">
        <v>183</v>
      </c>
      <c r="B24" s="81">
        <v>56438.7</v>
      </c>
      <c r="C24" s="81">
        <v>147557.4</v>
      </c>
      <c r="D24" s="81">
        <v>116335.95000000001</v>
      </c>
      <c r="E24" s="81">
        <v>105859.3</v>
      </c>
      <c r="F24" s="81">
        <v>83113.200000000012</v>
      </c>
      <c r="G24" s="81">
        <v>58244.2</v>
      </c>
      <c r="H24" s="81">
        <v>78442.100000000006</v>
      </c>
      <c r="I24" s="81">
        <v>68964.7</v>
      </c>
      <c r="J24" s="81">
        <v>37749.15</v>
      </c>
      <c r="K24" s="81">
        <v>35542.600000000006</v>
      </c>
      <c r="L24" s="81">
        <v>37002.050000000003</v>
      </c>
      <c r="M24" s="81">
        <v>54444.150000000009</v>
      </c>
      <c r="N24" s="81">
        <v>1412785</v>
      </c>
      <c r="O24" s="81">
        <v>1290843</v>
      </c>
    </row>
    <row r="25" spans="1:15" x14ac:dyDescent="0.15">
      <c r="A25" s="80" t="s">
        <v>184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>
        <v>18527.09</v>
      </c>
      <c r="M25" s="81"/>
      <c r="N25" s="81">
        <v>56688.514999999999</v>
      </c>
      <c r="O25" s="81">
        <v>46200.604999999996</v>
      </c>
    </row>
    <row r="26" spans="1:15" x14ac:dyDescent="0.15">
      <c r="A26" s="82" t="s">
        <v>182</v>
      </c>
      <c r="B26" s="81">
        <v>225409.65000000002</v>
      </c>
      <c r="C26" s="81">
        <v>792935.55</v>
      </c>
      <c r="D26" s="81">
        <v>107943.05</v>
      </c>
      <c r="E26" s="81">
        <v>9287.4499999999989</v>
      </c>
      <c r="F26" s="81">
        <v>315.89999999999998</v>
      </c>
      <c r="G26" s="81"/>
      <c r="H26" s="81"/>
      <c r="I26" s="81"/>
      <c r="J26" s="81"/>
      <c r="K26" s="81"/>
      <c r="L26" s="81">
        <v>5244.75</v>
      </c>
      <c r="M26" s="81">
        <v>11723</v>
      </c>
      <c r="N26" s="81">
        <v>1864116.58</v>
      </c>
      <c r="O26" s="81">
        <v>1463401.9799999997</v>
      </c>
    </row>
    <row r="27" spans="1:15" x14ac:dyDescent="0.15">
      <c r="A27" s="82" t="s">
        <v>186</v>
      </c>
      <c r="B27" s="81"/>
      <c r="C27" s="81"/>
      <c r="D27" s="81"/>
      <c r="E27" s="81"/>
      <c r="F27" s="81"/>
      <c r="G27" s="81"/>
      <c r="H27" s="81">
        <v>1153</v>
      </c>
      <c r="I27" s="81"/>
      <c r="J27" s="81"/>
      <c r="K27" s="81"/>
      <c r="L27" s="81"/>
      <c r="M27" s="81"/>
      <c r="N27" s="81">
        <v>2745.9</v>
      </c>
      <c r="O27" s="81">
        <v>2745.9</v>
      </c>
    </row>
    <row r="28" spans="1:15" x14ac:dyDescent="0.15">
      <c r="A28" s="80" t="s">
        <v>230</v>
      </c>
      <c r="B28" s="81"/>
      <c r="C28" s="81"/>
      <c r="D28" s="81"/>
      <c r="E28" s="81"/>
      <c r="F28" s="81">
        <v>16681.75</v>
      </c>
      <c r="G28" s="81"/>
      <c r="H28" s="81"/>
      <c r="I28" s="81"/>
      <c r="J28" s="81"/>
      <c r="K28" s="81"/>
      <c r="L28" s="81"/>
      <c r="M28" s="81"/>
      <c r="N28" s="81">
        <v>0</v>
      </c>
      <c r="O28" s="81">
        <v>16681.75</v>
      </c>
    </row>
    <row r="29" spans="1:15" x14ac:dyDescent="0.15">
      <c r="A29" s="80" t="s">
        <v>430</v>
      </c>
      <c r="B29" s="81"/>
      <c r="C29" s="81"/>
      <c r="D29" s="81"/>
      <c r="E29" s="81"/>
      <c r="F29" s="81">
        <v>2119.0500000000002</v>
      </c>
      <c r="G29" s="81">
        <v>9936.2000000000007</v>
      </c>
      <c r="H29" s="81">
        <v>10082.950000000001</v>
      </c>
      <c r="I29" s="81">
        <v>6397.55</v>
      </c>
      <c r="J29" s="81">
        <v>4790.95</v>
      </c>
      <c r="K29" s="81">
        <v>2884.65</v>
      </c>
      <c r="L29" s="81">
        <v>3701.55</v>
      </c>
      <c r="M29" s="81">
        <v>3372.1</v>
      </c>
      <c r="N29" s="81">
        <v>0</v>
      </c>
      <c r="O29" s="81">
        <v>49089.2</v>
      </c>
    </row>
    <row r="30" spans="1:15" x14ac:dyDescent="0.15">
      <c r="A30" s="79" t="s">
        <v>97</v>
      </c>
      <c r="B30" s="81">
        <v>113643.38</v>
      </c>
      <c r="C30" s="81"/>
      <c r="D30" s="81">
        <v>19057.800000000003</v>
      </c>
      <c r="E30" s="81">
        <v>199913.8</v>
      </c>
      <c r="F30" s="81">
        <v>11687.65</v>
      </c>
      <c r="G30" s="81">
        <v>54503.39</v>
      </c>
      <c r="H30" s="81">
        <v>61011.040000000008</v>
      </c>
      <c r="I30" s="81">
        <v>231995.81</v>
      </c>
      <c r="J30" s="81">
        <v>13819.95</v>
      </c>
      <c r="K30" s="81">
        <v>10930.45</v>
      </c>
      <c r="L30" s="81">
        <v>1310.97</v>
      </c>
      <c r="M30" s="81">
        <v>158599.03</v>
      </c>
      <c r="N30" s="81">
        <v>5305446.1950000003</v>
      </c>
      <c r="O30" s="81">
        <v>4787350.3338500001</v>
      </c>
    </row>
    <row r="31" spans="1:15" x14ac:dyDescent="0.15">
      <c r="A31" s="82" t="s">
        <v>181</v>
      </c>
      <c r="B31" s="81"/>
      <c r="C31" s="81"/>
      <c r="D31" s="81">
        <v>19057.800000000003</v>
      </c>
      <c r="E31" s="81">
        <v>199913.8</v>
      </c>
      <c r="F31" s="81">
        <v>11450.05</v>
      </c>
      <c r="G31" s="81">
        <v>27611.39</v>
      </c>
      <c r="H31" s="81">
        <v>61011.040000000008</v>
      </c>
      <c r="I31" s="81">
        <v>8187.22</v>
      </c>
      <c r="J31" s="81"/>
      <c r="K31" s="81"/>
      <c r="L31" s="81"/>
      <c r="M31" s="81"/>
      <c r="N31" s="81">
        <v>377132.19700000004</v>
      </c>
      <c r="O31" s="81">
        <v>354577.40700000001</v>
      </c>
    </row>
    <row r="32" spans="1:15" x14ac:dyDescent="0.15">
      <c r="A32" s="82" t="s">
        <v>182</v>
      </c>
      <c r="B32" s="81">
        <v>1520.4</v>
      </c>
      <c r="C32" s="81"/>
      <c r="D32" s="81"/>
      <c r="E32" s="81"/>
      <c r="F32" s="81">
        <v>237.6</v>
      </c>
      <c r="G32" s="81">
        <v>26892</v>
      </c>
      <c r="H32" s="81"/>
      <c r="I32" s="81">
        <v>91877.49</v>
      </c>
      <c r="J32" s="81"/>
      <c r="K32" s="81"/>
      <c r="L32" s="81">
        <v>1310.97</v>
      </c>
      <c r="M32" s="81">
        <v>158599.03</v>
      </c>
      <c r="N32" s="81">
        <v>525572.48340000003</v>
      </c>
      <c r="O32" s="81">
        <v>481693.43339999998</v>
      </c>
    </row>
    <row r="33" spans="1:15" x14ac:dyDescent="0.15">
      <c r="A33" s="82" t="s">
        <v>187</v>
      </c>
      <c r="B33" s="81">
        <v>112122.98000000001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>
        <v>112121.98000000001</v>
      </c>
      <c r="O33" s="81">
        <v>112122.98000000001</v>
      </c>
    </row>
    <row r="34" spans="1:15" x14ac:dyDescent="0.15">
      <c r="A34" s="80" t="s">
        <v>213</v>
      </c>
      <c r="B34" s="81"/>
      <c r="C34" s="81"/>
      <c r="D34" s="81"/>
      <c r="E34" s="81"/>
      <c r="F34" s="81"/>
      <c r="G34" s="81"/>
      <c r="H34" s="81"/>
      <c r="I34" s="81">
        <v>64124.35</v>
      </c>
      <c r="J34" s="81"/>
      <c r="K34" s="81"/>
      <c r="L34" s="81"/>
      <c r="M34" s="81"/>
      <c r="N34" s="81">
        <v>86471.905199999994</v>
      </c>
      <c r="O34" s="81">
        <v>64124.35</v>
      </c>
    </row>
    <row r="35" spans="1:15" x14ac:dyDescent="0.15">
      <c r="A35" s="80" t="s">
        <v>261</v>
      </c>
      <c r="B35" s="81"/>
      <c r="C35" s="81"/>
      <c r="D35" s="81"/>
      <c r="E35" s="81"/>
      <c r="F35" s="81"/>
      <c r="G35" s="81"/>
      <c r="H35" s="81"/>
      <c r="I35" s="81">
        <v>31308.15</v>
      </c>
      <c r="J35" s="81"/>
      <c r="K35" s="81"/>
      <c r="L35" s="81"/>
      <c r="M35" s="81"/>
      <c r="N35" s="81">
        <v>48551.4</v>
      </c>
      <c r="O35" s="81">
        <v>41001.15</v>
      </c>
    </row>
    <row r="36" spans="1:15" x14ac:dyDescent="0.15">
      <c r="A36" s="80">
        <v>3.5754000000000001</v>
      </c>
      <c r="B36" s="81"/>
      <c r="C36" s="81"/>
      <c r="D36" s="81"/>
      <c r="E36" s="81"/>
      <c r="F36" s="81"/>
      <c r="G36" s="81"/>
      <c r="H36" s="81"/>
      <c r="I36" s="81">
        <v>36498.6</v>
      </c>
      <c r="J36" s="81"/>
      <c r="K36" s="81"/>
      <c r="L36" s="81"/>
      <c r="M36" s="81"/>
      <c r="N36" s="81">
        <v>37276.199999999997</v>
      </c>
      <c r="O36" s="81">
        <v>36498.6</v>
      </c>
    </row>
    <row r="37" spans="1:15" x14ac:dyDescent="0.15">
      <c r="A37" s="80" t="s">
        <v>280</v>
      </c>
      <c r="B37" s="81"/>
      <c r="C37" s="81"/>
      <c r="D37" s="81"/>
      <c r="E37" s="81"/>
      <c r="F37" s="81"/>
      <c r="G37" s="81"/>
      <c r="H37" s="81"/>
      <c r="I37" s="81"/>
      <c r="J37" s="81">
        <v>13819.95</v>
      </c>
      <c r="K37" s="81">
        <v>10930.45</v>
      </c>
      <c r="L37" s="81"/>
      <c r="M37" s="81"/>
      <c r="N37" s="81">
        <v>32042.800000000003</v>
      </c>
      <c r="O37" s="81">
        <v>24750.400000000001</v>
      </c>
    </row>
    <row r="38" spans="1:15" x14ac:dyDescent="0.15">
      <c r="A38" s="80" t="s">
        <v>431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>
        <v>3370129.8217500001</v>
      </c>
      <c r="O38" s="81">
        <v>3370129.8217500001</v>
      </c>
    </row>
    <row r="39" spans="1:15" x14ac:dyDescent="0.15">
      <c r="A39" s="80" t="s">
        <v>432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>
        <v>249047.74169999998</v>
      </c>
      <c r="O39" s="81">
        <v>249047.74169999998</v>
      </c>
    </row>
    <row r="40" spans="1:15" x14ac:dyDescent="0.15">
      <c r="A40" s="80" t="s">
        <v>428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>
        <v>4695.7</v>
      </c>
      <c r="O40" s="81">
        <v>4695.7</v>
      </c>
    </row>
    <row r="41" spans="1:15" x14ac:dyDescent="0.15">
      <c r="A41" s="80">
        <v>3.52</v>
      </c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>
        <v>52403.965949999998</v>
      </c>
      <c r="O41" s="81">
        <v>48708.75</v>
      </c>
    </row>
    <row r="42" spans="1:15" x14ac:dyDescent="0.15">
      <c r="A42" s="80" t="s">
        <v>152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>
        <v>410000</v>
      </c>
      <c r="O42" s="81"/>
    </row>
    <row r="43" spans="1:15" x14ac:dyDescent="0.15">
      <c r="A43" s="79" t="s">
        <v>102</v>
      </c>
      <c r="B43" s="81"/>
      <c r="C43" s="81"/>
      <c r="D43" s="81"/>
      <c r="E43" s="81">
        <v>46210.15</v>
      </c>
      <c r="F43" s="81">
        <v>1233.25</v>
      </c>
      <c r="G43" s="81"/>
      <c r="H43" s="81"/>
      <c r="I43" s="81">
        <v>83635.710000000006</v>
      </c>
      <c r="J43" s="81">
        <v>38436.35</v>
      </c>
      <c r="K43" s="81">
        <v>16172.21</v>
      </c>
      <c r="L43" s="81">
        <v>5510.8</v>
      </c>
      <c r="M43" s="81">
        <v>481327.2699999999</v>
      </c>
      <c r="N43" s="81">
        <v>4170885.4580000006</v>
      </c>
      <c r="O43" s="81">
        <v>3897374.318</v>
      </c>
    </row>
    <row r="44" spans="1:15" x14ac:dyDescent="0.15">
      <c r="A44" s="82" t="s">
        <v>182</v>
      </c>
      <c r="B44" s="81"/>
      <c r="C44" s="81"/>
      <c r="D44" s="81"/>
      <c r="E44" s="81">
        <v>46210.15</v>
      </c>
      <c r="F44" s="81">
        <v>1233.25</v>
      </c>
      <c r="G44" s="81"/>
      <c r="H44" s="81"/>
      <c r="I44" s="81">
        <v>52615.15</v>
      </c>
      <c r="J44" s="81">
        <v>4106.8999999999996</v>
      </c>
      <c r="K44" s="81">
        <v>9411.9499999999989</v>
      </c>
      <c r="L44" s="81">
        <v>1884.75</v>
      </c>
      <c r="M44" s="81">
        <v>472555.54999999993</v>
      </c>
      <c r="N44" s="81">
        <v>4170885.4580000006</v>
      </c>
      <c r="O44" s="81">
        <v>3774588.818</v>
      </c>
    </row>
    <row r="45" spans="1:15" x14ac:dyDescent="0.15">
      <c r="A45" s="80" t="s">
        <v>230</v>
      </c>
      <c r="B45" s="81"/>
      <c r="C45" s="81"/>
      <c r="D45" s="81"/>
      <c r="E45" s="81"/>
      <c r="F45" s="81"/>
      <c r="G45" s="81"/>
      <c r="H45" s="81"/>
      <c r="I45" s="81">
        <v>31020.560000000001</v>
      </c>
      <c r="J45" s="81">
        <v>34329.449999999997</v>
      </c>
      <c r="K45" s="81">
        <v>6760.26</v>
      </c>
      <c r="L45" s="81">
        <v>3626.05</v>
      </c>
      <c r="M45" s="81">
        <v>8771.7199999999993</v>
      </c>
      <c r="N45" s="81">
        <v>0</v>
      </c>
      <c r="O45" s="81">
        <v>122785.5</v>
      </c>
    </row>
    <row r="46" spans="1:15" x14ac:dyDescent="0.15">
      <c r="A46" s="79" t="s">
        <v>100</v>
      </c>
      <c r="B46" s="81">
        <v>493972.8</v>
      </c>
      <c r="C46" s="81">
        <v>220353.95</v>
      </c>
      <c r="D46" s="81">
        <v>22955.85</v>
      </c>
      <c r="E46" s="81">
        <v>129167.15</v>
      </c>
      <c r="F46" s="81">
        <v>237835</v>
      </c>
      <c r="G46" s="81">
        <v>112965.65</v>
      </c>
      <c r="H46" s="81">
        <v>64475.726400000014</v>
      </c>
      <c r="I46" s="81">
        <v>54660.18</v>
      </c>
      <c r="J46" s="81">
        <v>4315.3999999999996</v>
      </c>
      <c r="K46" s="81">
        <v>10970.45</v>
      </c>
      <c r="L46" s="81">
        <v>171980.80000000002</v>
      </c>
      <c r="M46" s="81">
        <v>141833.1</v>
      </c>
      <c r="N46" s="81">
        <v>6976831.4050399996</v>
      </c>
      <c r="O46" s="81">
        <v>6845771.6276899995</v>
      </c>
    </row>
    <row r="47" spans="1:15" x14ac:dyDescent="0.15">
      <c r="A47" s="82" t="s">
        <v>183</v>
      </c>
      <c r="B47" s="81">
        <v>2117.5500000000002</v>
      </c>
      <c r="C47" s="81">
        <v>4671.45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>
        <v>29645.95</v>
      </c>
      <c r="O47" s="81">
        <v>6789</v>
      </c>
    </row>
    <row r="48" spans="1:15" x14ac:dyDescent="0.15">
      <c r="A48" s="82" t="s">
        <v>184</v>
      </c>
      <c r="B48" s="81"/>
      <c r="C48" s="81">
        <v>4376.7999999999993</v>
      </c>
      <c r="D48" s="81">
        <v>1403.8</v>
      </c>
      <c r="E48" s="81">
        <v>2733.7</v>
      </c>
      <c r="F48" s="81"/>
      <c r="G48" s="81"/>
      <c r="H48" s="81"/>
      <c r="I48" s="81"/>
      <c r="J48" s="81"/>
      <c r="K48" s="81"/>
      <c r="L48" s="81"/>
      <c r="M48" s="81"/>
      <c r="N48" s="81">
        <v>3694.2</v>
      </c>
      <c r="O48" s="81">
        <v>8514.2999999999993</v>
      </c>
    </row>
    <row r="49" spans="1:15" x14ac:dyDescent="0.15">
      <c r="A49" s="82" t="s">
        <v>181</v>
      </c>
      <c r="B49" s="81">
        <v>491855.25</v>
      </c>
      <c r="C49" s="81">
        <v>76697.649999999994</v>
      </c>
      <c r="D49" s="81"/>
      <c r="E49" s="81">
        <v>70703.05</v>
      </c>
      <c r="F49" s="81">
        <v>42866.95</v>
      </c>
      <c r="G49" s="81"/>
      <c r="H49" s="81">
        <v>25157.217600000004</v>
      </c>
      <c r="I49" s="81">
        <v>4715.8500000000004</v>
      </c>
      <c r="J49" s="81"/>
      <c r="K49" s="81"/>
      <c r="L49" s="81">
        <v>101609.70000000001</v>
      </c>
      <c r="M49" s="81">
        <v>47318</v>
      </c>
      <c r="N49" s="81">
        <v>1118051.3999999997</v>
      </c>
      <c r="O49" s="81">
        <v>1000314.3675999999</v>
      </c>
    </row>
    <row r="50" spans="1:15" x14ac:dyDescent="0.15">
      <c r="A50" s="82" t="s">
        <v>185</v>
      </c>
      <c r="B50" s="81"/>
      <c r="C50" s="81">
        <v>131273.70000000001</v>
      </c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>
        <v>149477.9</v>
      </c>
      <c r="O50" s="81">
        <v>131273.70000000001</v>
      </c>
    </row>
    <row r="51" spans="1:15" x14ac:dyDescent="0.15">
      <c r="A51" s="82" t="s">
        <v>182</v>
      </c>
      <c r="B51" s="81"/>
      <c r="C51" s="81">
        <v>3334.35</v>
      </c>
      <c r="D51" s="81">
        <v>21552.05</v>
      </c>
      <c r="E51" s="81">
        <v>55730.399999999994</v>
      </c>
      <c r="F51" s="81">
        <v>194968.05</v>
      </c>
      <c r="G51" s="81">
        <v>87421.9</v>
      </c>
      <c r="H51" s="81">
        <v>38789.958800000008</v>
      </c>
      <c r="I51" s="81">
        <v>49700.35</v>
      </c>
      <c r="J51" s="81">
        <v>4315.3999999999996</v>
      </c>
      <c r="K51" s="81">
        <v>10970.45</v>
      </c>
      <c r="L51" s="81">
        <v>2574.3500000000004</v>
      </c>
      <c r="M51" s="81">
        <v>30425</v>
      </c>
      <c r="N51" s="81">
        <v>640687.54</v>
      </c>
      <c r="O51" s="81">
        <v>660457.65879999998</v>
      </c>
    </row>
    <row r="52" spans="1:15" x14ac:dyDescent="0.15">
      <c r="A52" s="80" t="s">
        <v>186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>
        <v>148798.32</v>
      </c>
      <c r="O52" s="81">
        <v>148798.32</v>
      </c>
    </row>
    <row r="53" spans="1:15" x14ac:dyDescent="0.15">
      <c r="A53" s="80" t="s">
        <v>189</v>
      </c>
      <c r="B53" s="81"/>
      <c r="C53" s="81"/>
      <c r="D53" s="81"/>
      <c r="E53" s="81"/>
      <c r="F53" s="81"/>
      <c r="G53" s="81">
        <v>25543.75</v>
      </c>
      <c r="H53" s="81"/>
      <c r="I53" s="81"/>
      <c r="J53" s="81"/>
      <c r="K53" s="81"/>
      <c r="L53" s="81"/>
      <c r="M53" s="81"/>
      <c r="N53" s="81">
        <v>25542</v>
      </c>
      <c r="O53" s="81">
        <v>25543.75</v>
      </c>
    </row>
    <row r="54" spans="1:15" x14ac:dyDescent="0.15">
      <c r="A54" s="80" t="s">
        <v>230</v>
      </c>
      <c r="B54" s="81"/>
      <c r="C54" s="81"/>
      <c r="D54" s="81"/>
      <c r="E54" s="81"/>
      <c r="F54" s="81"/>
      <c r="G54" s="81"/>
      <c r="H54" s="81">
        <v>528.54999999999995</v>
      </c>
      <c r="I54" s="81">
        <v>243.98</v>
      </c>
      <c r="J54" s="81"/>
      <c r="K54" s="81"/>
      <c r="L54" s="81"/>
      <c r="M54" s="81"/>
      <c r="N54" s="81">
        <v>0</v>
      </c>
      <c r="O54" s="81">
        <v>772.53</v>
      </c>
    </row>
    <row r="55" spans="1:15" x14ac:dyDescent="0.15">
      <c r="A55" s="80" t="s">
        <v>261</v>
      </c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>
        <v>52706.75</v>
      </c>
      <c r="M55" s="81">
        <v>7498.8</v>
      </c>
      <c r="N55" s="81">
        <v>3215833.4372399999</v>
      </c>
      <c r="O55" s="81">
        <v>3215833.4372399999</v>
      </c>
    </row>
    <row r="56" spans="1:15" x14ac:dyDescent="0.15">
      <c r="A56" s="80" t="s">
        <v>280</v>
      </c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>
        <v>15090</v>
      </c>
      <c r="M56" s="81">
        <v>40436.299999999996</v>
      </c>
      <c r="N56" s="81">
        <v>56171</v>
      </c>
      <c r="O56" s="81">
        <v>55526.299999999996</v>
      </c>
    </row>
    <row r="57" spans="1:15" x14ac:dyDescent="0.15">
      <c r="A57" s="80" t="s">
        <v>398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>
        <v>1341225.79</v>
      </c>
      <c r="O57" s="81">
        <v>1341225.79</v>
      </c>
    </row>
    <row r="58" spans="1:15" x14ac:dyDescent="0.15">
      <c r="A58" s="80" t="s">
        <v>432</v>
      </c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>
        <v>190919.83405</v>
      </c>
      <c r="O58" s="81">
        <v>190919.83405</v>
      </c>
    </row>
    <row r="59" spans="1:15" x14ac:dyDescent="0.15">
      <c r="A59" s="80" t="s">
        <v>429</v>
      </c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>
        <v>16155</v>
      </c>
      <c r="N59" s="81">
        <v>53784.033749999995</v>
      </c>
      <c r="O59" s="81">
        <v>56802.64</v>
      </c>
    </row>
    <row r="60" spans="1:15" x14ac:dyDescent="0.15">
      <c r="A60" s="80" t="s">
        <v>397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>
        <v>3000</v>
      </c>
      <c r="O60" s="81">
        <v>3000</v>
      </c>
    </row>
    <row r="61" spans="1:15" x14ac:dyDescent="0.15">
      <c r="A61" s="79" t="s">
        <v>101</v>
      </c>
      <c r="B61" s="81"/>
      <c r="C61" s="81"/>
      <c r="D61" s="81">
        <v>350266.41</v>
      </c>
      <c r="E61" s="81">
        <v>231600.28999999998</v>
      </c>
      <c r="F61" s="81">
        <v>110936.78</v>
      </c>
      <c r="G61" s="81">
        <v>17204.650000000001</v>
      </c>
      <c r="H61" s="81">
        <v>15482.35</v>
      </c>
      <c r="I61" s="81">
        <v>11196.9</v>
      </c>
      <c r="J61" s="81"/>
      <c r="K61" s="81"/>
      <c r="L61" s="81"/>
      <c r="M61" s="81"/>
      <c r="N61" s="81">
        <v>1004317.6500000001</v>
      </c>
      <c r="O61" s="81">
        <v>900790.62999999977</v>
      </c>
    </row>
    <row r="62" spans="1:15" x14ac:dyDescent="0.15">
      <c r="A62" s="82" t="s">
        <v>181</v>
      </c>
      <c r="B62" s="81"/>
      <c r="C62" s="81"/>
      <c r="D62" s="81">
        <v>350266.41</v>
      </c>
      <c r="E62" s="81">
        <v>231291.74</v>
      </c>
      <c r="F62" s="81">
        <v>110936.78</v>
      </c>
      <c r="G62" s="81">
        <v>17204.650000000001</v>
      </c>
      <c r="H62" s="81">
        <v>15482.35</v>
      </c>
      <c r="I62" s="81"/>
      <c r="J62" s="81"/>
      <c r="K62" s="81"/>
      <c r="L62" s="81"/>
      <c r="M62" s="81"/>
      <c r="N62" s="81">
        <v>791690.85000000009</v>
      </c>
      <c r="O62" s="81">
        <v>725181.92999999982</v>
      </c>
    </row>
    <row r="63" spans="1:15" x14ac:dyDescent="0.15">
      <c r="A63" s="82" t="s">
        <v>182</v>
      </c>
      <c r="B63" s="81"/>
      <c r="C63" s="81"/>
      <c r="D63" s="81"/>
      <c r="E63" s="81">
        <v>308.55</v>
      </c>
      <c r="F63" s="81"/>
      <c r="G63" s="81"/>
      <c r="H63" s="81"/>
      <c r="I63" s="81">
        <v>11196.9</v>
      </c>
      <c r="J63" s="81"/>
      <c r="K63" s="81"/>
      <c r="L63" s="81"/>
      <c r="M63" s="81"/>
      <c r="N63" s="81">
        <v>72626.8</v>
      </c>
      <c r="O63" s="81">
        <v>35608.699999999997</v>
      </c>
    </row>
    <row r="64" spans="1:15" x14ac:dyDescent="0.15">
      <c r="A64" s="80" t="s">
        <v>398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>
        <v>140000</v>
      </c>
      <c r="O64" s="81">
        <v>140000</v>
      </c>
    </row>
    <row r="65" spans="1:15" x14ac:dyDescent="0.15">
      <c r="A65" s="79" t="s">
        <v>99</v>
      </c>
      <c r="B65" s="81">
        <v>51269.15</v>
      </c>
      <c r="C65" s="81">
        <v>74352.92</v>
      </c>
      <c r="D65" s="81">
        <v>55320.420000000006</v>
      </c>
      <c r="E65" s="81">
        <v>2018.45</v>
      </c>
      <c r="F65" s="81">
        <v>85816.1</v>
      </c>
      <c r="G65" s="81">
        <v>24369</v>
      </c>
      <c r="H65" s="81">
        <v>181062.40000000002</v>
      </c>
      <c r="I65" s="81">
        <v>309448.28000000003</v>
      </c>
      <c r="J65" s="81">
        <v>119684.83</v>
      </c>
      <c r="K65" s="81">
        <v>143046.16</v>
      </c>
      <c r="L65" s="81">
        <v>155499.51999999999</v>
      </c>
      <c r="M65" s="81">
        <v>469968.64000000001</v>
      </c>
      <c r="N65" s="81">
        <v>11969788.882549999</v>
      </c>
      <c r="O65" s="81">
        <v>11881610.287449999</v>
      </c>
    </row>
    <row r="66" spans="1:15" x14ac:dyDescent="0.15">
      <c r="A66" s="82" t="s">
        <v>183</v>
      </c>
      <c r="B66" s="81"/>
      <c r="C66" s="81"/>
      <c r="D66" s="81"/>
      <c r="E66" s="81">
        <v>2018.45</v>
      </c>
      <c r="F66" s="81">
        <v>4332.8</v>
      </c>
      <c r="G66" s="81">
        <v>570.65</v>
      </c>
      <c r="H66" s="81">
        <v>40623.85</v>
      </c>
      <c r="I66" s="81">
        <v>25691.4</v>
      </c>
      <c r="J66" s="81">
        <v>6557.5500000000011</v>
      </c>
      <c r="K66" s="81">
        <v>6711.15</v>
      </c>
      <c r="L66" s="81">
        <v>14757.249999999998</v>
      </c>
      <c r="M66" s="81">
        <v>18839.099999999999</v>
      </c>
      <c r="N66" s="81">
        <v>122533.68800000001</v>
      </c>
      <c r="O66" s="81">
        <v>123685.48800000001</v>
      </c>
    </row>
    <row r="67" spans="1:15" x14ac:dyDescent="0.15">
      <c r="A67" s="80" t="s">
        <v>181</v>
      </c>
      <c r="B67" s="81"/>
      <c r="C67" s="81"/>
      <c r="D67" s="81"/>
      <c r="E67" s="81"/>
      <c r="F67" s="81"/>
      <c r="G67" s="81"/>
      <c r="H67" s="81"/>
      <c r="I67" s="81">
        <v>7742.15</v>
      </c>
      <c r="J67" s="81"/>
      <c r="K67" s="81"/>
      <c r="L67" s="81"/>
      <c r="M67" s="81"/>
      <c r="N67" s="81">
        <v>6977.9</v>
      </c>
      <c r="O67" s="81">
        <v>7742.15</v>
      </c>
    </row>
    <row r="68" spans="1:15" x14ac:dyDescent="0.15">
      <c r="A68" s="82" t="s">
        <v>182</v>
      </c>
      <c r="B68" s="81">
        <v>51269.15</v>
      </c>
      <c r="C68" s="81">
        <v>74352.92</v>
      </c>
      <c r="D68" s="81">
        <v>55320.420000000006</v>
      </c>
      <c r="E68" s="81"/>
      <c r="F68" s="81">
        <v>81483.3</v>
      </c>
      <c r="G68" s="81">
        <v>23798.35</v>
      </c>
      <c r="H68" s="81">
        <v>140438.55000000002</v>
      </c>
      <c r="I68" s="81">
        <v>256290.53</v>
      </c>
      <c r="J68" s="81">
        <v>58484.740000000005</v>
      </c>
      <c r="K68" s="81">
        <v>58182.559999999998</v>
      </c>
      <c r="L68" s="81">
        <v>93205.319999999992</v>
      </c>
      <c r="M68" s="81">
        <v>200221.84</v>
      </c>
      <c r="N68" s="81">
        <v>1966416.3967999998</v>
      </c>
      <c r="O68" s="81">
        <v>1875669.7335999997</v>
      </c>
    </row>
    <row r="69" spans="1:15" x14ac:dyDescent="0.15">
      <c r="A69" s="80" t="s">
        <v>206</v>
      </c>
      <c r="B69" s="81"/>
      <c r="C69" s="81"/>
      <c r="D69" s="81"/>
      <c r="E69" s="81"/>
      <c r="F69" s="81"/>
      <c r="G69" s="81"/>
      <c r="H69" s="81"/>
      <c r="I69" s="81">
        <v>19724.2</v>
      </c>
      <c r="J69" s="81"/>
      <c r="K69" s="81"/>
      <c r="L69" s="81"/>
      <c r="M69" s="81"/>
      <c r="N69" s="81">
        <v>19640.55</v>
      </c>
      <c r="O69" s="81">
        <v>19724.2</v>
      </c>
    </row>
    <row r="70" spans="1:15" x14ac:dyDescent="0.15">
      <c r="A70" s="80" t="s">
        <v>261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>
        <v>248899.69999999998</v>
      </c>
      <c r="N70" s="81">
        <v>303516.25</v>
      </c>
      <c r="O70" s="81">
        <v>303516.25</v>
      </c>
    </row>
    <row r="71" spans="1:15" x14ac:dyDescent="0.15">
      <c r="A71" s="80">
        <v>3.5754000000000001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>
        <v>19157.45</v>
      </c>
      <c r="O71" s="81">
        <v>19157.45</v>
      </c>
    </row>
    <row r="72" spans="1:15" x14ac:dyDescent="0.15">
      <c r="A72" s="80" t="s">
        <v>282</v>
      </c>
      <c r="B72" s="81"/>
      <c r="C72" s="81"/>
      <c r="D72" s="81"/>
      <c r="E72" s="81"/>
      <c r="F72" s="81"/>
      <c r="G72" s="81"/>
      <c r="H72" s="81"/>
      <c r="I72" s="81"/>
      <c r="J72" s="81">
        <v>2926.9</v>
      </c>
      <c r="K72" s="81"/>
      <c r="L72" s="81">
        <v>8955.35</v>
      </c>
      <c r="M72" s="81"/>
      <c r="N72" s="81">
        <v>2364734.5875999997</v>
      </c>
      <c r="O72" s="81">
        <v>2365415.7376000001</v>
      </c>
    </row>
    <row r="73" spans="1:15" x14ac:dyDescent="0.15">
      <c r="A73" s="80">
        <v>3.5705</v>
      </c>
      <c r="B73" s="81"/>
      <c r="C73" s="81"/>
      <c r="D73" s="81"/>
      <c r="E73" s="81"/>
      <c r="F73" s="81"/>
      <c r="G73" s="81"/>
      <c r="H73" s="81"/>
      <c r="I73" s="81"/>
      <c r="J73" s="81">
        <v>51715.64</v>
      </c>
      <c r="K73" s="81">
        <v>78152.450000000012</v>
      </c>
      <c r="L73" s="81"/>
      <c r="M73" s="81">
        <v>2008</v>
      </c>
      <c r="N73" s="81">
        <v>2636308.5238999994</v>
      </c>
      <c r="O73" s="81">
        <v>2635848.0919999997</v>
      </c>
    </row>
    <row r="74" spans="1:15" x14ac:dyDescent="0.15">
      <c r="A74" s="80">
        <v>3.5745</v>
      </c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>
        <v>38581.599999999999</v>
      </c>
      <c r="M74" s="81"/>
      <c r="N74" s="81">
        <v>38233.949999999997</v>
      </c>
      <c r="O74" s="81">
        <v>38581.599999999999</v>
      </c>
    </row>
    <row r="75" spans="1:15" x14ac:dyDescent="0.15">
      <c r="A75" s="80" t="s">
        <v>398</v>
      </c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>
        <v>3462199</v>
      </c>
      <c r="O75" s="81">
        <v>3462199</v>
      </c>
    </row>
    <row r="76" spans="1:15" x14ac:dyDescent="0.15">
      <c r="A76" s="80" t="s">
        <v>397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>
        <v>793000</v>
      </c>
      <c r="O76" s="81">
        <v>793000</v>
      </c>
    </row>
    <row r="77" spans="1:15" x14ac:dyDescent="0.15">
      <c r="A77" s="80">
        <v>3.5720000000000001</v>
      </c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>
        <v>237070.58624999999</v>
      </c>
      <c r="O77" s="81">
        <v>237070.58624999999</v>
      </c>
    </row>
    <row r="78" spans="1:15" x14ac:dyDescent="0.15">
      <c r="A78" s="78" t="s">
        <v>153</v>
      </c>
      <c r="B78" s="81">
        <v>1045367.4800000001</v>
      </c>
      <c r="C78" s="81">
        <v>1248136.7200000002</v>
      </c>
      <c r="D78" s="81">
        <v>671879.48</v>
      </c>
      <c r="E78" s="81">
        <v>1165111.5900000001</v>
      </c>
      <c r="F78" s="81">
        <v>1828553.3800000004</v>
      </c>
      <c r="G78" s="81">
        <v>661093.9</v>
      </c>
      <c r="H78" s="81">
        <v>1316222.3964000002</v>
      </c>
      <c r="I78" s="81">
        <v>1823050.21</v>
      </c>
      <c r="J78" s="81">
        <v>402796.61000000004</v>
      </c>
      <c r="K78" s="81">
        <v>337388.34000000008</v>
      </c>
      <c r="L78" s="81">
        <v>579973.92999999993</v>
      </c>
      <c r="M78" s="81">
        <v>2296809.1900000004</v>
      </c>
      <c r="N78" s="81">
        <v>90183125.885090008</v>
      </c>
      <c r="O78" s="81">
        <v>88578157.052740008</v>
      </c>
    </row>
  </sheetData>
  <pageMargins left="0.7" right="0.7" top="0.78740157499999996" bottom="0.78740157499999996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124"/>
  <sheetViews>
    <sheetView workbookViewId="0">
      <selection activeCell="A37" sqref="A37:XFD38"/>
    </sheetView>
  </sheetViews>
  <sheetFormatPr baseColWidth="10" defaultRowHeight="11.25" x14ac:dyDescent="0.15"/>
  <cols>
    <col min="1" max="1" width="27.375" bestFit="1" customWidth="1"/>
    <col min="2" max="2" width="13" bestFit="1" customWidth="1"/>
    <col min="3" max="3" width="12.75" bestFit="1" customWidth="1"/>
    <col min="4" max="4" width="11.125" bestFit="1" customWidth="1"/>
    <col min="5" max="6" width="12.75" bestFit="1" customWidth="1"/>
    <col min="7" max="7" width="11.125" bestFit="1" customWidth="1"/>
    <col min="8" max="9" width="12.75" bestFit="1" customWidth="1"/>
    <col min="10" max="12" width="11.125" bestFit="1" customWidth="1"/>
    <col min="13" max="13" width="12.75" bestFit="1" customWidth="1"/>
    <col min="14" max="47" width="25.25" customWidth="1"/>
    <col min="48" max="360" width="25.25" bestFit="1" customWidth="1"/>
    <col min="361" max="361" width="20.5" bestFit="1" customWidth="1"/>
    <col min="362" max="367" width="13" bestFit="1" customWidth="1"/>
    <col min="368" max="368" width="14.25" bestFit="1" customWidth="1"/>
  </cols>
  <sheetData>
    <row r="3" spans="1:13" x14ac:dyDescent="0.15">
      <c r="A3" s="77" t="s">
        <v>151</v>
      </c>
      <c r="B3" s="1" t="s">
        <v>154</v>
      </c>
      <c r="C3" s="1" t="s">
        <v>155</v>
      </c>
      <c r="D3" s="1" t="s">
        <v>156</v>
      </c>
      <c r="E3" s="1" t="s">
        <v>157</v>
      </c>
      <c r="F3" s="1" t="s">
        <v>158</v>
      </c>
      <c r="G3" s="1" t="s">
        <v>159</v>
      </c>
      <c r="H3" s="1" t="s">
        <v>160</v>
      </c>
      <c r="I3" s="1" t="s">
        <v>273</v>
      </c>
      <c r="J3" s="1" t="s">
        <v>283</v>
      </c>
      <c r="K3" s="1" t="s">
        <v>334</v>
      </c>
      <c r="L3" s="1" t="s">
        <v>371</v>
      </c>
      <c r="M3" s="1" t="s">
        <v>433</v>
      </c>
    </row>
    <row r="4" spans="1:13" x14ac:dyDescent="0.15">
      <c r="A4" s="78" t="s">
        <v>22</v>
      </c>
      <c r="B4" s="81">
        <v>104633.79999999999</v>
      </c>
      <c r="C4" s="81">
        <v>18862.5</v>
      </c>
      <c r="D4" s="81">
        <v>5349.75</v>
      </c>
      <c r="E4" s="81"/>
      <c r="F4" s="81"/>
      <c r="G4" s="81">
        <v>32932.050000000003</v>
      </c>
      <c r="H4" s="81">
        <v>2057.65</v>
      </c>
      <c r="I4" s="81">
        <v>30337.3</v>
      </c>
      <c r="J4" s="81">
        <v>883.45</v>
      </c>
      <c r="K4" s="81">
        <v>5931</v>
      </c>
      <c r="L4" s="81"/>
      <c r="M4" s="81"/>
    </row>
    <row r="5" spans="1:13" x14ac:dyDescent="0.15">
      <c r="A5" s="78" t="s">
        <v>132</v>
      </c>
      <c r="B5" s="81"/>
      <c r="C5" s="81"/>
      <c r="D5" s="81"/>
      <c r="E5" s="81"/>
      <c r="F5" s="81"/>
      <c r="G5" s="81">
        <v>26892</v>
      </c>
      <c r="H5" s="81"/>
      <c r="I5" s="81"/>
      <c r="J5" s="81"/>
      <c r="K5" s="81"/>
      <c r="L5" s="81"/>
      <c r="M5" s="81"/>
    </row>
    <row r="6" spans="1:13" x14ac:dyDescent="0.15">
      <c r="A6" s="78" t="s">
        <v>49</v>
      </c>
      <c r="B6" s="81"/>
      <c r="C6" s="81">
        <v>3334.35</v>
      </c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x14ac:dyDescent="0.15">
      <c r="A7" s="78" t="s">
        <v>121</v>
      </c>
      <c r="B7" s="81"/>
      <c r="C7" s="81"/>
      <c r="D7" s="81"/>
      <c r="E7" s="81"/>
      <c r="F7" s="81"/>
      <c r="G7" s="81">
        <v>30013.5</v>
      </c>
      <c r="H7" s="81"/>
      <c r="I7" s="81"/>
      <c r="J7" s="81"/>
      <c r="K7" s="81"/>
      <c r="L7" s="81"/>
      <c r="M7" s="81"/>
    </row>
    <row r="8" spans="1:13" x14ac:dyDescent="0.15">
      <c r="A8" s="78" t="s">
        <v>120</v>
      </c>
      <c r="B8" s="81"/>
      <c r="C8" s="81"/>
      <c r="D8" s="81"/>
      <c r="E8" s="81"/>
      <c r="F8" s="81"/>
      <c r="G8" s="81">
        <v>1130.75</v>
      </c>
      <c r="H8" s="81"/>
      <c r="I8" s="81"/>
      <c r="J8" s="81"/>
      <c r="K8" s="81"/>
      <c r="L8" s="81"/>
      <c r="M8" s="81"/>
    </row>
    <row r="9" spans="1:13" x14ac:dyDescent="0.15">
      <c r="A9" s="78" t="s">
        <v>56</v>
      </c>
      <c r="B9" s="81"/>
      <c r="C9" s="81"/>
      <c r="D9" s="81"/>
      <c r="E9" s="81">
        <v>2018.45</v>
      </c>
      <c r="F9" s="81">
        <v>4332.8</v>
      </c>
      <c r="G9" s="81">
        <v>570.65</v>
      </c>
      <c r="H9" s="81">
        <v>40623.85</v>
      </c>
      <c r="I9" s="81">
        <v>25691.4</v>
      </c>
      <c r="J9" s="81">
        <v>6557.5500000000011</v>
      </c>
      <c r="K9" s="81">
        <v>6711.15</v>
      </c>
      <c r="L9" s="81">
        <v>14757.249999999998</v>
      </c>
      <c r="M9" s="81">
        <v>18839.099999999999</v>
      </c>
    </row>
    <row r="10" spans="1:13" x14ac:dyDescent="0.15">
      <c r="A10" s="78" t="s">
        <v>108</v>
      </c>
      <c r="B10" s="81">
        <v>112652.9</v>
      </c>
      <c r="C10" s="81"/>
      <c r="D10" s="81"/>
      <c r="E10" s="81"/>
      <c r="F10" s="81">
        <v>915.2</v>
      </c>
      <c r="G10" s="81"/>
      <c r="H10" s="81">
        <v>1374.85</v>
      </c>
      <c r="I10" s="81"/>
      <c r="J10" s="81"/>
      <c r="K10" s="81"/>
      <c r="L10" s="81"/>
      <c r="M10" s="81"/>
    </row>
    <row r="11" spans="1:13" x14ac:dyDescent="0.15">
      <c r="A11" s="78" t="s">
        <v>146</v>
      </c>
      <c r="B11" s="81"/>
      <c r="C11" s="81"/>
      <c r="D11" s="81"/>
      <c r="E11" s="81"/>
      <c r="F11" s="81"/>
      <c r="G11" s="81"/>
      <c r="H11" s="81">
        <v>14107.5</v>
      </c>
      <c r="I11" s="81"/>
      <c r="J11" s="81"/>
      <c r="K11" s="81"/>
      <c r="L11" s="81"/>
      <c r="M11" s="81"/>
    </row>
    <row r="12" spans="1:13" x14ac:dyDescent="0.15">
      <c r="A12" s="78" t="s">
        <v>117</v>
      </c>
      <c r="B12" s="81"/>
      <c r="C12" s="81"/>
      <c r="D12" s="81"/>
      <c r="E12" s="81"/>
      <c r="F12" s="81"/>
      <c r="G12" s="81">
        <v>3034.25</v>
      </c>
      <c r="H12" s="81"/>
      <c r="I12" s="81">
        <v>2138.4</v>
      </c>
      <c r="J12" s="81"/>
      <c r="K12" s="81"/>
      <c r="L12" s="81"/>
      <c r="M12" s="81"/>
    </row>
    <row r="13" spans="1:13" x14ac:dyDescent="0.15">
      <c r="A13" s="78" t="s">
        <v>107</v>
      </c>
      <c r="B13" s="81"/>
      <c r="C13" s="81"/>
      <c r="D13" s="81"/>
      <c r="E13" s="81"/>
      <c r="F13" s="81">
        <v>6539.83</v>
      </c>
      <c r="G13" s="81"/>
      <c r="H13" s="81"/>
      <c r="I13" s="81"/>
      <c r="J13" s="81"/>
      <c r="K13" s="81"/>
      <c r="L13" s="81"/>
      <c r="M13" s="81"/>
    </row>
    <row r="14" spans="1:13" x14ac:dyDescent="0.15">
      <c r="A14" s="78" t="s">
        <v>130</v>
      </c>
      <c r="B14" s="81"/>
      <c r="C14" s="81"/>
      <c r="D14" s="81"/>
      <c r="E14" s="81"/>
      <c r="F14" s="81"/>
      <c r="G14" s="81">
        <v>18000</v>
      </c>
      <c r="H14" s="81"/>
      <c r="I14" s="81"/>
      <c r="J14" s="81"/>
      <c r="K14" s="81"/>
      <c r="L14" s="81"/>
      <c r="M14" s="81"/>
    </row>
    <row r="15" spans="1:13" x14ac:dyDescent="0.15">
      <c r="A15" s="78" t="s">
        <v>90</v>
      </c>
      <c r="B15" s="81"/>
      <c r="C15" s="81"/>
      <c r="D15" s="81"/>
      <c r="E15" s="81"/>
      <c r="F15" s="81">
        <v>42866.95</v>
      </c>
      <c r="G15" s="81"/>
      <c r="H15" s="81"/>
      <c r="I15" s="81">
        <v>5466.7</v>
      </c>
      <c r="J15" s="81"/>
      <c r="K15" s="81"/>
      <c r="L15" s="81"/>
      <c r="M15" s="81"/>
    </row>
    <row r="16" spans="1:13" x14ac:dyDescent="0.15">
      <c r="A16" s="78" t="s">
        <v>92</v>
      </c>
      <c r="B16" s="81"/>
      <c r="C16" s="81"/>
      <c r="D16" s="81"/>
      <c r="E16" s="81"/>
      <c r="F16" s="81">
        <v>25914.05</v>
      </c>
      <c r="G16" s="81"/>
      <c r="H16" s="81"/>
      <c r="I16" s="81"/>
      <c r="J16" s="81"/>
      <c r="K16" s="81"/>
      <c r="L16" s="81"/>
      <c r="M16" s="81"/>
    </row>
    <row r="17" spans="1:13" x14ac:dyDescent="0.15">
      <c r="A17" s="78" t="s">
        <v>80</v>
      </c>
      <c r="B17" s="81"/>
      <c r="C17" s="81"/>
      <c r="D17" s="81"/>
      <c r="E17" s="81">
        <v>308.55</v>
      </c>
      <c r="F17" s="81"/>
      <c r="G17" s="81"/>
      <c r="H17" s="81"/>
      <c r="I17" s="81"/>
      <c r="J17" s="81"/>
      <c r="K17" s="81"/>
      <c r="L17" s="81"/>
      <c r="M17" s="81"/>
    </row>
    <row r="18" spans="1:13" x14ac:dyDescent="0.15">
      <c r="A18" s="78" t="s">
        <v>145</v>
      </c>
      <c r="B18" s="81"/>
      <c r="C18" s="81"/>
      <c r="D18" s="81"/>
      <c r="E18" s="81"/>
      <c r="F18" s="81"/>
      <c r="G18" s="81"/>
      <c r="H18" s="81">
        <v>7649.64</v>
      </c>
      <c r="I18" s="81"/>
      <c r="J18" s="81"/>
      <c r="K18" s="81"/>
      <c r="L18" s="81"/>
      <c r="M18" s="81"/>
    </row>
    <row r="19" spans="1:13" x14ac:dyDescent="0.15">
      <c r="A19" s="78" t="s">
        <v>60</v>
      </c>
      <c r="B19" s="81"/>
      <c r="C19" s="81"/>
      <c r="D19" s="81"/>
      <c r="E19" s="81">
        <v>581229.50000000012</v>
      </c>
      <c r="F19" s="81">
        <v>1342908.1</v>
      </c>
      <c r="G19" s="81">
        <v>357189.4</v>
      </c>
      <c r="H19" s="81">
        <v>891944.35000000009</v>
      </c>
      <c r="I19" s="81">
        <v>1126368.25</v>
      </c>
      <c r="J19" s="81">
        <v>218492.99999999997</v>
      </c>
      <c r="K19" s="81">
        <v>133298.96000000002</v>
      </c>
      <c r="L19" s="81">
        <v>186707.20000000001</v>
      </c>
      <c r="M19" s="81">
        <v>481327.2699999999</v>
      </c>
    </row>
    <row r="20" spans="1:13" x14ac:dyDescent="0.15">
      <c r="A20" s="78" t="s">
        <v>79</v>
      </c>
      <c r="B20" s="81"/>
      <c r="C20" s="81"/>
      <c r="D20" s="81"/>
      <c r="E20" s="81">
        <v>6286.25</v>
      </c>
      <c r="F20" s="81"/>
      <c r="G20" s="81"/>
      <c r="H20" s="81"/>
      <c r="I20" s="81"/>
      <c r="J20" s="81"/>
      <c r="K20" s="81"/>
      <c r="L20" s="81"/>
      <c r="M20" s="81"/>
    </row>
    <row r="21" spans="1:13" x14ac:dyDescent="0.15">
      <c r="A21" s="78" t="s">
        <v>91</v>
      </c>
      <c r="B21" s="81"/>
      <c r="C21" s="81"/>
      <c r="D21" s="81"/>
      <c r="E21" s="81"/>
      <c r="F21" s="81">
        <v>81483.3</v>
      </c>
      <c r="G21" s="81">
        <v>23798.35</v>
      </c>
      <c r="H21" s="81"/>
      <c r="I21" s="81"/>
      <c r="J21" s="81"/>
      <c r="K21" s="81"/>
      <c r="L21" s="81"/>
      <c r="M21" s="81"/>
    </row>
    <row r="22" spans="1:13" x14ac:dyDescent="0.15">
      <c r="A22" s="78" t="s">
        <v>2</v>
      </c>
      <c r="B22" s="81">
        <v>27628.35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1:13" x14ac:dyDescent="0.15">
      <c r="A23" s="78" t="s">
        <v>105</v>
      </c>
      <c r="B23" s="81"/>
      <c r="C23" s="81"/>
      <c r="D23" s="81"/>
      <c r="E23" s="81"/>
      <c r="F23" s="81">
        <v>237.6</v>
      </c>
      <c r="G23" s="81"/>
      <c r="H23" s="81"/>
      <c r="I23" s="81"/>
      <c r="J23" s="81"/>
      <c r="K23" s="81"/>
      <c r="L23" s="81"/>
      <c r="M23" s="81">
        <v>3419.5</v>
      </c>
    </row>
    <row r="24" spans="1:13" x14ac:dyDescent="0.15">
      <c r="A24" s="78" t="s">
        <v>0</v>
      </c>
      <c r="B24" s="81">
        <v>60243.18</v>
      </c>
      <c r="C24" s="81"/>
      <c r="D24" s="81"/>
      <c r="E24" s="81"/>
      <c r="F24" s="81">
        <v>150</v>
      </c>
      <c r="G24" s="81">
        <v>150</v>
      </c>
      <c r="H24" s="81"/>
      <c r="I24" s="81"/>
      <c r="J24" s="81"/>
      <c r="K24" s="81"/>
      <c r="L24" s="81"/>
      <c r="M24" s="81"/>
    </row>
    <row r="25" spans="1:13" x14ac:dyDescent="0.15">
      <c r="A25" s="78" t="s">
        <v>31</v>
      </c>
      <c r="B25" s="81">
        <v>44753.15</v>
      </c>
      <c r="C25" s="81"/>
      <c r="D25" s="81"/>
      <c r="E25" s="81"/>
      <c r="F25" s="81"/>
      <c r="G25" s="81"/>
      <c r="H25" s="81"/>
      <c r="I25" s="81"/>
      <c r="J25" s="81"/>
      <c r="K25" s="81">
        <v>4037.6</v>
      </c>
      <c r="L25" s="81"/>
      <c r="M25" s="81"/>
    </row>
    <row r="26" spans="1:13" x14ac:dyDescent="0.15">
      <c r="A26" s="78" t="s">
        <v>26</v>
      </c>
      <c r="B26" s="81">
        <v>51269.15</v>
      </c>
      <c r="C26" s="81">
        <v>30485.420000000002</v>
      </c>
      <c r="D26" s="81">
        <v>43468.270000000004</v>
      </c>
      <c r="E26" s="81"/>
      <c r="F26" s="81"/>
      <c r="G26" s="81"/>
      <c r="H26" s="81"/>
      <c r="I26" s="81"/>
      <c r="J26" s="81"/>
      <c r="K26" s="81"/>
      <c r="L26" s="81"/>
      <c r="M26" s="81"/>
    </row>
    <row r="27" spans="1:13" x14ac:dyDescent="0.15">
      <c r="A27" s="78" t="s">
        <v>114</v>
      </c>
      <c r="B27" s="81"/>
      <c r="C27" s="81"/>
      <c r="D27" s="81"/>
      <c r="E27" s="81"/>
      <c r="F27" s="81">
        <v>21654</v>
      </c>
      <c r="G27" s="81"/>
      <c r="H27" s="81"/>
      <c r="I27" s="81"/>
      <c r="J27" s="81"/>
      <c r="K27" s="81"/>
      <c r="L27" s="81"/>
      <c r="M27" s="81"/>
    </row>
    <row r="28" spans="1:13" x14ac:dyDescent="0.15">
      <c r="A28" s="78" t="s">
        <v>61</v>
      </c>
      <c r="B28" s="81"/>
      <c r="C28" s="81"/>
      <c r="D28" s="81"/>
      <c r="E28" s="81">
        <v>15216.15</v>
      </c>
      <c r="F28" s="81"/>
      <c r="G28" s="81"/>
      <c r="H28" s="81"/>
      <c r="I28" s="81">
        <v>582.12</v>
      </c>
      <c r="J28" s="81"/>
      <c r="K28" s="81"/>
      <c r="L28" s="81"/>
      <c r="M28" s="81"/>
    </row>
    <row r="29" spans="1:13" x14ac:dyDescent="0.15">
      <c r="A29" s="78" t="s">
        <v>7</v>
      </c>
      <c r="B29" s="81">
        <v>101523.6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1:13" x14ac:dyDescent="0.15">
      <c r="A30" s="78" t="s">
        <v>72</v>
      </c>
      <c r="B30" s="81"/>
      <c r="C30" s="81"/>
      <c r="D30" s="81"/>
      <c r="E30" s="81"/>
      <c r="F30" s="81"/>
      <c r="G30" s="81">
        <v>25543.75</v>
      </c>
      <c r="H30" s="81"/>
      <c r="I30" s="81"/>
      <c r="J30" s="81"/>
      <c r="K30" s="81"/>
      <c r="L30" s="81"/>
      <c r="M30" s="81"/>
    </row>
    <row r="31" spans="1:13" x14ac:dyDescent="0.15">
      <c r="A31" s="78" t="s">
        <v>3</v>
      </c>
      <c r="B31" s="81">
        <v>152794.44999999998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>
        <v>16155</v>
      </c>
    </row>
    <row r="32" spans="1:13" x14ac:dyDescent="0.15">
      <c r="A32" s="78" t="s">
        <v>16</v>
      </c>
      <c r="B32" s="81">
        <v>6917.55</v>
      </c>
      <c r="C32" s="81">
        <v>91515</v>
      </c>
      <c r="D32" s="81">
        <v>14022.95</v>
      </c>
      <c r="E32" s="81">
        <v>58825.35</v>
      </c>
      <c r="F32" s="81">
        <v>43732.5</v>
      </c>
      <c r="G32" s="81">
        <v>35398.9</v>
      </c>
      <c r="H32" s="81">
        <v>78684.936400000006</v>
      </c>
      <c r="I32" s="81">
        <v>107480.1</v>
      </c>
      <c r="J32" s="81">
        <v>55647.35</v>
      </c>
      <c r="K32" s="81">
        <v>19315.400000000001</v>
      </c>
      <c r="L32" s="81">
        <v>83845.850000000006</v>
      </c>
      <c r="M32" s="81">
        <v>313366.3</v>
      </c>
    </row>
    <row r="33" spans="1:13" x14ac:dyDescent="0.15">
      <c r="A33" s="78" t="s">
        <v>76</v>
      </c>
      <c r="B33" s="81"/>
      <c r="C33" s="81"/>
      <c r="D33" s="81"/>
      <c r="E33" s="81"/>
      <c r="F33" s="81">
        <v>40645.349999999991</v>
      </c>
      <c r="G33" s="81">
        <v>14536.85</v>
      </c>
      <c r="H33" s="81">
        <v>12942.9</v>
      </c>
      <c r="I33" s="81">
        <v>93807.760000000009</v>
      </c>
      <c r="J33" s="81">
        <v>3943.33</v>
      </c>
      <c r="K33" s="81">
        <v>715.06999999999994</v>
      </c>
      <c r="L33" s="81">
        <v>1310.97</v>
      </c>
      <c r="M33" s="81">
        <v>16950.03</v>
      </c>
    </row>
    <row r="34" spans="1:13" x14ac:dyDescent="0.15">
      <c r="A34" s="78" t="s">
        <v>70</v>
      </c>
      <c r="B34" s="81"/>
      <c r="C34" s="81"/>
      <c r="D34" s="81"/>
      <c r="E34" s="81"/>
      <c r="F34" s="81">
        <v>9502.25</v>
      </c>
      <c r="G34" s="81">
        <v>7309.4500000000007</v>
      </c>
      <c r="H34" s="81">
        <v>7897.52</v>
      </c>
      <c r="I34" s="81">
        <v>564</v>
      </c>
      <c r="J34" s="81"/>
      <c r="K34" s="81"/>
      <c r="L34" s="81"/>
      <c r="M34" s="81"/>
    </row>
    <row r="35" spans="1:13" x14ac:dyDescent="0.15">
      <c r="A35" s="78" t="s">
        <v>1</v>
      </c>
      <c r="B35" s="81">
        <v>53400.200000000004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1:13" x14ac:dyDescent="0.15">
      <c r="A36" s="78" t="s">
        <v>36</v>
      </c>
      <c r="B36" s="81"/>
      <c r="C36" s="81">
        <v>32631.1</v>
      </c>
      <c r="D36" s="81">
        <v>6502.4000000000005</v>
      </c>
      <c r="E36" s="81">
        <v>47412.899999999994</v>
      </c>
      <c r="F36" s="81">
        <v>76859.150000000009</v>
      </c>
      <c r="G36" s="81">
        <v>1037.75</v>
      </c>
      <c r="H36" s="81">
        <v>23058.65</v>
      </c>
      <c r="I36" s="81">
        <v>8105.6</v>
      </c>
      <c r="J36" s="81"/>
      <c r="K36" s="81"/>
      <c r="L36" s="81">
        <v>1017.5</v>
      </c>
      <c r="M36" s="81">
        <v>10506.199999999999</v>
      </c>
    </row>
    <row r="37" spans="1:13" x14ac:dyDescent="0.15">
      <c r="A37" s="78" t="s">
        <v>11</v>
      </c>
      <c r="B37" s="81">
        <v>254220.00000000003</v>
      </c>
      <c r="C37" s="81">
        <v>829422.55</v>
      </c>
      <c r="D37" s="81">
        <v>132194.15</v>
      </c>
      <c r="E37" s="81">
        <v>22904</v>
      </c>
      <c r="F37" s="81">
        <v>24610.75</v>
      </c>
      <c r="G37" s="81"/>
      <c r="H37" s="81"/>
      <c r="I37" s="81"/>
      <c r="J37" s="81"/>
      <c r="K37" s="81"/>
      <c r="L37" s="81">
        <v>58055.8</v>
      </c>
      <c r="M37" s="81"/>
    </row>
    <row r="38" spans="1:13" x14ac:dyDescent="0.15">
      <c r="A38" s="78" t="s">
        <v>12</v>
      </c>
      <c r="B38" s="81"/>
      <c r="C38" s="81">
        <v>126438.6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1:13" x14ac:dyDescent="0.15">
      <c r="A39" s="78" t="s">
        <v>34</v>
      </c>
      <c r="B39" s="81"/>
      <c r="C39" s="81"/>
      <c r="D39" s="81">
        <v>21552.05</v>
      </c>
      <c r="E39" s="81"/>
      <c r="F39" s="81">
        <v>12343.4</v>
      </c>
      <c r="G39" s="81">
        <v>1158</v>
      </c>
      <c r="H39" s="81"/>
      <c r="I39" s="81"/>
      <c r="J39" s="81"/>
      <c r="K39" s="81"/>
      <c r="L39" s="81"/>
      <c r="M39" s="81"/>
    </row>
    <row r="40" spans="1:13" x14ac:dyDescent="0.15">
      <c r="A40" s="78" t="s">
        <v>40</v>
      </c>
      <c r="B40" s="81"/>
      <c r="C40" s="81">
        <v>4376.7999999999993</v>
      </c>
      <c r="D40" s="81">
        <v>1403.8</v>
      </c>
      <c r="E40" s="81">
        <v>5795.15</v>
      </c>
      <c r="F40" s="81">
        <v>3313.55</v>
      </c>
      <c r="G40" s="81"/>
      <c r="H40" s="81"/>
      <c r="I40" s="81"/>
      <c r="J40" s="81"/>
      <c r="K40" s="81"/>
      <c r="L40" s="81"/>
      <c r="M40" s="81"/>
    </row>
    <row r="41" spans="1:13" x14ac:dyDescent="0.15">
      <c r="A41" s="78" t="s">
        <v>45</v>
      </c>
      <c r="B41" s="81"/>
      <c r="C41" s="81"/>
      <c r="D41" s="81">
        <v>355301.25999999995</v>
      </c>
      <c r="E41" s="81">
        <v>327281.08999999997</v>
      </c>
      <c r="F41" s="81">
        <v>12925.45</v>
      </c>
      <c r="G41" s="81"/>
      <c r="H41" s="81">
        <v>11831.85</v>
      </c>
      <c r="I41" s="81"/>
      <c r="J41" s="81"/>
      <c r="K41" s="81"/>
      <c r="L41" s="81"/>
      <c r="M41" s="81"/>
    </row>
    <row r="42" spans="1:13" x14ac:dyDescent="0.15">
      <c r="A42" s="78" t="s">
        <v>88</v>
      </c>
      <c r="B42" s="81"/>
      <c r="C42" s="81"/>
      <c r="D42" s="81"/>
      <c r="E42" s="81"/>
      <c r="F42" s="81"/>
      <c r="G42" s="81">
        <v>14217.85</v>
      </c>
      <c r="H42" s="81"/>
      <c r="I42" s="81"/>
      <c r="J42" s="81"/>
      <c r="K42" s="81"/>
      <c r="L42" s="81"/>
      <c r="M42" s="81"/>
    </row>
    <row r="43" spans="1:13" x14ac:dyDescent="0.15">
      <c r="A43" s="78" t="s">
        <v>148</v>
      </c>
      <c r="B43" s="81"/>
      <c r="C43" s="81"/>
      <c r="D43" s="81"/>
      <c r="E43" s="81"/>
      <c r="F43" s="81"/>
      <c r="G43" s="81"/>
      <c r="H43" s="81">
        <v>102632.40000000001</v>
      </c>
      <c r="I43" s="81">
        <v>201843.43</v>
      </c>
      <c r="J43" s="81">
        <v>9196.2400000000016</v>
      </c>
      <c r="K43" s="81">
        <v>43906.61</v>
      </c>
      <c r="L43" s="81">
        <v>45662.119999999995</v>
      </c>
      <c r="M43" s="81">
        <v>159746.04</v>
      </c>
    </row>
    <row r="44" spans="1:13" x14ac:dyDescent="0.15">
      <c r="A44" s="78" t="s">
        <v>9</v>
      </c>
      <c r="B44" s="81">
        <v>75331.149999999994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1:13" x14ac:dyDescent="0.15">
      <c r="A45" s="78" t="s">
        <v>152</v>
      </c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1:13" x14ac:dyDescent="0.15">
      <c r="A46" s="78" t="s">
        <v>165</v>
      </c>
      <c r="B46" s="81"/>
      <c r="C46" s="81"/>
      <c r="D46" s="81"/>
      <c r="E46" s="81"/>
      <c r="F46" s="81"/>
      <c r="G46" s="81"/>
      <c r="H46" s="81">
        <v>9441.5499999999993</v>
      </c>
      <c r="I46" s="81"/>
      <c r="J46" s="81"/>
      <c r="K46" s="81"/>
      <c r="L46" s="81"/>
      <c r="M46" s="81"/>
    </row>
    <row r="47" spans="1:13" x14ac:dyDescent="0.15">
      <c r="A47" s="78" t="s">
        <v>163</v>
      </c>
      <c r="B47" s="81"/>
      <c r="C47" s="81"/>
      <c r="D47" s="81"/>
      <c r="E47" s="81"/>
      <c r="F47" s="81"/>
      <c r="G47" s="81"/>
      <c r="H47" s="81">
        <v>17680.55</v>
      </c>
      <c r="I47" s="81"/>
      <c r="J47" s="81"/>
      <c r="K47" s="81"/>
      <c r="L47" s="81"/>
      <c r="M47" s="81"/>
    </row>
    <row r="48" spans="1:13" x14ac:dyDescent="0.15">
      <c r="A48" s="78" t="s">
        <v>169</v>
      </c>
      <c r="B48" s="81"/>
      <c r="C48" s="81"/>
      <c r="D48" s="81"/>
      <c r="E48" s="81"/>
      <c r="F48" s="81"/>
      <c r="G48" s="81"/>
      <c r="H48" s="81"/>
      <c r="I48" s="81">
        <v>1712.9</v>
      </c>
      <c r="J48" s="81"/>
      <c r="K48" s="81"/>
      <c r="L48" s="81"/>
      <c r="M48" s="81"/>
    </row>
    <row r="49" spans="1:13" x14ac:dyDescent="0.15">
      <c r="A49" s="78" t="s">
        <v>173</v>
      </c>
      <c r="B49" s="81"/>
      <c r="C49" s="81"/>
      <c r="D49" s="81"/>
      <c r="E49" s="81"/>
      <c r="F49" s="81"/>
      <c r="G49" s="81"/>
      <c r="H49" s="81">
        <v>1033</v>
      </c>
      <c r="I49" s="81"/>
      <c r="J49" s="81"/>
      <c r="K49" s="81"/>
      <c r="L49" s="81"/>
      <c r="M49" s="81"/>
    </row>
    <row r="50" spans="1:13" x14ac:dyDescent="0.15">
      <c r="A50" s="78" t="s">
        <v>179</v>
      </c>
      <c r="B50" s="81"/>
      <c r="C50" s="81"/>
      <c r="D50" s="81"/>
      <c r="E50" s="81"/>
      <c r="F50" s="81"/>
      <c r="G50" s="81"/>
      <c r="H50" s="81">
        <v>318.60000000000002</v>
      </c>
      <c r="I50" s="81"/>
      <c r="J50" s="81"/>
      <c r="K50" s="81"/>
      <c r="L50" s="81"/>
      <c r="M50" s="81"/>
    </row>
    <row r="51" spans="1:13" x14ac:dyDescent="0.15">
      <c r="A51" s="78" t="s">
        <v>176</v>
      </c>
      <c r="B51" s="81"/>
      <c r="C51" s="81"/>
      <c r="D51" s="81"/>
      <c r="E51" s="81"/>
      <c r="F51" s="81"/>
      <c r="G51" s="81"/>
      <c r="H51" s="81"/>
      <c r="I51" s="81">
        <v>11196.9</v>
      </c>
      <c r="J51" s="81"/>
      <c r="K51" s="81"/>
      <c r="L51" s="81"/>
      <c r="M51" s="81"/>
    </row>
    <row r="52" spans="1:13" x14ac:dyDescent="0.15">
      <c r="A52" s="78" t="s">
        <v>191</v>
      </c>
      <c r="B52" s="81"/>
      <c r="C52" s="81"/>
      <c r="D52" s="81"/>
      <c r="E52" s="81"/>
      <c r="F52" s="81"/>
      <c r="G52" s="81"/>
      <c r="H52" s="81">
        <v>120</v>
      </c>
      <c r="I52" s="81"/>
      <c r="J52" s="81"/>
      <c r="K52" s="81"/>
      <c r="L52" s="81"/>
      <c r="M52" s="81"/>
    </row>
    <row r="53" spans="1:13" x14ac:dyDescent="0.15">
      <c r="A53" s="78" t="s">
        <v>196</v>
      </c>
      <c r="B53" s="81"/>
      <c r="C53" s="81"/>
      <c r="D53" s="81"/>
      <c r="E53" s="81"/>
      <c r="F53" s="81"/>
      <c r="G53" s="81"/>
      <c r="H53" s="81"/>
      <c r="I53" s="81">
        <v>10858</v>
      </c>
      <c r="J53" s="81"/>
      <c r="K53" s="81"/>
      <c r="L53" s="81"/>
      <c r="M53" s="81"/>
    </row>
    <row r="54" spans="1:13" x14ac:dyDescent="0.15">
      <c r="A54" s="78" t="s">
        <v>202</v>
      </c>
      <c r="B54" s="81"/>
      <c r="C54" s="81"/>
      <c r="D54" s="81"/>
      <c r="E54" s="81"/>
      <c r="F54" s="81"/>
      <c r="G54" s="81"/>
      <c r="H54" s="81">
        <v>42</v>
      </c>
      <c r="I54" s="81"/>
      <c r="J54" s="81"/>
      <c r="K54" s="81"/>
      <c r="L54" s="81"/>
      <c r="M54" s="81"/>
    </row>
    <row r="55" spans="1:13" x14ac:dyDescent="0.15">
      <c r="A55" s="78" t="s">
        <v>203</v>
      </c>
      <c r="B55" s="81"/>
      <c r="C55" s="81"/>
      <c r="D55" s="81"/>
      <c r="E55" s="81"/>
      <c r="F55" s="81"/>
      <c r="G55" s="81"/>
      <c r="H55" s="81">
        <v>1030.75</v>
      </c>
      <c r="I55" s="81"/>
      <c r="J55" s="81"/>
      <c r="K55" s="81"/>
      <c r="L55" s="81"/>
      <c r="M55" s="81"/>
    </row>
    <row r="56" spans="1:13" x14ac:dyDescent="0.15">
      <c r="A56" s="78" t="s">
        <v>209</v>
      </c>
      <c r="B56" s="81"/>
      <c r="C56" s="81"/>
      <c r="D56" s="81"/>
      <c r="E56" s="81"/>
      <c r="F56" s="81"/>
      <c r="G56" s="81"/>
      <c r="H56" s="81"/>
      <c r="I56" s="81">
        <v>23133.599999999999</v>
      </c>
      <c r="J56" s="81"/>
      <c r="K56" s="81"/>
      <c r="L56" s="81"/>
      <c r="M56" s="81"/>
    </row>
    <row r="57" spans="1:13" x14ac:dyDescent="0.15">
      <c r="A57" s="78" t="s">
        <v>210</v>
      </c>
      <c r="B57" s="81"/>
      <c r="C57" s="81"/>
      <c r="D57" s="81"/>
      <c r="E57" s="81"/>
      <c r="F57" s="81"/>
      <c r="G57" s="81"/>
      <c r="H57" s="81"/>
      <c r="I57" s="81">
        <v>40990.75</v>
      </c>
      <c r="J57" s="81"/>
      <c r="K57" s="81"/>
      <c r="L57" s="81"/>
      <c r="M57" s="81"/>
    </row>
    <row r="58" spans="1:13" x14ac:dyDescent="0.15">
      <c r="A58" s="78" t="s">
        <v>218</v>
      </c>
      <c r="B58" s="81"/>
      <c r="C58" s="81"/>
      <c r="D58" s="81"/>
      <c r="E58" s="81"/>
      <c r="F58" s="81"/>
      <c r="G58" s="81"/>
      <c r="H58" s="81"/>
      <c r="I58" s="81">
        <v>3092.15</v>
      </c>
      <c r="J58" s="81"/>
      <c r="K58" s="81"/>
      <c r="L58" s="81"/>
      <c r="M58" s="81"/>
    </row>
    <row r="59" spans="1:13" x14ac:dyDescent="0.15">
      <c r="A59" s="78" t="s">
        <v>223</v>
      </c>
      <c r="B59" s="81"/>
      <c r="C59" s="81"/>
      <c r="D59" s="81"/>
      <c r="E59" s="81"/>
      <c r="F59" s="81"/>
      <c r="G59" s="81"/>
      <c r="H59" s="81"/>
      <c r="I59" s="81">
        <v>12555</v>
      </c>
      <c r="J59" s="81"/>
      <c r="K59" s="81"/>
      <c r="L59" s="81"/>
      <c r="M59" s="81"/>
    </row>
    <row r="60" spans="1:13" x14ac:dyDescent="0.15">
      <c r="A60" s="78" t="s">
        <v>227</v>
      </c>
      <c r="B60" s="81"/>
      <c r="C60" s="81"/>
      <c r="D60" s="81"/>
      <c r="E60" s="81"/>
      <c r="F60" s="81"/>
      <c r="G60" s="81"/>
      <c r="H60" s="81"/>
      <c r="I60" s="81">
        <v>5265</v>
      </c>
      <c r="J60" s="81"/>
      <c r="K60" s="81"/>
      <c r="L60" s="81"/>
      <c r="M60" s="81"/>
    </row>
    <row r="61" spans="1:13" x14ac:dyDescent="0.15">
      <c r="A61" s="78" t="s">
        <v>236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1:13" x14ac:dyDescent="0.15">
      <c r="A62" s="78" t="s">
        <v>267</v>
      </c>
      <c r="B62" s="81"/>
      <c r="C62" s="81"/>
      <c r="D62" s="81"/>
      <c r="E62" s="81"/>
      <c r="F62" s="81"/>
      <c r="G62" s="81"/>
      <c r="H62" s="81">
        <v>2224.8000000000002</v>
      </c>
      <c r="I62" s="81"/>
      <c r="J62" s="81"/>
      <c r="K62" s="81"/>
      <c r="L62" s="81"/>
      <c r="M62" s="81"/>
    </row>
    <row r="63" spans="1:13" x14ac:dyDescent="0.15">
      <c r="A63" s="78" t="s">
        <v>269</v>
      </c>
      <c r="B63" s="81"/>
      <c r="C63" s="81"/>
      <c r="D63" s="81"/>
      <c r="E63" s="81"/>
      <c r="F63" s="81"/>
      <c r="G63" s="81"/>
      <c r="H63" s="81">
        <v>1000</v>
      </c>
      <c r="I63" s="81"/>
      <c r="J63" s="81"/>
      <c r="K63" s="81"/>
      <c r="L63" s="81"/>
      <c r="M63" s="81"/>
    </row>
    <row r="64" spans="1:13" x14ac:dyDescent="0.15">
      <c r="A64" s="78" t="s">
        <v>265</v>
      </c>
      <c r="B64" s="81"/>
      <c r="C64" s="81"/>
      <c r="D64" s="81"/>
      <c r="E64" s="81"/>
      <c r="F64" s="81"/>
      <c r="G64" s="81"/>
      <c r="H64" s="81"/>
      <c r="I64" s="81">
        <v>36498.6</v>
      </c>
      <c r="J64" s="81"/>
      <c r="K64" s="81"/>
      <c r="L64" s="81"/>
      <c r="M64" s="81"/>
    </row>
    <row r="65" spans="1:13" x14ac:dyDescent="0.15">
      <c r="A65" s="78" t="s">
        <v>279</v>
      </c>
      <c r="B65" s="81"/>
      <c r="C65" s="81"/>
      <c r="D65" s="81"/>
      <c r="E65" s="81"/>
      <c r="F65" s="81"/>
      <c r="G65" s="81"/>
      <c r="H65" s="81"/>
      <c r="I65" s="81"/>
      <c r="J65" s="81"/>
      <c r="K65" s="81">
        <v>74114.850000000006</v>
      </c>
      <c r="L65" s="81"/>
      <c r="M65" s="81"/>
    </row>
    <row r="66" spans="1:13" x14ac:dyDescent="0.15">
      <c r="A66" s="78" t="s">
        <v>275</v>
      </c>
      <c r="B66" s="81"/>
      <c r="C66" s="81"/>
      <c r="D66" s="81"/>
      <c r="E66" s="81"/>
      <c r="F66" s="81"/>
      <c r="G66" s="81"/>
      <c r="H66" s="81"/>
      <c r="I66" s="81"/>
      <c r="J66" s="81">
        <v>13819.95</v>
      </c>
      <c r="K66" s="81"/>
      <c r="L66" s="81"/>
      <c r="M66" s="81"/>
    </row>
    <row r="67" spans="1:13" x14ac:dyDescent="0.15">
      <c r="A67" s="78" t="s">
        <v>278</v>
      </c>
      <c r="B67" s="81"/>
      <c r="C67" s="81"/>
      <c r="D67" s="81"/>
      <c r="E67" s="81"/>
      <c r="F67" s="81"/>
      <c r="G67" s="81"/>
      <c r="H67" s="81"/>
      <c r="I67" s="81"/>
      <c r="J67" s="81"/>
      <c r="K67" s="81">
        <v>10930.45</v>
      </c>
      <c r="L67" s="81"/>
      <c r="M67" s="81"/>
    </row>
    <row r="68" spans="1:13" x14ac:dyDescent="0.15">
      <c r="A68" s="78" t="s">
        <v>285</v>
      </c>
      <c r="B68" s="81"/>
      <c r="C68" s="81"/>
      <c r="D68" s="81"/>
      <c r="E68" s="81"/>
      <c r="F68" s="81"/>
      <c r="G68" s="81"/>
      <c r="H68" s="81"/>
      <c r="I68" s="81"/>
      <c r="J68" s="81">
        <v>1895.5</v>
      </c>
      <c r="K68" s="81"/>
      <c r="L68" s="81"/>
      <c r="M68" s="81"/>
    </row>
    <row r="69" spans="1:13" x14ac:dyDescent="0.15">
      <c r="A69" s="78" t="s">
        <v>287</v>
      </c>
      <c r="B69" s="81"/>
      <c r="C69" s="81"/>
      <c r="D69" s="81"/>
      <c r="E69" s="81"/>
      <c r="F69" s="81"/>
      <c r="G69" s="81"/>
      <c r="H69" s="81"/>
      <c r="I69" s="81"/>
      <c r="J69" s="81">
        <v>49820.14</v>
      </c>
      <c r="K69" s="81"/>
      <c r="L69" s="81"/>
      <c r="M69" s="81"/>
    </row>
    <row r="70" spans="1:13" x14ac:dyDescent="0.15">
      <c r="A70" s="78" t="s">
        <v>317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>
        <v>18527.09</v>
      </c>
      <c r="M70" s="81"/>
    </row>
    <row r="71" spans="1:13" x14ac:dyDescent="0.15">
      <c r="A71" s="78" t="s">
        <v>290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>
        <v>43553.9</v>
      </c>
      <c r="M71" s="81">
        <v>43898.5</v>
      </c>
    </row>
    <row r="72" spans="1:13" x14ac:dyDescent="0.15">
      <c r="A72" s="78" t="s">
        <v>326</v>
      </c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1:13" x14ac:dyDescent="0.15">
      <c r="A73" s="78" t="s">
        <v>328</v>
      </c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>
        <v>38581.599999999999</v>
      </c>
      <c r="M73" s="81"/>
    </row>
    <row r="74" spans="1:13" x14ac:dyDescent="0.15">
      <c r="A74" s="78" t="s">
        <v>332</v>
      </c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>
        <v>26916.3</v>
      </c>
      <c r="M74" s="81">
        <v>3426.8</v>
      </c>
    </row>
    <row r="75" spans="1:13" x14ac:dyDescent="0.15">
      <c r="A75" s="78" t="s">
        <v>343</v>
      </c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>
        <v>965730.75</v>
      </c>
    </row>
    <row r="76" spans="1:13" x14ac:dyDescent="0.15">
      <c r="A76" s="78" t="s">
        <v>345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>
        <v>144171.54999999999</v>
      </c>
    </row>
    <row r="77" spans="1:13" x14ac:dyDescent="0.15">
      <c r="A77" s="78" t="s">
        <v>361</v>
      </c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1:13" x14ac:dyDescent="0.15">
      <c r="A78" s="78" t="s">
        <v>363</v>
      </c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>
        <v>40436.299999999996</v>
      </c>
    </row>
    <row r="79" spans="1:13" x14ac:dyDescent="0.15">
      <c r="A79" s="78" t="s">
        <v>364</v>
      </c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>
        <v>15090</v>
      </c>
      <c r="M79" s="81"/>
    </row>
    <row r="80" spans="1:13" x14ac:dyDescent="0.15">
      <c r="A80" s="78" t="s">
        <v>370</v>
      </c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1:13" x14ac:dyDescent="0.15">
      <c r="A81" s="78" t="s">
        <v>365</v>
      </c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1:13" x14ac:dyDescent="0.15">
      <c r="A82" s="78" t="s">
        <v>369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1:13" x14ac:dyDescent="0.15">
      <c r="A83" s="78" t="s">
        <v>413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>
        <v>2008</v>
      </c>
    </row>
    <row r="84" spans="1:13" x14ac:dyDescent="0.15">
      <c r="A84" s="78" t="s">
        <v>388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1:13" x14ac:dyDescent="0.15">
      <c r="A85" s="78" t="s">
        <v>400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1:13" x14ac:dyDescent="0.15">
      <c r="A86" s="78" t="s">
        <v>383</v>
      </c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>
        <v>7288.6</v>
      </c>
    </row>
    <row r="87" spans="1:13" x14ac:dyDescent="0.15">
      <c r="A87" s="78" t="s">
        <v>389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1:13" x14ac:dyDescent="0.15">
      <c r="A88" s="78" t="s">
        <v>384</v>
      </c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1:13" x14ac:dyDescent="0.15">
      <c r="A89" s="78" t="s">
        <v>385</v>
      </c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1:13" x14ac:dyDescent="0.15">
      <c r="A90" s="78" t="s">
        <v>386</v>
      </c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1:13" x14ac:dyDescent="0.15">
      <c r="A91" s="78" t="s">
        <v>403</v>
      </c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1:13" x14ac:dyDescent="0.15">
      <c r="A92" s="78" t="s">
        <v>390</v>
      </c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1:13" x14ac:dyDescent="0.15">
      <c r="A93" s="78" t="s">
        <v>378</v>
      </c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1:13" x14ac:dyDescent="0.15">
      <c r="A94" s="78" t="s">
        <v>381</v>
      </c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1:13" x14ac:dyDescent="0.15">
      <c r="A95" s="78" t="s">
        <v>499</v>
      </c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1:13" x14ac:dyDescent="0.15">
      <c r="A96" s="78" t="s">
        <v>406</v>
      </c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1:13" x14ac:dyDescent="0.15">
      <c r="A97" s="78" t="s">
        <v>391</v>
      </c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1:13" x14ac:dyDescent="0.15">
      <c r="A98" s="78" t="s">
        <v>392</v>
      </c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1:13" x14ac:dyDescent="0.15">
      <c r="A99" s="78" t="s">
        <v>393</v>
      </c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1:13" x14ac:dyDescent="0.15">
      <c r="A100" s="78" t="s">
        <v>394</v>
      </c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1:13" x14ac:dyDescent="0.15">
      <c r="A101" s="78" t="s">
        <v>395</v>
      </c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1:13" x14ac:dyDescent="0.15">
      <c r="A102" s="78" t="s">
        <v>396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1:13" x14ac:dyDescent="0.15">
      <c r="A103" s="78" t="s">
        <v>424</v>
      </c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>
        <v>1927.35</v>
      </c>
    </row>
    <row r="104" spans="1:13" x14ac:dyDescent="0.15">
      <c r="A104" s="78" t="s">
        <v>426</v>
      </c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1:13" x14ac:dyDescent="0.15">
      <c r="A105" s="78" t="s">
        <v>425</v>
      </c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1:13" x14ac:dyDescent="0.15">
      <c r="A106" s="78" t="s">
        <v>417</v>
      </c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1:13" x14ac:dyDescent="0.15">
      <c r="A107" s="78" t="s">
        <v>421</v>
      </c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1:13" x14ac:dyDescent="0.15">
      <c r="A108" s="78" t="s">
        <v>436</v>
      </c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1:13" x14ac:dyDescent="0.15">
      <c r="A109" s="78" t="s">
        <v>441</v>
      </c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1:13" x14ac:dyDescent="0.15">
      <c r="A110" s="78" t="s">
        <v>448</v>
      </c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1:13" x14ac:dyDescent="0.15">
      <c r="A111" s="78" t="s">
        <v>451</v>
      </c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1:13" x14ac:dyDescent="0.15">
      <c r="A112" s="78" t="s">
        <v>452</v>
      </c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1:13" x14ac:dyDescent="0.15">
      <c r="A113" s="78" t="s">
        <v>457</v>
      </c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1:13" x14ac:dyDescent="0.15">
      <c r="A114" s="78" t="s">
        <v>456</v>
      </c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1:13" x14ac:dyDescent="0.15">
      <c r="A115" s="78" t="s">
        <v>469</v>
      </c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1:13" x14ac:dyDescent="0.15">
      <c r="A116" s="78" t="s">
        <v>460</v>
      </c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</row>
    <row r="117" spans="1:13" x14ac:dyDescent="0.15">
      <c r="A117" s="78" t="s">
        <v>465</v>
      </c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</row>
    <row r="118" spans="1:13" x14ac:dyDescent="0.15">
      <c r="A118" s="78" t="s">
        <v>463</v>
      </c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</row>
    <row r="119" spans="1:13" x14ac:dyDescent="0.15">
      <c r="A119" s="78" t="s">
        <v>473</v>
      </c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1:13" x14ac:dyDescent="0.15">
      <c r="A120" s="78" t="s">
        <v>472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1:13" x14ac:dyDescent="0.15">
      <c r="A121" s="78" t="s">
        <v>471</v>
      </c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1:13" x14ac:dyDescent="0.15">
      <c r="A122" s="78" t="s">
        <v>503</v>
      </c>
      <c r="B122" s="81"/>
      <c r="C122" s="81">
        <v>111070.39999999999</v>
      </c>
      <c r="D122" s="81">
        <v>92084.85</v>
      </c>
      <c r="E122" s="81">
        <v>97834.2</v>
      </c>
      <c r="F122" s="81">
        <v>77619.150000000009</v>
      </c>
      <c r="G122" s="81">
        <v>68180.399999999994</v>
      </c>
      <c r="H122" s="81">
        <v>88525.05</v>
      </c>
      <c r="I122" s="81">
        <v>75362.25</v>
      </c>
      <c r="J122" s="81">
        <v>42540.1</v>
      </c>
      <c r="K122" s="81">
        <v>38427.250000000007</v>
      </c>
      <c r="L122" s="81">
        <v>45948.350000000006</v>
      </c>
      <c r="M122" s="81">
        <v>67611.900000000009</v>
      </c>
    </row>
    <row r="123" spans="1:13" x14ac:dyDescent="0.15">
      <c r="A123" s="78" t="s">
        <v>511</v>
      </c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</row>
    <row r="124" spans="1:13" x14ac:dyDescent="0.15">
      <c r="A124" s="78" t="s">
        <v>153</v>
      </c>
      <c r="B124" s="81">
        <v>1045367.48</v>
      </c>
      <c r="C124" s="81">
        <v>1248136.72</v>
      </c>
      <c r="D124" s="81">
        <v>671879.47999999986</v>
      </c>
      <c r="E124" s="81">
        <v>1165111.5900000001</v>
      </c>
      <c r="F124" s="81">
        <v>1828553.3800000001</v>
      </c>
      <c r="G124" s="81">
        <v>661093.89999999991</v>
      </c>
      <c r="H124" s="81">
        <v>1316222.3964000002</v>
      </c>
      <c r="I124" s="81">
        <v>1823050.2100000002</v>
      </c>
      <c r="J124" s="81">
        <v>402796.61</v>
      </c>
      <c r="K124" s="81">
        <v>337388.34</v>
      </c>
      <c r="L124" s="81">
        <v>579973.93000000005</v>
      </c>
      <c r="M124" s="81">
        <v>2296809.19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2F32-11F0-4F54-8C0F-871610C8B62C}">
  <dimension ref="A3:H46"/>
  <sheetViews>
    <sheetView workbookViewId="0">
      <selection activeCell="A44" sqref="A44"/>
    </sheetView>
  </sheetViews>
  <sheetFormatPr baseColWidth="10" defaultRowHeight="11.25" x14ac:dyDescent="0.15"/>
  <cols>
    <col min="1" max="1" width="19.25" bestFit="1" customWidth="1"/>
    <col min="2" max="2" width="13.875" bestFit="1" customWidth="1"/>
    <col min="3" max="3" width="37.875" customWidth="1"/>
    <col min="4" max="14" width="13.875" bestFit="1" customWidth="1"/>
    <col min="15" max="15" width="4.875" customWidth="1"/>
    <col min="16" max="17" width="7.875" customWidth="1"/>
    <col min="18" max="18" width="6.875" customWidth="1"/>
    <col min="19" max="19" width="7.875" customWidth="1"/>
    <col min="20" max="20" width="6.875" customWidth="1"/>
    <col min="21" max="21" width="7.875" customWidth="1"/>
    <col min="22" max="22" width="8.875" customWidth="1"/>
    <col min="23" max="23" width="7.875" customWidth="1"/>
    <col min="24" max="24" width="6.875" customWidth="1"/>
    <col min="25" max="29" width="7.875" customWidth="1"/>
    <col min="30" max="31" width="5.875" customWidth="1"/>
    <col min="32" max="33" width="8.875" customWidth="1"/>
    <col min="34" max="35" width="7.875" customWidth="1"/>
    <col min="36" max="36" width="8.875" customWidth="1"/>
    <col min="37" max="38" width="7.875" customWidth="1"/>
    <col min="39" max="39" width="8.875" customWidth="1"/>
    <col min="40" max="40" width="7.875" customWidth="1"/>
    <col min="41" max="41" width="8.875" customWidth="1"/>
    <col min="42" max="42" width="7.875" customWidth="1"/>
    <col min="43" max="44" width="8.875" customWidth="1"/>
    <col min="45" max="45" width="5.875" customWidth="1"/>
    <col min="46" max="46" width="7.875" customWidth="1"/>
    <col min="47" max="47" width="5.875" customWidth="1"/>
    <col min="48" max="49" width="8.875" customWidth="1"/>
    <col min="50" max="50" width="7.875" customWidth="1"/>
    <col min="51" max="51" width="8.875" customWidth="1"/>
    <col min="52" max="52" width="7.875" customWidth="1"/>
    <col min="53" max="53" width="5.875" customWidth="1"/>
    <col min="54" max="54" width="8.875" customWidth="1"/>
    <col min="55" max="55" width="5.875" customWidth="1"/>
    <col min="56" max="56" width="7.875" customWidth="1"/>
    <col min="57" max="57" width="5.875" customWidth="1"/>
    <col min="58" max="58" width="10" customWidth="1"/>
    <col min="59" max="62" width="8.875" customWidth="1"/>
    <col min="63" max="63" width="10" customWidth="1"/>
    <col min="64" max="65" width="8.875" customWidth="1"/>
    <col min="66" max="66" width="10" customWidth="1"/>
    <col min="67" max="67" width="8.875" customWidth="1"/>
    <col min="68" max="68" width="5.875" customWidth="1"/>
    <col min="69" max="70" width="7.875" customWidth="1"/>
    <col min="71" max="72" width="10" customWidth="1"/>
    <col min="73" max="73" width="5.875" customWidth="1"/>
    <col min="74" max="74" width="10" customWidth="1"/>
    <col min="75" max="75" width="8.875" customWidth="1"/>
    <col min="76" max="76" width="7.875" customWidth="1"/>
    <col min="77" max="77" width="10" customWidth="1"/>
    <col min="78" max="78" width="7.875" customWidth="1"/>
    <col min="79" max="79" width="8.875" customWidth="1"/>
    <col min="80" max="80" width="5.875" customWidth="1"/>
    <col min="81" max="81" width="9.875" customWidth="1"/>
    <col min="82" max="82" width="10" customWidth="1"/>
    <col min="83" max="83" width="7.875" customWidth="1"/>
    <col min="84" max="86" width="9.875" customWidth="1"/>
    <col min="87" max="87" width="11.125" bestFit="1" customWidth="1"/>
    <col min="88" max="88" width="10" customWidth="1"/>
    <col min="89" max="89" width="11.125" bestFit="1" customWidth="1"/>
    <col min="90" max="90" width="6.875" customWidth="1"/>
    <col min="91" max="92" width="9.875" customWidth="1"/>
    <col min="93" max="94" width="6.875" customWidth="1"/>
    <col min="95" max="95" width="11.125" bestFit="1" customWidth="1"/>
    <col min="96" max="96" width="6.875" customWidth="1"/>
    <col min="97" max="97" width="8.875" customWidth="1"/>
    <col min="98" max="98" width="10" customWidth="1"/>
    <col min="99" max="100" width="8.875" customWidth="1"/>
    <col min="101" max="101" width="6.875" customWidth="1"/>
    <col min="102" max="105" width="8.875" customWidth="1"/>
    <col min="106" max="106" width="6.875" customWidth="1"/>
    <col min="107" max="108" width="8.875" customWidth="1"/>
    <col min="109" max="109" width="6.875" customWidth="1"/>
    <col min="110" max="110" width="9.875" customWidth="1"/>
    <col min="111" max="111" width="7.875" customWidth="1"/>
    <col min="112" max="112" width="11.125" bestFit="1" customWidth="1"/>
    <col min="113" max="114" width="9.875" customWidth="1"/>
    <col min="115" max="115" width="5.625" customWidth="1"/>
    <col min="116" max="116" width="6.5" customWidth="1"/>
    <col min="117" max="117" width="1.875" customWidth="1"/>
    <col min="118" max="118" width="3.875" customWidth="1"/>
    <col min="119" max="119" width="5.875" customWidth="1"/>
    <col min="120" max="121" width="6.875" customWidth="1"/>
    <col min="122" max="122" width="3.875" customWidth="1"/>
    <col min="123" max="124" width="4.875" customWidth="1"/>
    <col min="125" max="125" width="6.875" customWidth="1"/>
    <col min="126" max="126" width="7.875" customWidth="1"/>
    <col min="127" max="127" width="6.875" customWidth="1"/>
    <col min="128" max="128" width="7.875" customWidth="1"/>
    <col min="129" max="129" width="4.875" customWidth="1"/>
    <col min="130" max="130" width="7.875" customWidth="1"/>
    <col min="131" max="133" width="8.875" customWidth="1"/>
    <col min="134" max="134" width="6.875" customWidth="1"/>
    <col min="135" max="135" width="7.875" customWidth="1"/>
    <col min="136" max="136" width="4.875" customWidth="1"/>
    <col min="137" max="137" width="7.875" customWidth="1"/>
    <col min="138" max="138" width="6.875" customWidth="1"/>
    <col min="139" max="139" width="8.875" customWidth="1"/>
    <col min="140" max="143" width="7.875" customWidth="1"/>
    <col min="144" max="144" width="5.875" customWidth="1"/>
    <col min="145" max="147" width="8.875" customWidth="1"/>
    <col min="148" max="149" width="7.875" customWidth="1"/>
    <col min="150" max="150" width="8.875" customWidth="1"/>
    <col min="151" max="152" width="7.875" customWidth="1"/>
    <col min="153" max="153" width="8.875" customWidth="1"/>
    <col min="154" max="154" width="7.875" customWidth="1"/>
    <col min="155" max="155" width="8.875" customWidth="1"/>
    <col min="156" max="156" width="7.875" customWidth="1"/>
    <col min="157" max="158" width="8.875" customWidth="1"/>
    <col min="159" max="159" width="5.875" customWidth="1"/>
    <col min="160" max="160" width="7.875" customWidth="1"/>
    <col min="161" max="161" width="5.875" customWidth="1"/>
    <col min="162" max="162" width="7.875" customWidth="1"/>
    <col min="163" max="163" width="8.875" customWidth="1"/>
    <col min="164" max="164" width="7.875" customWidth="1"/>
    <col min="165" max="165" width="8.875" customWidth="1"/>
    <col min="166" max="166" width="7.875" customWidth="1"/>
    <col min="167" max="167" width="5.875" customWidth="1"/>
    <col min="168" max="168" width="8.875" customWidth="1"/>
    <col min="169" max="169" width="5.875" customWidth="1"/>
    <col min="170" max="170" width="7.875" customWidth="1"/>
    <col min="171" max="171" width="5.875" customWidth="1"/>
    <col min="172" max="178" width="8.875" customWidth="1"/>
    <col min="179" max="179" width="10" customWidth="1"/>
    <col min="180" max="180" width="5.875" customWidth="1"/>
    <col min="181" max="181" width="8.875" customWidth="1"/>
    <col min="182" max="182" width="5.875" customWidth="1"/>
    <col min="183" max="184" width="7.875" customWidth="1"/>
    <col min="185" max="186" width="8.875" customWidth="1"/>
    <col min="187" max="187" width="5.875" customWidth="1"/>
    <col min="188" max="188" width="7.875" customWidth="1"/>
    <col min="189" max="189" width="8.875" customWidth="1"/>
    <col min="190" max="190" width="7.875" customWidth="1"/>
    <col min="191" max="191" width="8.875" customWidth="1"/>
    <col min="192" max="192" width="10" customWidth="1"/>
    <col min="193" max="193" width="8.875" customWidth="1"/>
    <col min="194" max="194" width="5.875" customWidth="1"/>
    <col min="195" max="195" width="9.875" customWidth="1"/>
    <col min="196" max="197" width="7.875" customWidth="1"/>
    <col min="198" max="200" width="9.875" customWidth="1"/>
    <col min="201" max="201" width="8.875" customWidth="1"/>
    <col min="202" max="202" width="10" customWidth="1"/>
    <col min="203" max="203" width="9.875" customWidth="1"/>
    <col min="204" max="204" width="6.875" customWidth="1"/>
    <col min="205" max="205" width="11.125" bestFit="1" customWidth="1"/>
    <col min="206" max="206" width="9.875" customWidth="1"/>
    <col min="207" max="208" width="6.875" customWidth="1"/>
    <col min="209" max="209" width="9.875" customWidth="1"/>
    <col min="210" max="210" width="6.875" customWidth="1"/>
    <col min="211" max="211" width="8.875" customWidth="1"/>
    <col min="212" max="212" width="10" customWidth="1"/>
    <col min="213" max="214" width="8.875" customWidth="1"/>
    <col min="215" max="215" width="6.875" customWidth="1"/>
    <col min="216" max="219" width="8.875" customWidth="1"/>
    <col min="220" max="220" width="6.875" customWidth="1"/>
    <col min="221" max="222" width="8.875" customWidth="1"/>
    <col min="223" max="223" width="6.875" customWidth="1"/>
    <col min="224" max="224" width="9.875" customWidth="1"/>
    <col min="225" max="226" width="11.125" bestFit="1" customWidth="1"/>
    <col min="227" max="228" width="9.875" customWidth="1"/>
    <col min="229" max="229" width="5.625" customWidth="1"/>
    <col min="230" max="230" width="6.5" customWidth="1"/>
    <col min="231" max="231" width="1.875" customWidth="1"/>
    <col min="232" max="232" width="3.875" customWidth="1"/>
    <col min="233" max="233" width="5.875" customWidth="1"/>
    <col min="234" max="235" width="6.875" customWidth="1"/>
    <col min="236" max="236" width="3.875" customWidth="1"/>
    <col min="237" max="238" width="4.875" customWidth="1"/>
    <col min="239" max="239" width="6.875" customWidth="1"/>
    <col min="240" max="240" width="7.875" customWidth="1"/>
    <col min="241" max="241" width="6.875" customWidth="1"/>
    <col min="242" max="242" width="7.875" customWidth="1"/>
    <col min="243" max="243" width="4.875" customWidth="1"/>
    <col min="244" max="245" width="7.875" customWidth="1"/>
    <col min="246" max="246" width="8.875" customWidth="1"/>
    <col min="247" max="247" width="7.875" customWidth="1"/>
    <col min="248" max="248" width="6.875" customWidth="1"/>
    <col min="249" max="249" width="7.875" customWidth="1"/>
    <col min="250" max="250" width="4.875" customWidth="1"/>
    <col min="251" max="251" width="7.875" customWidth="1"/>
    <col min="252" max="252" width="6.875" customWidth="1"/>
    <col min="253" max="257" width="7.875" customWidth="1"/>
    <col min="258" max="258" width="5.875" customWidth="1"/>
    <col min="259" max="261" width="8.875" customWidth="1"/>
    <col min="262" max="263" width="7.875" customWidth="1"/>
    <col min="264" max="264" width="8.875" customWidth="1"/>
    <col min="265" max="266" width="7.875" customWidth="1"/>
    <col min="267" max="267" width="8.875" customWidth="1"/>
    <col min="268" max="268" width="7.875" customWidth="1"/>
    <col min="269" max="269" width="8.875" customWidth="1"/>
    <col min="270" max="270" width="7.875" customWidth="1"/>
    <col min="271" max="272" width="8.875" customWidth="1"/>
    <col min="273" max="273" width="5.875" customWidth="1"/>
    <col min="274" max="274" width="10" customWidth="1"/>
    <col min="275" max="275" width="5.875" customWidth="1"/>
    <col min="276" max="276" width="7.875" customWidth="1"/>
    <col min="277" max="277" width="8.875" customWidth="1"/>
    <col min="278" max="278" width="7.875" customWidth="1"/>
    <col min="279" max="279" width="10" customWidth="1"/>
    <col min="280" max="280" width="7.875" customWidth="1"/>
    <col min="281" max="281" width="5.875" customWidth="1"/>
    <col min="282" max="282" width="8.875" customWidth="1"/>
    <col min="283" max="283" width="5.875" customWidth="1"/>
    <col min="284" max="284" width="7.875" customWidth="1"/>
    <col min="285" max="285" width="5.875" customWidth="1"/>
    <col min="286" max="290" width="8.875" customWidth="1"/>
    <col min="291" max="291" width="7.875" customWidth="1"/>
    <col min="292" max="293" width="8.875" customWidth="1"/>
    <col min="294" max="294" width="5.875" customWidth="1"/>
    <col min="295" max="295" width="8.875" customWidth="1"/>
    <col min="296" max="296" width="5.875" customWidth="1"/>
    <col min="297" max="298" width="7.875" customWidth="1"/>
    <col min="299" max="299" width="8.875" customWidth="1"/>
    <col min="300" max="300" width="7.875" customWidth="1"/>
    <col min="301" max="301" width="5.875" customWidth="1"/>
    <col min="302" max="302" width="7.875" customWidth="1"/>
    <col min="303" max="303" width="8.875" customWidth="1"/>
    <col min="304" max="304" width="7.875" customWidth="1"/>
    <col min="305" max="305" width="8.875" customWidth="1"/>
    <col min="306" max="306" width="7.875" customWidth="1"/>
    <col min="307" max="307" width="8.875" customWidth="1"/>
    <col min="308" max="308" width="5.875" customWidth="1"/>
    <col min="309" max="309" width="9.875" customWidth="1"/>
    <col min="310" max="310" width="7.875" customWidth="1"/>
    <col min="311" max="311" width="10" customWidth="1"/>
    <col min="312" max="314" width="9.875" customWidth="1"/>
    <col min="315" max="315" width="8.875" customWidth="1"/>
    <col min="316" max="316" width="10" customWidth="1"/>
    <col min="317" max="317" width="9.875" customWidth="1"/>
    <col min="318" max="318" width="6.875" customWidth="1"/>
    <col min="319" max="320" width="9.875" customWidth="1"/>
    <col min="321" max="322" width="6.875" customWidth="1"/>
    <col min="323" max="323" width="9.875" customWidth="1"/>
    <col min="324" max="324" width="6.875" customWidth="1"/>
    <col min="325" max="325" width="8.875" customWidth="1"/>
    <col min="326" max="326" width="10" customWidth="1"/>
    <col min="327" max="327" width="8.875" customWidth="1"/>
    <col min="328" max="328" width="11.125" bestFit="1" customWidth="1"/>
    <col min="329" max="329" width="6.875" customWidth="1"/>
    <col min="330" max="330" width="8.875" customWidth="1"/>
    <col min="331" max="331" width="11.125" bestFit="1" customWidth="1"/>
    <col min="332" max="333" width="8.875" customWidth="1"/>
    <col min="334" max="334" width="6.875" customWidth="1"/>
    <col min="335" max="336" width="8.875" customWidth="1"/>
    <col min="337" max="337" width="6.875" customWidth="1"/>
    <col min="338" max="338" width="9.875" customWidth="1"/>
    <col min="339" max="339" width="10" customWidth="1"/>
    <col min="340" max="340" width="11.125" bestFit="1" customWidth="1"/>
    <col min="341" max="342" width="9.875" customWidth="1"/>
    <col min="343" max="343" width="5.625" customWidth="1"/>
    <col min="344" max="344" width="6.5" customWidth="1"/>
    <col min="345" max="345" width="1.875" customWidth="1"/>
    <col min="346" max="346" width="3.875" customWidth="1"/>
    <col min="347" max="347" width="5.875" customWidth="1"/>
    <col min="348" max="348" width="7.25" customWidth="1"/>
    <col min="349" max="349" width="6.875" customWidth="1"/>
    <col min="350" max="350" width="3.875" customWidth="1"/>
    <col min="351" max="352" width="4.875" customWidth="1"/>
    <col min="353" max="353" width="6.875" customWidth="1"/>
    <col min="354" max="354" width="7.875" customWidth="1"/>
    <col min="355" max="355" width="6.875" customWidth="1"/>
    <col min="356" max="356" width="7.875" customWidth="1"/>
    <col min="357" max="357" width="4.875" customWidth="1"/>
    <col min="358" max="359" width="7.875" customWidth="1"/>
    <col min="360" max="360" width="8.875" customWidth="1"/>
    <col min="361" max="361" width="7.875" customWidth="1"/>
    <col min="362" max="362" width="6.875" customWidth="1"/>
    <col min="363" max="363" width="7.875" customWidth="1"/>
    <col min="364" max="364" width="4.875" customWidth="1"/>
    <col min="365" max="365" width="8.875" customWidth="1"/>
    <col min="366" max="366" width="6.875" customWidth="1"/>
    <col min="367" max="367" width="7.875" customWidth="1"/>
    <col min="368" max="368" width="8.875" customWidth="1"/>
    <col min="369" max="371" width="7.875" customWidth="1"/>
    <col min="372" max="373" width="5.875" customWidth="1"/>
    <col min="374" max="375" width="8.875" customWidth="1"/>
    <col min="376" max="377" width="7.875" customWidth="1"/>
    <col min="378" max="378" width="8.875" customWidth="1"/>
    <col min="379" max="380" width="7.875" customWidth="1"/>
    <col min="381" max="381" width="8.875" customWidth="1"/>
    <col min="382" max="382" width="7.875" customWidth="1"/>
    <col min="383" max="383" width="8.875" customWidth="1"/>
    <col min="384" max="384" width="7.875" customWidth="1"/>
    <col min="385" max="385" width="8.875" customWidth="1"/>
    <col min="386" max="386" width="10" customWidth="1"/>
    <col min="387" max="387" width="5.875" customWidth="1"/>
    <col min="388" max="388" width="7.875" customWidth="1"/>
    <col min="389" max="389" width="5.875" customWidth="1"/>
    <col min="390" max="390" width="7.875" customWidth="1"/>
    <col min="391" max="391" width="8.875" customWidth="1"/>
    <col min="392" max="392" width="7.875" customWidth="1"/>
    <col min="393" max="393" width="8.875" customWidth="1"/>
    <col min="394" max="394" width="7.875" customWidth="1"/>
    <col min="395" max="395" width="5.875" customWidth="1"/>
    <col min="396" max="396" width="8.875" customWidth="1"/>
    <col min="397" max="397" width="5.875" customWidth="1"/>
    <col min="398" max="398" width="7.875" customWidth="1"/>
    <col min="399" max="399" width="5.875" customWidth="1"/>
    <col min="400" max="404" width="8.875" customWidth="1"/>
    <col min="405" max="405" width="7.875" customWidth="1"/>
    <col min="406" max="407" width="8.875" customWidth="1"/>
    <col min="408" max="408" width="5.875" customWidth="1"/>
    <col min="409" max="409" width="8.875" customWidth="1"/>
    <col min="410" max="410" width="5.875" customWidth="1"/>
    <col min="411" max="412" width="7.875" customWidth="1"/>
    <col min="413" max="413" width="8.875" customWidth="1"/>
    <col min="414" max="414" width="7.875" customWidth="1"/>
    <col min="415" max="415" width="10" customWidth="1"/>
    <col min="416" max="416" width="7.875" customWidth="1"/>
    <col min="417" max="417" width="8.875" customWidth="1"/>
    <col min="418" max="418" width="7.875" customWidth="1"/>
    <col min="419" max="419" width="8.875" customWidth="1"/>
    <col min="420" max="420" width="7.875" customWidth="1"/>
    <col min="421" max="421" width="8.875" customWidth="1"/>
    <col min="422" max="422" width="5.875" customWidth="1"/>
    <col min="423" max="423" width="9.875" customWidth="1"/>
    <col min="424" max="424" width="7.875" customWidth="1"/>
    <col min="425" max="425" width="10" customWidth="1"/>
    <col min="426" max="426" width="9.875" customWidth="1"/>
    <col min="427" max="428" width="10" customWidth="1"/>
    <col min="429" max="429" width="8.875" customWidth="1"/>
    <col min="430" max="431" width="9.875" customWidth="1"/>
    <col min="432" max="432" width="6.875" customWidth="1"/>
    <col min="433" max="433" width="9.875" customWidth="1"/>
    <col min="434" max="434" width="10" customWidth="1"/>
    <col min="435" max="436" width="6.875" customWidth="1"/>
    <col min="437" max="437" width="9.875" customWidth="1"/>
    <col min="438" max="438" width="6.875" customWidth="1"/>
    <col min="439" max="441" width="8.875" customWidth="1"/>
    <col min="442" max="442" width="10" customWidth="1"/>
    <col min="443" max="443" width="6.875" customWidth="1"/>
    <col min="444" max="444" width="8.875" customWidth="1"/>
    <col min="445" max="445" width="11.125" bestFit="1" customWidth="1"/>
    <col min="446" max="447" width="8.875" customWidth="1"/>
    <col min="448" max="448" width="6.875" customWidth="1"/>
    <col min="449" max="449" width="8.875" customWidth="1"/>
    <col min="450" max="450" width="11.125" bestFit="1" customWidth="1"/>
    <col min="451" max="451" width="6.875" customWidth="1"/>
    <col min="452" max="452" width="9.875" customWidth="1"/>
    <col min="453" max="453" width="10" customWidth="1"/>
    <col min="454" max="456" width="9.875" customWidth="1"/>
    <col min="457" max="457" width="5.625" customWidth="1"/>
    <col min="458" max="458" width="6.5" customWidth="1"/>
    <col min="459" max="459" width="1.875" customWidth="1"/>
    <col min="460" max="461" width="7.25" customWidth="1"/>
    <col min="462" max="463" width="6.875" customWidth="1"/>
    <col min="464" max="464" width="7.25" customWidth="1"/>
    <col min="465" max="466" width="4.875" customWidth="1"/>
    <col min="467" max="467" width="6.875" customWidth="1"/>
    <col min="468" max="468" width="7.875" customWidth="1"/>
    <col min="469" max="469" width="6.875" customWidth="1"/>
    <col min="470" max="470" width="7.875" customWidth="1"/>
    <col min="471" max="471" width="7.25" customWidth="1"/>
    <col min="472" max="473" width="7.875" customWidth="1"/>
    <col min="474" max="474" width="6.875" customWidth="1"/>
    <col min="475" max="475" width="7.875" customWidth="1"/>
    <col min="476" max="476" width="6.875" customWidth="1"/>
    <col min="477" max="477" width="7.875" customWidth="1"/>
    <col min="478" max="478" width="4.875" customWidth="1"/>
    <col min="479" max="479" width="7.875" customWidth="1"/>
    <col min="480" max="480" width="6.875" customWidth="1"/>
    <col min="481" max="485" width="7.875" customWidth="1"/>
    <col min="486" max="486" width="8.875" customWidth="1"/>
    <col min="487" max="487" width="5.875" customWidth="1"/>
    <col min="488" max="489" width="8.875" customWidth="1"/>
    <col min="490" max="490" width="7.875" customWidth="1"/>
    <col min="491" max="492" width="10" customWidth="1"/>
    <col min="493" max="493" width="7.875" customWidth="1"/>
    <col min="494" max="494" width="10" customWidth="1"/>
    <col min="495" max="495" width="8.875" customWidth="1"/>
    <col min="496" max="496" width="7.875" customWidth="1"/>
    <col min="497" max="497" width="8.875" customWidth="1"/>
    <col min="498" max="498" width="7.875" customWidth="1"/>
    <col min="499" max="500" width="8.875" customWidth="1"/>
    <col min="501" max="501" width="5.875" customWidth="1"/>
    <col min="502" max="502" width="7.875" customWidth="1"/>
    <col min="503" max="503" width="10" customWidth="1"/>
    <col min="504" max="504" width="7.875" customWidth="1"/>
    <col min="505" max="505" width="8.875" customWidth="1"/>
    <col min="506" max="506" width="7.875" customWidth="1"/>
    <col min="507" max="507" width="8.875" customWidth="1"/>
    <col min="508" max="508" width="7.875" customWidth="1"/>
    <col min="509" max="509" width="5.875" customWidth="1"/>
    <col min="510" max="510" width="10" customWidth="1"/>
    <col min="511" max="511" width="5.875" customWidth="1"/>
    <col min="512" max="512" width="7.875" customWidth="1"/>
    <col min="513" max="513" width="5.875" customWidth="1"/>
    <col min="514" max="518" width="8.875" customWidth="1"/>
    <col min="519" max="519" width="7.875" customWidth="1"/>
    <col min="520" max="521" width="8.875" customWidth="1"/>
    <col min="522" max="522" width="5.875" customWidth="1"/>
    <col min="523" max="523" width="8.875" customWidth="1"/>
    <col min="524" max="524" width="5.875" customWidth="1"/>
    <col min="525" max="526" width="10" customWidth="1"/>
    <col min="527" max="527" width="8.875" customWidth="1"/>
    <col min="528" max="528" width="7.875" customWidth="1"/>
    <col min="529" max="529" width="8.875" customWidth="1"/>
    <col min="530" max="530" width="7.875" customWidth="1"/>
    <col min="531" max="531" width="10" customWidth="1"/>
    <col min="532" max="532" width="7.875" customWidth="1"/>
    <col min="533" max="533" width="8.875" customWidth="1"/>
    <col min="534" max="534" width="7.875" customWidth="1"/>
    <col min="535" max="535" width="10" customWidth="1"/>
    <col min="536" max="536" width="5.875" customWidth="1"/>
    <col min="537" max="537" width="9.875" customWidth="1"/>
    <col min="538" max="539" width="7.875" customWidth="1"/>
    <col min="540" max="540" width="11.125" bestFit="1" customWidth="1"/>
    <col min="541" max="542" width="9.875" customWidth="1"/>
    <col min="543" max="543" width="8.875" customWidth="1"/>
    <col min="544" max="545" width="9.875" customWidth="1"/>
    <col min="546" max="546" width="6.875" customWidth="1"/>
    <col min="547" max="547" width="9.875" customWidth="1"/>
    <col min="548" max="548" width="10" customWidth="1"/>
    <col min="549" max="550" width="6.875" customWidth="1"/>
    <col min="551" max="551" width="9.875" customWidth="1"/>
    <col min="552" max="552" width="6.875" customWidth="1"/>
    <col min="553" max="556" width="8.875" customWidth="1"/>
    <col min="557" max="557" width="6.875" customWidth="1"/>
    <col min="558" max="561" width="8.875" customWidth="1"/>
    <col min="562" max="562" width="6.875" customWidth="1"/>
    <col min="563" max="563" width="8.875" customWidth="1"/>
    <col min="564" max="564" width="12.75" bestFit="1" customWidth="1"/>
    <col min="565" max="565" width="6.875" customWidth="1"/>
    <col min="566" max="566" width="9.875" customWidth="1"/>
    <col min="567" max="568" width="10" customWidth="1"/>
    <col min="569" max="570" width="9.875" customWidth="1"/>
    <col min="571" max="571" width="5.625" customWidth="1"/>
    <col min="572" max="572" width="6.5" customWidth="1"/>
    <col min="573" max="573" width="1.875" customWidth="1"/>
    <col min="574" max="574" width="7.25" customWidth="1"/>
    <col min="575" max="575" width="5.875" customWidth="1"/>
    <col min="576" max="577" width="6.875" customWidth="1"/>
    <col min="578" max="578" width="3.875" customWidth="1"/>
    <col min="579" max="579" width="4.875" customWidth="1"/>
    <col min="580" max="581" width="8.875" customWidth="1"/>
    <col min="582" max="582" width="7.875" customWidth="1"/>
    <col min="583" max="583" width="6.875" customWidth="1"/>
    <col min="584" max="584" width="7.875" customWidth="1"/>
    <col min="585" max="585" width="4.875" customWidth="1"/>
    <col min="586" max="586" width="8.875" customWidth="1"/>
    <col min="587" max="587" width="7.875" customWidth="1"/>
    <col min="588" max="588" width="6.875" customWidth="1"/>
    <col min="589" max="589" width="7.875" customWidth="1"/>
    <col min="590" max="591" width="8.875" customWidth="1"/>
    <col min="592" max="592" width="4.875" customWidth="1"/>
    <col min="593" max="593" width="7.875" customWidth="1"/>
    <col min="594" max="594" width="8.875" customWidth="1"/>
    <col min="595" max="599" width="7.875" customWidth="1"/>
    <col min="600" max="601" width="5.875" customWidth="1"/>
    <col min="602" max="603" width="8.875" customWidth="1"/>
    <col min="604" max="605" width="7.875" customWidth="1"/>
    <col min="606" max="606" width="8.875" customWidth="1"/>
    <col min="607" max="608" width="7.875" customWidth="1"/>
    <col min="609" max="609" width="8.875" customWidth="1"/>
    <col min="610" max="610" width="7.875" customWidth="1"/>
    <col min="611" max="611" width="8.875" customWidth="1"/>
    <col min="612" max="612" width="10" customWidth="1"/>
    <col min="613" max="614" width="8.875" customWidth="1"/>
    <col min="615" max="615" width="10" customWidth="1"/>
    <col min="616" max="616" width="7.875" customWidth="1"/>
    <col min="617" max="617" width="5.875" customWidth="1"/>
    <col min="618" max="618" width="7.875" customWidth="1"/>
    <col min="619" max="619" width="8.875" customWidth="1"/>
    <col min="620" max="620" width="10" customWidth="1"/>
    <col min="621" max="621" width="8.875" customWidth="1"/>
    <col min="622" max="622" width="7.875" customWidth="1"/>
    <col min="623" max="623" width="10" customWidth="1"/>
    <col min="624" max="624" width="8.875" customWidth="1"/>
    <col min="625" max="625" width="5.875" customWidth="1"/>
    <col min="626" max="626" width="7.875" customWidth="1"/>
    <col min="627" max="627" width="10" customWidth="1"/>
    <col min="628" max="629" width="8.875" customWidth="1"/>
    <col min="630" max="630" width="10" customWidth="1"/>
    <col min="631" max="632" width="8.875" customWidth="1"/>
    <col min="633" max="633" width="7.875" customWidth="1"/>
    <col min="634" max="634" width="10" customWidth="1"/>
    <col min="635" max="635" width="8.875" customWidth="1"/>
    <col min="636" max="636" width="5.875" customWidth="1"/>
    <col min="637" max="637" width="8.875" customWidth="1"/>
    <col min="638" max="638" width="5.875" customWidth="1"/>
    <col min="639" max="640" width="7.875" customWidth="1"/>
    <col min="641" max="641" width="8.875" customWidth="1"/>
    <col min="642" max="642" width="7.875" customWidth="1"/>
    <col min="643" max="643" width="5.875" customWidth="1"/>
    <col min="644" max="644" width="7.875" customWidth="1"/>
    <col min="645" max="645" width="10" customWidth="1"/>
    <col min="646" max="646" width="7.875" customWidth="1"/>
    <col min="647" max="647" width="8.875" customWidth="1"/>
    <col min="648" max="648" width="7.875" customWidth="1"/>
    <col min="649" max="649" width="10" customWidth="1"/>
    <col min="650" max="650" width="5.875" customWidth="1"/>
    <col min="651" max="651" width="9.875" customWidth="1"/>
    <col min="652" max="653" width="7.875" customWidth="1"/>
    <col min="654" max="654" width="10" customWidth="1"/>
    <col min="655" max="656" width="9.875" customWidth="1"/>
    <col min="657" max="657" width="8.875" customWidth="1"/>
    <col min="658" max="659" width="9.875" customWidth="1"/>
    <col min="660" max="660" width="6.875" customWidth="1"/>
    <col min="661" max="662" width="9.875" customWidth="1"/>
    <col min="663" max="664" width="6.875" customWidth="1"/>
    <col min="665" max="665" width="9.875" customWidth="1"/>
    <col min="666" max="666" width="6.875" customWidth="1"/>
    <col min="667" max="667" width="8.875" customWidth="1"/>
    <col min="668" max="668" width="6.875" customWidth="1"/>
    <col min="669" max="670" width="8.875" customWidth="1"/>
    <col min="671" max="671" width="6.875" customWidth="1"/>
    <col min="672" max="675" width="8.875" customWidth="1"/>
    <col min="676" max="676" width="6.875" customWidth="1"/>
    <col min="677" max="677" width="8.875" customWidth="1"/>
    <col min="678" max="678" width="11.125" bestFit="1" customWidth="1"/>
    <col min="679" max="679" width="6.875" customWidth="1"/>
    <col min="680" max="680" width="9.875" customWidth="1"/>
    <col min="681" max="681" width="10" customWidth="1"/>
    <col min="682" max="684" width="9.875" customWidth="1"/>
    <col min="685" max="685" width="5.625" customWidth="1"/>
    <col min="686" max="686" width="6.5" customWidth="1"/>
    <col min="687" max="687" width="1.875" customWidth="1"/>
    <col min="688" max="688" width="3.875" customWidth="1"/>
    <col min="689" max="689" width="5.875" customWidth="1"/>
    <col min="690" max="691" width="6.875" customWidth="1"/>
    <col min="692" max="692" width="3.875" customWidth="1"/>
    <col min="693" max="694" width="4.875" customWidth="1"/>
    <col min="695" max="695" width="6.875" customWidth="1"/>
    <col min="696" max="696" width="8.875" customWidth="1"/>
    <col min="697" max="697" width="6.875" customWidth="1"/>
    <col min="698" max="698" width="8.875" customWidth="1"/>
    <col min="699" max="699" width="4.875" customWidth="1"/>
    <col min="700" max="701" width="7.875" customWidth="1"/>
    <col min="702" max="702" width="6.875" customWidth="1"/>
    <col min="703" max="703" width="7.875" customWidth="1"/>
    <col min="704" max="704" width="6.875" customWidth="1"/>
    <col min="705" max="705" width="7.875" customWidth="1"/>
    <col min="706" max="706" width="4.875" customWidth="1"/>
    <col min="707" max="707" width="7.875" customWidth="1"/>
    <col min="708" max="708" width="6.875" customWidth="1"/>
    <col min="709" max="711" width="7.875" customWidth="1"/>
    <col min="712" max="712" width="8.875" customWidth="1"/>
    <col min="713" max="713" width="7.875" customWidth="1"/>
    <col min="714" max="715" width="5.875" customWidth="1"/>
    <col min="716" max="717" width="8.875" customWidth="1"/>
    <col min="718" max="719" width="7.875" customWidth="1"/>
    <col min="720" max="720" width="8.875" customWidth="1"/>
    <col min="721" max="721" width="10" customWidth="1"/>
    <col min="722" max="722" width="7.875" customWidth="1"/>
    <col min="723" max="723" width="8.875" customWidth="1"/>
    <col min="724" max="724" width="7.875" customWidth="1"/>
    <col min="725" max="725" width="8.875" customWidth="1"/>
    <col min="726" max="726" width="7.875" customWidth="1"/>
    <col min="727" max="727" width="10" customWidth="1"/>
    <col min="728" max="728" width="8.875" customWidth="1"/>
    <col min="729" max="729" width="5.875" customWidth="1"/>
    <col min="730" max="730" width="7.875" customWidth="1"/>
    <col min="731" max="731" width="5.875" customWidth="1"/>
    <col min="732" max="732" width="7.875" customWidth="1"/>
    <col min="733" max="733" width="8.875" customWidth="1"/>
    <col min="734" max="734" width="7.875" customWidth="1"/>
    <col min="735" max="735" width="8.875" customWidth="1"/>
    <col min="736" max="736" width="7.875" customWidth="1"/>
    <col min="737" max="737" width="5.875" customWidth="1"/>
    <col min="738" max="738" width="8.875" customWidth="1"/>
    <col min="739" max="739" width="5.875" customWidth="1"/>
    <col min="740" max="740" width="10" customWidth="1"/>
    <col min="741" max="741" width="5.875" customWidth="1"/>
    <col min="742" max="744" width="8.875" customWidth="1"/>
    <col min="745" max="745" width="10" customWidth="1"/>
    <col min="746" max="746" width="8.875" customWidth="1"/>
    <col min="747" max="747" width="7.875" customWidth="1"/>
    <col min="748" max="749" width="8.875" customWidth="1"/>
    <col min="750" max="750" width="5.875" customWidth="1"/>
    <col min="751" max="751" width="8.875" customWidth="1"/>
    <col min="752" max="752" width="5.875" customWidth="1"/>
    <col min="753" max="754" width="7.875" customWidth="1"/>
    <col min="755" max="755" width="8.875" customWidth="1"/>
    <col min="756" max="756" width="7.875" customWidth="1"/>
    <col min="757" max="757" width="5.875" customWidth="1"/>
    <col min="758" max="758" width="7.875" customWidth="1"/>
    <col min="759" max="759" width="8.875" customWidth="1"/>
    <col min="760" max="760" width="7.875" customWidth="1"/>
    <col min="761" max="761" width="8.875" customWidth="1"/>
    <col min="762" max="762" width="7.875" customWidth="1"/>
    <col min="763" max="763" width="8.875" customWidth="1"/>
    <col min="764" max="764" width="5.875" customWidth="1"/>
    <col min="765" max="765" width="9.875" customWidth="1"/>
    <col min="766" max="767" width="7.875" customWidth="1"/>
    <col min="768" max="770" width="9.875" customWidth="1"/>
    <col min="771" max="771" width="8.875" customWidth="1"/>
    <col min="772" max="773" width="9.875" customWidth="1"/>
    <col min="774" max="774" width="6.875" customWidth="1"/>
    <col min="775" max="776" width="9.875" customWidth="1"/>
    <col min="777" max="777" width="6.875" customWidth="1"/>
    <col min="778" max="778" width="10" customWidth="1"/>
    <col min="779" max="779" width="9.875" customWidth="1"/>
    <col min="780" max="780" width="6.875" customWidth="1"/>
    <col min="781" max="781" width="8.875" customWidth="1"/>
    <col min="782" max="782" width="6.875" customWidth="1"/>
    <col min="783" max="784" width="8.875" customWidth="1"/>
    <col min="785" max="785" width="6.875" customWidth="1"/>
    <col min="786" max="789" width="8.875" customWidth="1"/>
    <col min="790" max="790" width="6.875" customWidth="1"/>
    <col min="791" max="791" width="8.875" customWidth="1"/>
    <col min="792" max="792" width="11.125" bestFit="1" customWidth="1"/>
    <col min="793" max="793" width="6.875" customWidth="1"/>
    <col min="794" max="794" width="11.125" bestFit="1" customWidth="1"/>
    <col min="795" max="795" width="10" customWidth="1"/>
    <col min="796" max="798" width="9.875" customWidth="1"/>
    <col min="799" max="799" width="5.625" customWidth="1"/>
    <col min="800" max="800" width="6.5" customWidth="1"/>
    <col min="801" max="801" width="1.875" customWidth="1"/>
    <col min="802" max="802" width="3.875" customWidth="1"/>
    <col min="803" max="803" width="5.875" customWidth="1"/>
    <col min="804" max="804" width="6.875" customWidth="1"/>
    <col min="805" max="805" width="7.25" customWidth="1"/>
    <col min="806" max="806" width="3.875" customWidth="1"/>
    <col min="807" max="807" width="8.875" customWidth="1"/>
    <col min="808" max="808" width="4.875" customWidth="1"/>
    <col min="809" max="809" width="6.875" customWidth="1"/>
    <col min="810" max="810" width="7.875" customWidth="1"/>
    <col min="811" max="811" width="8.875" customWidth="1"/>
    <col min="812" max="812" width="7.875" customWidth="1"/>
    <col min="813" max="813" width="4.875" customWidth="1"/>
    <col min="814" max="815" width="7.875" customWidth="1"/>
    <col min="816" max="816" width="6.875" customWidth="1"/>
    <col min="817" max="817" width="7.875" customWidth="1"/>
    <col min="818" max="818" width="6.875" customWidth="1"/>
    <col min="819" max="819" width="7.875" customWidth="1"/>
    <col min="820" max="820" width="4.875" customWidth="1"/>
    <col min="821" max="821" width="7.875" customWidth="1"/>
    <col min="822" max="822" width="6.875" customWidth="1"/>
    <col min="823" max="826" width="7.875" customWidth="1"/>
    <col min="827" max="827" width="8.875" customWidth="1"/>
    <col min="828" max="829" width="5.875" customWidth="1"/>
    <col min="830" max="830" width="10" customWidth="1"/>
    <col min="831" max="831" width="8.875" customWidth="1"/>
    <col min="832" max="832" width="10" customWidth="1"/>
    <col min="833" max="833" width="7.875" customWidth="1"/>
    <col min="834" max="834" width="8.875" customWidth="1"/>
    <col min="835" max="836" width="7.875" customWidth="1"/>
    <col min="837" max="837" width="8.875" customWidth="1"/>
    <col min="838" max="838" width="10" customWidth="1"/>
    <col min="839" max="839" width="8.875" customWidth="1"/>
    <col min="840" max="840" width="7.875" customWidth="1"/>
    <col min="841" max="842" width="8.875" customWidth="1"/>
    <col min="843" max="843" width="5.875" customWidth="1"/>
    <col min="844" max="844" width="7.875" customWidth="1"/>
    <col min="845" max="845" width="5.875" customWidth="1"/>
    <col min="846" max="846" width="7.875" customWidth="1"/>
    <col min="847" max="847" width="10" customWidth="1"/>
    <col min="848" max="848" width="7.875" customWidth="1"/>
    <col min="849" max="849" width="8.875" customWidth="1"/>
    <col min="850" max="850" width="7.875" customWidth="1"/>
    <col min="851" max="851" width="5.875" customWidth="1"/>
    <col min="852" max="852" width="8.875" customWidth="1"/>
    <col min="853" max="853" width="5.875" customWidth="1"/>
    <col min="854" max="854" width="8.875" customWidth="1"/>
    <col min="855" max="855" width="5.875" customWidth="1"/>
    <col min="856" max="860" width="8.875" customWidth="1"/>
    <col min="861" max="861" width="7.875" customWidth="1"/>
    <col min="862" max="863" width="8.875" customWidth="1"/>
    <col min="864" max="864" width="5.875" customWidth="1"/>
    <col min="865" max="865" width="8.875" customWidth="1"/>
    <col min="866" max="866" width="5.875" customWidth="1"/>
    <col min="867" max="868" width="7.875" customWidth="1"/>
    <col min="869" max="869" width="8.875" customWidth="1"/>
    <col min="870" max="870" width="7.875" customWidth="1"/>
    <col min="871" max="871" width="5.875" customWidth="1"/>
    <col min="872" max="872" width="7.875" customWidth="1"/>
    <col min="873" max="873" width="10" customWidth="1"/>
    <col min="874" max="874" width="7.875" customWidth="1"/>
    <col min="875" max="875" width="8.875" customWidth="1"/>
    <col min="876" max="876" width="7.875" customWidth="1"/>
    <col min="877" max="877" width="8.875" customWidth="1"/>
    <col min="878" max="879" width="10" customWidth="1"/>
    <col min="880" max="881" width="7.875" customWidth="1"/>
    <col min="882" max="884" width="9.875" customWidth="1"/>
    <col min="885" max="885" width="8.875" customWidth="1"/>
    <col min="886" max="887" width="9.875" customWidth="1"/>
    <col min="888" max="888" width="10" customWidth="1"/>
    <col min="889" max="890" width="9.875" customWidth="1"/>
    <col min="891" max="891" width="6.875" customWidth="1"/>
    <col min="892" max="892" width="10" customWidth="1"/>
    <col min="893" max="893" width="9.875" customWidth="1"/>
    <col min="894" max="895" width="8.875" customWidth="1"/>
    <col min="896" max="896" width="6.875" customWidth="1"/>
    <col min="897" max="898" width="8.875" customWidth="1"/>
    <col min="899" max="899" width="6.875" customWidth="1"/>
    <col min="900" max="903" width="8.875" customWidth="1"/>
    <col min="904" max="904" width="6.875" customWidth="1"/>
    <col min="905" max="905" width="8.875" customWidth="1"/>
    <col min="906" max="906" width="10" customWidth="1"/>
    <col min="907" max="907" width="6.875" customWidth="1"/>
    <col min="908" max="908" width="11.125" bestFit="1" customWidth="1"/>
    <col min="909" max="909" width="10" customWidth="1"/>
    <col min="910" max="912" width="9.875" customWidth="1"/>
    <col min="913" max="913" width="5.625" customWidth="1"/>
    <col min="914" max="914" width="19.375" bestFit="1" customWidth="1"/>
    <col min="915" max="915" width="12.75" bestFit="1" customWidth="1"/>
    <col min="916" max="916" width="12" bestFit="1" customWidth="1"/>
    <col min="917" max="918" width="12.75" bestFit="1" customWidth="1"/>
    <col min="919" max="920" width="12" bestFit="1" customWidth="1"/>
    <col min="921" max="921" width="13.125" bestFit="1" customWidth="1"/>
  </cols>
  <sheetData>
    <row r="3" spans="1:8" x14ac:dyDescent="0.15">
      <c r="A3" s="77" t="s">
        <v>151</v>
      </c>
      <c r="B3" t="s">
        <v>372</v>
      </c>
    </row>
    <row r="4" spans="1:8" x14ac:dyDescent="0.15">
      <c r="A4" s="78" t="s">
        <v>29</v>
      </c>
      <c r="B4" s="81">
        <v>43739430.398649998</v>
      </c>
      <c r="D4" s="81"/>
    </row>
    <row r="5" spans="1:8" x14ac:dyDescent="0.15">
      <c r="A5" s="79" t="s">
        <v>182</v>
      </c>
      <c r="B5" s="81">
        <v>4479464.6160000004</v>
      </c>
    </row>
    <row r="6" spans="1:8" x14ac:dyDescent="0.15">
      <c r="A6" s="79" t="s">
        <v>230</v>
      </c>
      <c r="B6" s="81">
        <v>9740.24</v>
      </c>
      <c r="D6" s="81"/>
    </row>
    <row r="7" spans="1:8" x14ac:dyDescent="0.15">
      <c r="A7" s="79" t="s">
        <v>398</v>
      </c>
      <c r="B7" s="81">
        <v>39250225.542649999</v>
      </c>
    </row>
    <row r="8" spans="1:8" x14ac:dyDescent="0.15">
      <c r="A8" s="78" t="s">
        <v>27</v>
      </c>
      <c r="B8" s="81">
        <v>13656867.0221</v>
      </c>
      <c r="F8" s="250"/>
    </row>
    <row r="9" spans="1:8" x14ac:dyDescent="0.15">
      <c r="A9" s="79" t="s">
        <v>184</v>
      </c>
      <c r="B9" s="81">
        <v>58904.759999999995</v>
      </c>
      <c r="C9" s="81"/>
      <c r="D9" s="81"/>
      <c r="F9" s="249"/>
      <c r="G9" s="81"/>
    </row>
    <row r="10" spans="1:8" x14ac:dyDescent="0.15">
      <c r="A10" s="79" t="s">
        <v>181</v>
      </c>
      <c r="B10" s="81">
        <v>142991.54600000003</v>
      </c>
      <c r="G10" s="81"/>
    </row>
    <row r="11" spans="1:8" x14ac:dyDescent="0.15">
      <c r="A11" s="79" t="s">
        <v>182</v>
      </c>
      <c r="B11" s="81">
        <v>1465170.5026</v>
      </c>
      <c r="D11" s="81"/>
      <c r="G11" s="81"/>
    </row>
    <row r="12" spans="1:8" x14ac:dyDescent="0.15">
      <c r="A12" s="79" t="s">
        <v>494</v>
      </c>
      <c r="B12" s="81">
        <v>1986.95</v>
      </c>
      <c r="G12" s="81"/>
    </row>
    <row r="13" spans="1:8" x14ac:dyDescent="0.15">
      <c r="A13" s="79" t="s">
        <v>230</v>
      </c>
      <c r="B13" s="81">
        <v>312.39999999999998</v>
      </c>
      <c r="G13" s="81"/>
    </row>
    <row r="14" spans="1:8" x14ac:dyDescent="0.15">
      <c r="A14" s="79" t="s">
        <v>281</v>
      </c>
      <c r="B14" s="81">
        <v>3224.8</v>
      </c>
      <c r="F14" s="250"/>
      <c r="G14" s="81"/>
    </row>
    <row r="15" spans="1:8" x14ac:dyDescent="0.15">
      <c r="A15" s="79" t="s">
        <v>398</v>
      </c>
      <c r="B15" s="81">
        <v>11900000</v>
      </c>
      <c r="G15" s="81"/>
    </row>
    <row r="16" spans="1:8" x14ac:dyDescent="0.15">
      <c r="A16" s="79" t="s">
        <v>428</v>
      </c>
      <c r="B16" s="81">
        <v>34276.063499999997</v>
      </c>
      <c r="G16" s="81"/>
      <c r="H16" s="252"/>
    </row>
    <row r="17" spans="1:8" x14ac:dyDescent="0.15">
      <c r="A17" s="79" t="s">
        <v>399</v>
      </c>
      <c r="B17" s="81">
        <v>50000</v>
      </c>
      <c r="G17" s="81"/>
    </row>
    <row r="18" spans="1:8" x14ac:dyDescent="0.15">
      <c r="A18" s="78" t="s">
        <v>28</v>
      </c>
      <c r="B18" s="81">
        <v>31181859.631990004</v>
      </c>
      <c r="G18" s="81"/>
    </row>
    <row r="19" spans="1:8" x14ac:dyDescent="0.15">
      <c r="A19" s="79" t="s">
        <v>183</v>
      </c>
      <c r="B19" s="81">
        <v>1421317.4880000001</v>
      </c>
      <c r="G19" s="81"/>
    </row>
    <row r="20" spans="1:8" x14ac:dyDescent="0.15">
      <c r="A20" s="79" t="s">
        <v>184</v>
      </c>
      <c r="B20" s="81">
        <v>54714.904999999999</v>
      </c>
      <c r="F20" s="250"/>
      <c r="G20" s="251"/>
      <c r="H20" s="81"/>
    </row>
    <row r="21" spans="1:8" x14ac:dyDescent="0.15">
      <c r="A21" s="79" t="s">
        <v>181</v>
      </c>
      <c r="B21" s="81">
        <v>2087815.8546000002</v>
      </c>
      <c r="G21" s="81"/>
    </row>
    <row r="22" spans="1:8" x14ac:dyDescent="0.15">
      <c r="A22" s="79" t="s">
        <v>185</v>
      </c>
      <c r="B22" s="81">
        <v>131273.70000000001</v>
      </c>
      <c r="F22" s="249"/>
      <c r="G22" s="81"/>
    </row>
    <row r="23" spans="1:8" x14ac:dyDescent="0.15">
      <c r="A23" s="79" t="s">
        <v>182</v>
      </c>
      <c r="B23" s="81">
        <v>8291420.3238000041</v>
      </c>
    </row>
    <row r="24" spans="1:8" x14ac:dyDescent="0.15">
      <c r="A24" s="79" t="s">
        <v>186</v>
      </c>
      <c r="B24" s="81">
        <v>151544.22</v>
      </c>
    </row>
    <row r="25" spans="1:8" x14ac:dyDescent="0.15">
      <c r="A25" s="79" t="s">
        <v>187</v>
      </c>
      <c r="B25" s="81">
        <v>112122.98000000001</v>
      </c>
    </row>
    <row r="26" spans="1:8" x14ac:dyDescent="0.15">
      <c r="A26" s="79" t="s">
        <v>189</v>
      </c>
      <c r="B26" s="81">
        <v>25543.75</v>
      </c>
    </row>
    <row r="27" spans="1:8" x14ac:dyDescent="0.15">
      <c r="A27" s="79" t="s">
        <v>206</v>
      </c>
      <c r="B27" s="81">
        <v>19724.2</v>
      </c>
    </row>
    <row r="28" spans="1:8" x14ac:dyDescent="0.15">
      <c r="A28" s="79" t="s">
        <v>213</v>
      </c>
      <c r="B28" s="81">
        <v>64124.35</v>
      </c>
    </row>
    <row r="29" spans="1:8" x14ac:dyDescent="0.15">
      <c r="A29" s="79" t="s">
        <v>230</v>
      </c>
      <c r="B29" s="81">
        <v>140239.78</v>
      </c>
    </row>
    <row r="30" spans="1:8" x14ac:dyDescent="0.15">
      <c r="A30" s="79" t="s">
        <v>261</v>
      </c>
      <c r="B30" s="81">
        <v>3560350.8372399998</v>
      </c>
    </row>
    <row r="31" spans="1:8" x14ac:dyDescent="0.15">
      <c r="A31" s="79">
        <v>3.5754000000000001</v>
      </c>
      <c r="B31" s="81">
        <v>55656.05</v>
      </c>
    </row>
    <row r="32" spans="1:8" x14ac:dyDescent="0.15">
      <c r="A32" s="79" t="s">
        <v>282</v>
      </c>
      <c r="B32" s="81">
        <v>2365415.7376000001</v>
      </c>
    </row>
    <row r="33" spans="1:2" x14ac:dyDescent="0.15">
      <c r="A33" s="79">
        <v>3.5705</v>
      </c>
      <c r="B33" s="81">
        <v>2635848.0919999997</v>
      </c>
    </row>
    <row r="34" spans="1:2" x14ac:dyDescent="0.15">
      <c r="A34" s="79" t="s">
        <v>280</v>
      </c>
      <c r="B34" s="81">
        <v>80276.7</v>
      </c>
    </row>
    <row r="35" spans="1:2" x14ac:dyDescent="0.15">
      <c r="A35" s="79" t="s">
        <v>430</v>
      </c>
      <c r="B35" s="81">
        <v>49089.2</v>
      </c>
    </row>
    <row r="36" spans="1:2" x14ac:dyDescent="0.15">
      <c r="A36" s="79">
        <v>3.5745</v>
      </c>
      <c r="B36" s="81">
        <v>38581.599999999999</v>
      </c>
    </row>
    <row r="37" spans="1:2" x14ac:dyDescent="0.15">
      <c r="A37" s="79" t="s">
        <v>398</v>
      </c>
      <c r="B37" s="81">
        <v>4943424.79</v>
      </c>
    </row>
    <row r="38" spans="1:2" x14ac:dyDescent="0.15">
      <c r="A38" s="79" t="s">
        <v>431</v>
      </c>
      <c r="B38" s="81">
        <v>3370129.8217500001</v>
      </c>
    </row>
    <row r="39" spans="1:2" x14ac:dyDescent="0.15">
      <c r="A39" s="79" t="s">
        <v>432</v>
      </c>
      <c r="B39" s="81">
        <v>439967.57574999996</v>
      </c>
    </row>
    <row r="40" spans="1:2" x14ac:dyDescent="0.15">
      <c r="A40" s="79" t="s">
        <v>429</v>
      </c>
      <c r="B40" s="81">
        <v>56802.64</v>
      </c>
    </row>
    <row r="41" spans="1:2" x14ac:dyDescent="0.15">
      <c r="A41" s="79" t="s">
        <v>428</v>
      </c>
      <c r="B41" s="81">
        <v>4695.7</v>
      </c>
    </row>
    <row r="42" spans="1:2" x14ac:dyDescent="0.15">
      <c r="A42" s="79" t="s">
        <v>397</v>
      </c>
      <c r="B42" s="81">
        <v>796000</v>
      </c>
    </row>
    <row r="43" spans="1:2" x14ac:dyDescent="0.15">
      <c r="A43" s="79">
        <v>3.52</v>
      </c>
      <c r="B43" s="81">
        <v>48708.75</v>
      </c>
    </row>
    <row r="44" spans="1:2" x14ac:dyDescent="0.15">
      <c r="A44" s="79" t="s">
        <v>152</v>
      </c>
      <c r="B44" s="81"/>
    </row>
    <row r="45" spans="1:2" x14ac:dyDescent="0.15">
      <c r="A45" s="79">
        <v>3.5720000000000001</v>
      </c>
      <c r="B45" s="81">
        <v>237070.58624999999</v>
      </c>
    </row>
    <row r="46" spans="1:2" x14ac:dyDescent="0.15">
      <c r="A46" s="78" t="s">
        <v>153</v>
      </c>
      <c r="B46" s="81">
        <v>88578157.052739993</v>
      </c>
    </row>
  </sheetData>
  <pageMargins left="0.7" right="0.7" top="0.78740157499999996" bottom="0.78740157499999996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Kostenübersicht</vt:lpstr>
      <vt:lpstr>PIVOT-Tabelle 1</vt:lpstr>
      <vt:lpstr>PIVOT-Tabelle 2</vt:lpstr>
      <vt:lpstr>PIVOT-Tabelle EKP</vt:lpstr>
      <vt:lpstr>Kostenübersicht!Druckbereich</vt:lpstr>
      <vt:lpstr>Kostenübersicht!Drucktitel</vt:lpstr>
    </vt:vector>
  </TitlesOfParts>
  <Company>Rapp Gruppe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Rotzler R.</dc:creator>
  <cp:lastModifiedBy>Rotzler Ronnie</cp:lastModifiedBy>
  <cp:lastPrinted>2020-11-20T15:09:15Z</cp:lastPrinted>
  <dcterms:created xsi:type="dcterms:W3CDTF">2009-11-26T06:42:49Z</dcterms:created>
  <dcterms:modified xsi:type="dcterms:W3CDTF">2023-02-21T13:43:57Z</dcterms:modified>
</cp:coreProperties>
</file>