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10605" yWindow="-15" windowWidth="3570" windowHeight="13650" tabRatio="922"/>
  </bookViews>
  <sheets>
    <sheet name="2014" sheetId="83" r:id="rId1"/>
    <sheet name="Planung" sheetId="85" r:id="rId2"/>
  </sheets>
  <definedNames>
    <definedName name="_xlnm.Print_Area" localSheetId="1">Planung!$A$1:$CI$93</definedName>
  </definedNames>
  <calcPr calcId="145621"/>
</workbook>
</file>

<file path=xl/calcChain.xml><?xml version="1.0" encoding="utf-8"?>
<calcChain xmlns="http://schemas.openxmlformats.org/spreadsheetml/2006/main">
  <c r="AA26" i="83" l="1"/>
  <c r="AH205" i="83"/>
  <c r="AH207" i="83"/>
  <c r="AH171" i="83"/>
  <c r="AH129" i="83"/>
  <c r="AH127" i="83"/>
  <c r="AH105" i="83"/>
  <c r="AH53" i="83"/>
  <c r="AH26" i="83"/>
  <c r="AF69" i="83"/>
  <c r="AG69" i="83" s="1"/>
  <c r="AD205" i="83"/>
  <c r="AD207" i="83"/>
  <c r="AF205" i="83"/>
  <c r="AG205" i="83" s="1"/>
  <c r="AF171" i="83"/>
  <c r="AF207" i="83"/>
  <c r="AG207" i="83" s="1"/>
  <c r="AC69" i="83"/>
  <c r="AA69" i="83"/>
  <c r="AA53" i="83"/>
  <c r="AC53" i="83"/>
  <c r="AE53" i="83"/>
  <c r="AG53" i="83"/>
  <c r="AG26" i="83"/>
  <c r="AE26" i="83"/>
  <c r="AC26" i="83"/>
  <c r="AA207" i="83"/>
  <c r="AC207" i="83"/>
  <c r="AE207" i="83"/>
  <c r="AE205" i="83"/>
  <c r="AC205" i="83"/>
  <c r="AA205" i="83"/>
  <c r="AG171" i="83"/>
  <c r="AE171" i="83"/>
  <c r="AC171" i="83"/>
  <c r="AA171" i="83"/>
  <c r="AG127" i="83"/>
  <c r="AE127" i="83"/>
  <c r="AC127" i="83"/>
  <c r="AA127" i="83"/>
  <c r="AC105" i="83"/>
  <c r="AA105" i="83"/>
  <c r="AG129" i="83"/>
  <c r="AG105" i="83"/>
  <c r="AF127" i="83"/>
  <c r="Z207" i="83"/>
  <c r="AF71" i="83"/>
  <c r="AG71" i="83" s="1"/>
  <c r="AB207" i="83"/>
  <c r="Y210" i="83"/>
  <c r="X210" i="83"/>
  <c r="AB129" i="83"/>
  <c r="Z129" i="83"/>
  <c r="AB71" i="83"/>
  <c r="AC71" i="83" s="1"/>
  <c r="Z71" i="83"/>
  <c r="AA71" i="83" s="1"/>
  <c r="AD171" i="83"/>
  <c r="AD127" i="83"/>
  <c r="AD105" i="83"/>
  <c r="AE105" i="83" s="1"/>
  <c r="AD69" i="83"/>
  <c r="AE69" i="83" s="1"/>
  <c r="AH69" i="83" s="1"/>
  <c r="AD53" i="83"/>
  <c r="AD26" i="83"/>
  <c r="AF53" i="83"/>
  <c r="BR92" i="85"/>
  <c r="O92" i="85"/>
  <c r="CD92" i="85" s="1"/>
  <c r="CE91" i="85"/>
  <c r="O91" i="85"/>
  <c r="CD91" i="85" s="1"/>
  <c r="O90" i="85"/>
  <c r="CE90" i="85" s="1"/>
  <c r="BR89" i="85"/>
  <c r="O89" i="85"/>
  <c r="CD89" i="85" s="1"/>
  <c r="O88" i="85"/>
  <c r="CE88" i="85" s="1"/>
  <c r="BR87" i="85"/>
  <c r="O87" i="85"/>
  <c r="CD87" i="85" s="1"/>
  <c r="O86" i="85"/>
  <c r="CE86" i="85" s="1"/>
  <c r="BP85" i="85"/>
  <c r="O85" i="85"/>
  <c r="CD85" i="85" s="1"/>
  <c r="O84" i="85"/>
  <c r="CE84" i="85" s="1"/>
  <c r="O83" i="85"/>
  <c r="CD83" i="85" s="1"/>
  <c r="O82" i="85"/>
  <c r="CE82" i="85" s="1"/>
  <c r="BR81" i="85"/>
  <c r="O81" i="85"/>
  <c r="O80" i="85"/>
  <c r="CE80" i="85" s="1"/>
  <c r="E80" i="85"/>
  <c r="BC79" i="85"/>
  <c r="BB79" i="85"/>
  <c r="BA79" i="85"/>
  <c r="AZ79" i="85"/>
  <c r="AY79" i="85"/>
  <c r="AX79" i="85"/>
  <c r="AW79" i="85"/>
  <c r="BF79" i="85" s="1"/>
  <c r="BG79" i="85" s="1"/>
  <c r="AP79" i="85"/>
  <c r="AO79" i="85"/>
  <c r="AN79" i="85"/>
  <c r="AM79" i="85"/>
  <c r="AL79" i="85"/>
  <c r="AK79" i="85"/>
  <c r="AJ79" i="85"/>
  <c r="AH79" i="85"/>
  <c r="AC79" i="85"/>
  <c r="AB79" i="85"/>
  <c r="AA79" i="85"/>
  <c r="Z79" i="85"/>
  <c r="Y79" i="85"/>
  <c r="X79" i="85"/>
  <c r="W79" i="85"/>
  <c r="V79" i="85"/>
  <c r="M79" i="85"/>
  <c r="L79" i="85"/>
  <c r="K79" i="85"/>
  <c r="J79" i="85"/>
  <c r="I79" i="85"/>
  <c r="H79" i="85"/>
  <c r="G79" i="85"/>
  <c r="F79" i="85"/>
  <c r="P79" i="85" s="1"/>
  <c r="Q79" i="85" s="1"/>
  <c r="CD77" i="85"/>
  <c r="O77" i="85"/>
  <c r="CE77" i="85" s="1"/>
  <c r="O76" i="85"/>
  <c r="CE76" i="85" s="1"/>
  <c r="CD75" i="85"/>
  <c r="O75" i="85"/>
  <c r="CE75" i="85" s="1"/>
  <c r="O74" i="85"/>
  <c r="CE74" i="85" s="1"/>
  <c r="CD73" i="85"/>
  <c r="O73" i="85"/>
  <c r="CE73" i="85" s="1"/>
  <c r="O72" i="85"/>
  <c r="CE72" i="85" s="1"/>
  <c r="CD71" i="85"/>
  <c r="O71" i="85"/>
  <c r="CE71" i="85" s="1"/>
  <c r="O70" i="85"/>
  <c r="CE70" i="85" s="1"/>
  <c r="O69" i="85"/>
  <c r="CE69" i="85" s="1"/>
  <c r="O68" i="85"/>
  <c r="CE68" i="85" s="1"/>
  <c r="CB67" i="85"/>
  <c r="O67" i="85"/>
  <c r="CE66" i="85"/>
  <c r="CA66" i="85"/>
  <c r="BQ66" i="85"/>
  <c r="O66" i="85"/>
  <c r="CD65" i="85"/>
  <c r="BP65" i="85"/>
  <c r="CB65" i="85"/>
  <c r="O65" i="85"/>
  <c r="CE65" i="85" s="1"/>
  <c r="O64" i="85"/>
  <c r="CD64" i="85" s="1"/>
  <c r="CD63" i="85"/>
  <c r="O63" i="85"/>
  <c r="CE63" i="85" s="1"/>
  <c r="O62" i="85"/>
  <c r="CE62" i="85" s="1"/>
  <c r="CD61" i="85"/>
  <c r="O61" i="85"/>
  <c r="CE61" i="85" s="1"/>
  <c r="O60" i="85"/>
  <c r="CE60" i="85" s="1"/>
  <c r="CD59" i="85"/>
  <c r="O59" i="85"/>
  <c r="CE59" i="85" s="1"/>
  <c r="O58" i="85"/>
  <c r="CE58" i="85" s="1"/>
  <c r="CD57" i="85"/>
  <c r="O57" i="85"/>
  <c r="CE57" i="85" s="1"/>
  <c r="O56" i="85"/>
  <c r="CE56" i="85" s="1"/>
  <c r="CD55" i="85"/>
  <c r="O55" i="85"/>
  <c r="CE55" i="85" s="1"/>
  <c r="O54" i="85"/>
  <c r="CE54" i="85" s="1"/>
  <c r="E54" i="85"/>
  <c r="BC53" i="85"/>
  <c r="BB53" i="85"/>
  <c r="BA53" i="85"/>
  <c r="AZ53" i="85"/>
  <c r="AY53" i="85"/>
  <c r="AX53" i="85"/>
  <c r="AW53" i="85"/>
  <c r="BF53" i="85" s="1"/>
  <c r="BG53" i="85" s="1"/>
  <c r="AP53" i="85"/>
  <c r="AO53" i="85"/>
  <c r="AN53" i="85"/>
  <c r="AM53" i="85"/>
  <c r="AL53" i="85"/>
  <c r="AK53" i="85"/>
  <c r="AJ53" i="85"/>
  <c r="AH53" i="85"/>
  <c r="AC53" i="85"/>
  <c r="AB53" i="85"/>
  <c r="AA53" i="85"/>
  <c r="Z53" i="85"/>
  <c r="Y53" i="85"/>
  <c r="X53" i="85"/>
  <c r="W53" i="85"/>
  <c r="V53" i="85"/>
  <c r="AF53" i="85" s="1"/>
  <c r="AG53" i="85" s="1"/>
  <c r="M53" i="85"/>
  <c r="L53" i="85"/>
  <c r="K53" i="85"/>
  <c r="J53" i="85"/>
  <c r="I53" i="85"/>
  <c r="H53" i="85"/>
  <c r="G53" i="85"/>
  <c r="F53" i="85"/>
  <c r="P53" i="85" s="1"/>
  <c r="Q53" i="85" s="1"/>
  <c r="CD51" i="85"/>
  <c r="BP51" i="85"/>
  <c r="CB51" i="85"/>
  <c r="O51" i="85"/>
  <c r="CE51" i="85" s="1"/>
  <c r="O50" i="85"/>
  <c r="CA50" i="85" s="1"/>
  <c r="BR49" i="85"/>
  <c r="O49" i="85"/>
  <c r="CA48" i="85"/>
  <c r="BQ48" i="85"/>
  <c r="O48" i="85"/>
  <c r="BP47" i="85"/>
  <c r="BR47" i="85"/>
  <c r="O47" i="85"/>
  <c r="CA47" i="85" s="1"/>
  <c r="BY47" i="85" s="1"/>
  <c r="O46" i="85"/>
  <c r="CA46" i="85" s="1"/>
  <c r="CB45" i="85"/>
  <c r="O45" i="85"/>
  <c r="CA44" i="85"/>
  <c r="BX44" i="85" s="1"/>
  <c r="O44" i="85"/>
  <c r="CD43" i="85"/>
  <c r="BP43" i="85"/>
  <c r="CB43" i="85"/>
  <c r="O43" i="85"/>
  <c r="CE43" i="85" s="1"/>
  <c r="O42" i="85"/>
  <c r="CA42" i="85" s="1"/>
  <c r="CB41" i="85"/>
  <c r="O41" i="85"/>
  <c r="O40" i="85"/>
  <c r="CC40" i="85" s="1"/>
  <c r="CD39" i="85"/>
  <c r="O39" i="85"/>
  <c r="CE39" i="85" s="1"/>
  <c r="O38" i="85"/>
  <c r="CE38" i="85" s="1"/>
  <c r="CD37" i="85"/>
  <c r="O37" i="85"/>
  <c r="CE37" i="85" s="1"/>
  <c r="O36" i="85"/>
  <c r="CE36" i="85" s="1"/>
  <c r="CD35" i="85"/>
  <c r="O35" i="85"/>
  <c r="CE35" i="85" s="1"/>
  <c r="O34" i="85"/>
  <c r="CE34" i="85" s="1"/>
  <c r="CD33" i="85"/>
  <c r="O33" i="85"/>
  <c r="CE33" i="85" s="1"/>
  <c r="O32" i="85"/>
  <c r="CE32" i="85" s="1"/>
  <c r="CD31" i="85"/>
  <c r="O31" i="85"/>
  <c r="CE31" i="85" s="1"/>
  <c r="O30" i="85"/>
  <c r="CE30" i="85" s="1"/>
  <c r="CD29" i="85"/>
  <c r="O29" i="85"/>
  <c r="CE29" i="85" s="1"/>
  <c r="O28" i="85"/>
  <c r="CE28" i="85" s="1"/>
  <c r="CD27" i="85"/>
  <c r="O27" i="85"/>
  <c r="CE27" i="85" s="1"/>
  <c r="O26" i="85"/>
  <c r="CE26" i="85" s="1"/>
  <c r="CD25" i="85"/>
  <c r="O25" i="85"/>
  <c r="CE25" i="85" s="1"/>
  <c r="O24" i="85"/>
  <c r="CE24" i="85" s="1"/>
  <c r="CD23" i="85"/>
  <c r="O23" i="85"/>
  <c r="CE23" i="85" s="1"/>
  <c r="O22" i="85"/>
  <c r="CE22" i="85" s="1"/>
  <c r="BP21" i="85"/>
  <c r="CD21" i="85"/>
  <c r="O21" i="85"/>
  <c r="CE21" i="85" s="1"/>
  <c r="O20" i="85"/>
  <c r="CE20" i="85" s="1"/>
  <c r="CB19" i="85"/>
  <c r="O19" i="85"/>
  <c r="CE18" i="85"/>
  <c r="CA18" i="85"/>
  <c r="BQ18" i="85"/>
  <c r="O18" i="85"/>
  <c r="CD17" i="85"/>
  <c r="O17" i="85"/>
  <c r="O16" i="85"/>
  <c r="CE16" i="85" s="1"/>
  <c r="CD15" i="85"/>
  <c r="O15" i="85"/>
  <c r="CE15" i="85" s="1"/>
  <c r="O14" i="85"/>
  <c r="CE14" i="85" s="1"/>
  <c r="CD13" i="85"/>
  <c r="O13" i="85"/>
  <c r="CE13" i="85" s="1"/>
  <c r="E13" i="85"/>
  <c r="BC12" i="85"/>
  <c r="BB12" i="85"/>
  <c r="BA12" i="85"/>
  <c r="AZ12" i="85"/>
  <c r="AY12" i="85"/>
  <c r="AX12" i="85"/>
  <c r="AW12" i="85"/>
  <c r="AP12" i="85"/>
  <c r="AO12" i="85"/>
  <c r="AN12" i="85"/>
  <c r="AM12" i="85"/>
  <c r="AL12" i="85"/>
  <c r="AK12" i="85"/>
  <c r="AJ12" i="85"/>
  <c r="AS12" i="85" s="1"/>
  <c r="AT12" i="85" s="1"/>
  <c r="AC12" i="85"/>
  <c r="AB12" i="85"/>
  <c r="AA12" i="85"/>
  <c r="Z12" i="85"/>
  <c r="Y12" i="85"/>
  <c r="X12" i="85"/>
  <c r="W12" i="85"/>
  <c r="V12" i="85"/>
  <c r="AF12" i="85" s="1"/>
  <c r="AG12" i="85" s="1"/>
  <c r="M12" i="85"/>
  <c r="L12" i="85"/>
  <c r="K12" i="85"/>
  <c r="J12" i="85"/>
  <c r="I12" i="85"/>
  <c r="H12" i="85"/>
  <c r="G12" i="85"/>
  <c r="F12" i="85"/>
  <c r="P12" i="85" s="1"/>
  <c r="Q12" i="85" s="1"/>
  <c r="CD8" i="85"/>
  <c r="O8" i="85"/>
  <c r="CE8" i="85" s="1"/>
  <c r="O7" i="85"/>
  <c r="CE7" i="85" s="1"/>
  <c r="E7" i="85"/>
  <c r="BC6" i="85"/>
  <c r="BB6" i="85"/>
  <c r="BA6" i="85"/>
  <c r="AZ6" i="85"/>
  <c r="AY6" i="85"/>
  <c r="AX6" i="85"/>
  <c r="AW6" i="85"/>
  <c r="BF6" i="85" s="1"/>
  <c r="AP6" i="85"/>
  <c r="AO6" i="85"/>
  <c r="AN6" i="85"/>
  <c r="AM6" i="85"/>
  <c r="AL6" i="85"/>
  <c r="AK6" i="85"/>
  <c r="AS6" i="85" s="1"/>
  <c r="AJ6" i="85"/>
  <c r="AC6" i="85"/>
  <c r="AB6" i="85"/>
  <c r="AA6" i="85"/>
  <c r="Z6" i="85"/>
  <c r="Y6" i="85"/>
  <c r="X6" i="85"/>
  <c r="W6" i="85"/>
  <c r="V6" i="85"/>
  <c r="AF6" i="85" s="1"/>
  <c r="M6" i="85"/>
  <c r="L6" i="85"/>
  <c r="K6" i="85"/>
  <c r="J6" i="85"/>
  <c r="I6" i="85"/>
  <c r="H6" i="85"/>
  <c r="G6" i="85"/>
  <c r="F6" i="85"/>
  <c r="P6" i="85" s="1"/>
  <c r="BH4" i="85"/>
  <c r="AU4" i="85"/>
  <c r="AH4" i="85"/>
  <c r="R4" i="85"/>
  <c r="AB210" i="83" l="1"/>
  <c r="Z210" i="83"/>
  <c r="AD71" i="83"/>
  <c r="AE71" i="83" s="1"/>
  <c r="AH71" i="83" s="1"/>
  <c r="AC129" i="83"/>
  <c r="AA129" i="83"/>
  <c r="AF129" i="83"/>
  <c r="AD129" i="83"/>
  <c r="AE129" i="83" s="1"/>
  <c r="BF12" i="85"/>
  <c r="BG12" i="85" s="1"/>
  <c r="BW18" i="85"/>
  <c r="BW48" i="85"/>
  <c r="AS53" i="85"/>
  <c r="AT53" i="85" s="1"/>
  <c r="AS79" i="85"/>
  <c r="AT79" i="85" s="1"/>
  <c r="AF79" i="85"/>
  <c r="AG79" i="85" s="1"/>
  <c r="BW66" i="85"/>
  <c r="BV44" i="85"/>
  <c r="BX47" i="85"/>
  <c r="Q6" i="85"/>
  <c r="Q4" i="85" s="1"/>
  <c r="P4" i="85"/>
  <c r="AG6" i="85"/>
  <c r="AG4" i="85" s="1"/>
  <c r="AT6" i="85"/>
  <c r="BG6" i="85"/>
  <c r="BF4" i="85"/>
  <c r="BP7" i="85"/>
  <c r="BR7" i="85"/>
  <c r="CB7" i="85"/>
  <c r="CD7" i="85"/>
  <c r="BO8" i="85"/>
  <c r="BQ8" i="85"/>
  <c r="CA8" i="85"/>
  <c r="CC8" i="85"/>
  <c r="BO13" i="85"/>
  <c r="BQ13" i="85"/>
  <c r="CA13" i="85"/>
  <c r="CC13" i="85"/>
  <c r="BP14" i="85"/>
  <c r="BR14" i="85"/>
  <c r="CB14" i="85"/>
  <c r="CD14" i="85"/>
  <c r="BO15" i="85"/>
  <c r="BQ15" i="85"/>
  <c r="CA15" i="85"/>
  <c r="CC15" i="85"/>
  <c r="BP16" i="85"/>
  <c r="BR16" i="85"/>
  <c r="CB16" i="85"/>
  <c r="CD16" i="85"/>
  <c r="CE17" i="85"/>
  <c r="CC17" i="85"/>
  <c r="CA17" i="85"/>
  <c r="BQ17" i="85"/>
  <c r="BO17" i="85"/>
  <c r="BT17" i="85" s="1"/>
  <c r="BR17" i="85"/>
  <c r="CB17" i="85"/>
  <c r="CD18" i="85"/>
  <c r="CB18" i="85"/>
  <c r="BR18" i="85"/>
  <c r="BX18" i="85" s="1"/>
  <c r="BP18" i="85"/>
  <c r="BV18" i="85" s="1"/>
  <c r="BO18" i="85"/>
  <c r="BT18" i="85" s="1"/>
  <c r="CC18" i="85"/>
  <c r="CE19" i="85"/>
  <c r="BP19" i="85"/>
  <c r="CD19" i="85"/>
  <c r="BQ20" i="85"/>
  <c r="CA20" i="85"/>
  <c r="BR21" i="85"/>
  <c r="CB21" i="85"/>
  <c r="BY50" i="85"/>
  <c r="BU50" i="85"/>
  <c r="BO7" i="85"/>
  <c r="BQ7" i="85"/>
  <c r="CA7" i="85"/>
  <c r="CC7" i="85"/>
  <c r="BP8" i="85"/>
  <c r="BV8" i="85" s="1"/>
  <c r="BR8" i="85"/>
  <c r="CB8" i="85"/>
  <c r="BP13" i="85"/>
  <c r="BV13" i="85" s="1"/>
  <c r="BR13" i="85"/>
  <c r="BX13" i="85" s="1"/>
  <c r="CB13" i="85"/>
  <c r="BO14" i="85"/>
  <c r="BQ14" i="85"/>
  <c r="CA14" i="85"/>
  <c r="CC14" i="85"/>
  <c r="BP15" i="85"/>
  <c r="BV15" i="85" s="1"/>
  <c r="BR15" i="85"/>
  <c r="BX15" i="85" s="1"/>
  <c r="CB15" i="85"/>
  <c r="BO16" i="85"/>
  <c r="BQ16" i="85"/>
  <c r="CA16" i="85"/>
  <c r="CC16" i="85"/>
  <c r="BP17" i="85"/>
  <c r="BV17" i="85" s="1"/>
  <c r="BY18" i="85"/>
  <c r="BU18" i="85"/>
  <c r="BR19" i="85"/>
  <c r="CD20" i="85"/>
  <c r="CB20" i="85"/>
  <c r="BR20" i="85"/>
  <c r="BX20" i="85" s="1"/>
  <c r="BP20" i="85"/>
  <c r="BV20" i="85" s="1"/>
  <c r="BO20" i="85"/>
  <c r="BT20" i="85" s="1"/>
  <c r="CC20" i="85"/>
  <c r="BY42" i="85"/>
  <c r="BW42" i="85"/>
  <c r="BU42" i="85"/>
  <c r="BX42" i="85"/>
  <c r="BT42" i="85"/>
  <c r="BV42" i="85"/>
  <c r="BY46" i="85"/>
  <c r="BU46" i="85"/>
  <c r="BO19" i="85"/>
  <c r="BQ19" i="85"/>
  <c r="CA19" i="85"/>
  <c r="CC19" i="85"/>
  <c r="BO21" i="85"/>
  <c r="BQ21" i="85"/>
  <c r="CA21" i="85"/>
  <c r="CC21" i="85"/>
  <c r="BP22" i="85"/>
  <c r="BR22" i="85"/>
  <c r="CB22" i="85"/>
  <c r="CD22" i="85"/>
  <c r="BO23" i="85"/>
  <c r="BQ23" i="85"/>
  <c r="CA23" i="85"/>
  <c r="CC23" i="85"/>
  <c r="BP24" i="85"/>
  <c r="BR24" i="85"/>
  <c r="CB24" i="85"/>
  <c r="CD24" i="85"/>
  <c r="BO25" i="85"/>
  <c r="BQ25" i="85"/>
  <c r="CA25" i="85"/>
  <c r="CC25" i="85"/>
  <c r="BP26" i="85"/>
  <c r="BR26" i="85"/>
  <c r="CB26" i="85"/>
  <c r="CD26" i="85"/>
  <c r="BO27" i="85"/>
  <c r="BQ27" i="85"/>
  <c r="CA27" i="85"/>
  <c r="CC27" i="85"/>
  <c r="BP28" i="85"/>
  <c r="BR28" i="85"/>
  <c r="CB28" i="85"/>
  <c r="CD28" i="85"/>
  <c r="BO29" i="85"/>
  <c r="BQ29" i="85"/>
  <c r="CA29" i="85"/>
  <c r="CC29" i="85"/>
  <c r="BP30" i="85"/>
  <c r="BR30" i="85"/>
  <c r="CB30" i="85"/>
  <c r="CD30" i="85"/>
  <c r="BO31" i="85"/>
  <c r="BQ31" i="85"/>
  <c r="CA31" i="85"/>
  <c r="CC31" i="85"/>
  <c r="BP32" i="85"/>
  <c r="BR32" i="85"/>
  <c r="CB32" i="85"/>
  <c r="CD32" i="85"/>
  <c r="BO33" i="85"/>
  <c r="BQ33" i="85"/>
  <c r="CA33" i="85"/>
  <c r="CC33" i="85"/>
  <c r="BP34" i="85"/>
  <c r="BR34" i="85"/>
  <c r="CB34" i="85"/>
  <c r="CD34" i="85"/>
  <c r="BO35" i="85"/>
  <c r="BQ35" i="85"/>
  <c r="CA35" i="85"/>
  <c r="CC35" i="85"/>
  <c r="BP36" i="85"/>
  <c r="BR36" i="85"/>
  <c r="CB36" i="85"/>
  <c r="CD36" i="85"/>
  <c r="BO37" i="85"/>
  <c r="BQ37" i="85"/>
  <c r="CA37" i="85"/>
  <c r="CC37" i="85"/>
  <c r="BP38" i="85"/>
  <c r="BR38" i="85"/>
  <c r="CB38" i="85"/>
  <c r="CD38" i="85"/>
  <c r="BO39" i="85"/>
  <c r="BQ39" i="85"/>
  <c r="CA39" i="85"/>
  <c r="CC39" i="85"/>
  <c r="BP40" i="85"/>
  <c r="BR40" i="85"/>
  <c r="CE41" i="85"/>
  <c r="BP41" i="85"/>
  <c r="CD41" i="85"/>
  <c r="BR43" i="85"/>
  <c r="BT44" i="85"/>
  <c r="CE45" i="85"/>
  <c r="BP45" i="85"/>
  <c r="CD45" i="85"/>
  <c r="BQ46" i="85"/>
  <c r="BW46" i="85" s="1"/>
  <c r="BR48" i="85"/>
  <c r="BX48" i="85" s="1"/>
  <c r="BP48" i="85"/>
  <c r="BV48" i="85" s="1"/>
  <c r="BO48" i="85"/>
  <c r="BT48" i="85" s="1"/>
  <c r="CA49" i="85"/>
  <c r="BP49" i="85"/>
  <c r="BQ50" i="85"/>
  <c r="BW50" i="85" s="1"/>
  <c r="BR51" i="85"/>
  <c r="BO22" i="85"/>
  <c r="BQ22" i="85"/>
  <c r="CA22" i="85"/>
  <c r="CC22" i="85"/>
  <c r="BP23" i="85"/>
  <c r="BV23" i="85" s="1"/>
  <c r="BR23" i="85"/>
  <c r="BX23" i="85" s="1"/>
  <c r="CB23" i="85"/>
  <c r="BO24" i="85"/>
  <c r="BQ24" i="85"/>
  <c r="CA24" i="85"/>
  <c r="CC24" i="85"/>
  <c r="BP25" i="85"/>
  <c r="BV25" i="85" s="1"/>
  <c r="BR25" i="85"/>
  <c r="BX25" i="85" s="1"/>
  <c r="CB25" i="85"/>
  <c r="BO26" i="85"/>
  <c r="BQ26" i="85"/>
  <c r="CA26" i="85"/>
  <c r="CC26" i="85"/>
  <c r="BP27" i="85"/>
  <c r="BV27" i="85" s="1"/>
  <c r="BR27" i="85"/>
  <c r="BX27" i="85" s="1"/>
  <c r="CB27" i="85"/>
  <c r="BO28" i="85"/>
  <c r="BQ28" i="85"/>
  <c r="CA28" i="85"/>
  <c r="CC28" i="85"/>
  <c r="BP29" i="85"/>
  <c r="BV29" i="85" s="1"/>
  <c r="BR29" i="85"/>
  <c r="BX29" i="85" s="1"/>
  <c r="CB29" i="85"/>
  <c r="BO30" i="85"/>
  <c r="BQ30" i="85"/>
  <c r="CA30" i="85"/>
  <c r="CC30" i="85"/>
  <c r="BP31" i="85"/>
  <c r="BV31" i="85" s="1"/>
  <c r="BR31" i="85"/>
  <c r="BX31" i="85" s="1"/>
  <c r="CB31" i="85"/>
  <c r="BO32" i="85"/>
  <c r="BQ32" i="85"/>
  <c r="CA32" i="85"/>
  <c r="CC32" i="85"/>
  <c r="BP33" i="85"/>
  <c r="BV33" i="85" s="1"/>
  <c r="BR33" i="85"/>
  <c r="BX33" i="85" s="1"/>
  <c r="CB33" i="85"/>
  <c r="BO34" i="85"/>
  <c r="BQ34" i="85"/>
  <c r="CA34" i="85"/>
  <c r="CC34" i="85"/>
  <c r="BP35" i="85"/>
  <c r="BV35" i="85" s="1"/>
  <c r="BR35" i="85"/>
  <c r="BX35" i="85" s="1"/>
  <c r="CB35" i="85"/>
  <c r="BO36" i="85"/>
  <c r="BQ36" i="85"/>
  <c r="CA36" i="85"/>
  <c r="CC36" i="85"/>
  <c r="BP37" i="85"/>
  <c r="BV37" i="85" s="1"/>
  <c r="BR37" i="85"/>
  <c r="BX37" i="85" s="1"/>
  <c r="CB37" i="85"/>
  <c r="BO38" i="85"/>
  <c r="BQ38" i="85"/>
  <c r="CA38" i="85"/>
  <c r="CC38" i="85"/>
  <c r="BP39" i="85"/>
  <c r="BV39" i="85" s="1"/>
  <c r="BR39" i="85"/>
  <c r="BX39" i="85" s="1"/>
  <c r="CB39" i="85"/>
  <c r="CD40" i="85"/>
  <c r="CB40" i="85"/>
  <c r="BO40" i="85"/>
  <c r="BQ40" i="85"/>
  <c r="CA40" i="85"/>
  <c r="CE40" i="85"/>
  <c r="BR41" i="85"/>
  <c r="BY44" i="85"/>
  <c r="BW44" i="85"/>
  <c r="BU44" i="85"/>
  <c r="BR45" i="85"/>
  <c r="BR46" i="85"/>
  <c r="BX46" i="85" s="1"/>
  <c r="BP46" i="85"/>
  <c r="BV46" i="85" s="1"/>
  <c r="BO46" i="85"/>
  <c r="BT46" i="85" s="1"/>
  <c r="BV47" i="85"/>
  <c r="BU47" i="85"/>
  <c r="BY48" i="85"/>
  <c r="BU48" i="85"/>
  <c r="BR50" i="85"/>
  <c r="BX50" i="85" s="1"/>
  <c r="BP50" i="85"/>
  <c r="BV50" i="85" s="1"/>
  <c r="BO50" i="85"/>
  <c r="BT50" i="85" s="1"/>
  <c r="BO41" i="85"/>
  <c r="BQ41" i="85"/>
  <c r="CA41" i="85"/>
  <c r="CC41" i="85"/>
  <c r="BO43" i="85"/>
  <c r="BQ43" i="85"/>
  <c r="CA43" i="85"/>
  <c r="CC43" i="85"/>
  <c r="BO45" i="85"/>
  <c r="BQ45" i="85"/>
  <c r="CA45" i="85"/>
  <c r="CC45" i="85"/>
  <c r="BO47" i="85"/>
  <c r="BT47" i="85" s="1"/>
  <c r="BQ47" i="85"/>
  <c r="BW47" i="85" s="1"/>
  <c r="BO49" i="85"/>
  <c r="BT49" i="85" s="1"/>
  <c r="BQ49" i="85"/>
  <c r="BW49" i="85" s="1"/>
  <c r="BO51" i="85"/>
  <c r="BQ51" i="85"/>
  <c r="CA51" i="85"/>
  <c r="CC51" i="85"/>
  <c r="BP54" i="85"/>
  <c r="BR54" i="85"/>
  <c r="CB54" i="85"/>
  <c r="CD54" i="85"/>
  <c r="BO55" i="85"/>
  <c r="BQ55" i="85"/>
  <c r="CA55" i="85"/>
  <c r="CC55" i="85"/>
  <c r="BP56" i="85"/>
  <c r="BR56" i="85"/>
  <c r="CB56" i="85"/>
  <c r="CD56" i="85"/>
  <c r="BO57" i="85"/>
  <c r="BQ57" i="85"/>
  <c r="CA57" i="85"/>
  <c r="CC57" i="85"/>
  <c r="BP58" i="85"/>
  <c r="BR58" i="85"/>
  <c r="CB58" i="85"/>
  <c r="CD58" i="85"/>
  <c r="BO59" i="85"/>
  <c r="BQ59" i="85"/>
  <c r="CA59" i="85"/>
  <c r="CC59" i="85"/>
  <c r="BP60" i="85"/>
  <c r="BR60" i="85"/>
  <c r="CB60" i="85"/>
  <c r="CD60" i="85"/>
  <c r="BO61" i="85"/>
  <c r="BQ61" i="85"/>
  <c r="CA61" i="85"/>
  <c r="CC61" i="85"/>
  <c r="BP62" i="85"/>
  <c r="BR62" i="85"/>
  <c r="CB62" i="85"/>
  <c r="CD62" i="85"/>
  <c r="BO63" i="85"/>
  <c r="BQ63" i="85"/>
  <c r="CA63" i="85"/>
  <c r="CC63" i="85"/>
  <c r="BP64" i="85"/>
  <c r="BR64" i="85"/>
  <c r="CB64" i="85"/>
  <c r="CE64" i="85"/>
  <c r="BR65" i="85"/>
  <c r="CD66" i="85"/>
  <c r="CB66" i="85"/>
  <c r="BR66" i="85"/>
  <c r="BX66" i="85" s="1"/>
  <c r="BP66" i="85"/>
  <c r="BV66" i="85" s="1"/>
  <c r="BO66" i="85"/>
  <c r="BT66" i="85" s="1"/>
  <c r="CC66" i="85"/>
  <c r="CE67" i="85"/>
  <c r="BP67" i="85"/>
  <c r="CD67" i="85"/>
  <c r="BQ68" i="85"/>
  <c r="CA68" i="85"/>
  <c r="CD69" i="85"/>
  <c r="CB69" i="85"/>
  <c r="BR69" i="85"/>
  <c r="BP69" i="85"/>
  <c r="BO54" i="85"/>
  <c r="BQ54" i="85"/>
  <c r="CA54" i="85"/>
  <c r="CC54" i="85"/>
  <c r="BP55" i="85"/>
  <c r="BV55" i="85" s="1"/>
  <c r="BR55" i="85"/>
  <c r="BX55" i="85" s="1"/>
  <c r="CB55" i="85"/>
  <c r="BO56" i="85"/>
  <c r="BQ56" i="85"/>
  <c r="CA56" i="85"/>
  <c r="CC56" i="85"/>
  <c r="BP57" i="85"/>
  <c r="BV57" i="85" s="1"/>
  <c r="BR57" i="85"/>
  <c r="BX57" i="85" s="1"/>
  <c r="CB57" i="85"/>
  <c r="BO58" i="85"/>
  <c r="BQ58" i="85"/>
  <c r="CA58" i="85"/>
  <c r="CC58" i="85"/>
  <c r="BP59" i="85"/>
  <c r="BV59" i="85" s="1"/>
  <c r="BR59" i="85"/>
  <c r="BX59" i="85" s="1"/>
  <c r="CB59" i="85"/>
  <c r="BO60" i="85"/>
  <c r="BQ60" i="85"/>
  <c r="CA60" i="85"/>
  <c r="CC60" i="85"/>
  <c r="BP61" i="85"/>
  <c r="BV61" i="85" s="1"/>
  <c r="BR61" i="85"/>
  <c r="BX61" i="85" s="1"/>
  <c r="CB61" i="85"/>
  <c r="BO62" i="85"/>
  <c r="BQ62" i="85"/>
  <c r="CA62" i="85"/>
  <c r="CC62" i="85"/>
  <c r="BP63" i="85"/>
  <c r="BV63" i="85" s="1"/>
  <c r="BR63" i="85"/>
  <c r="BX63" i="85" s="1"/>
  <c r="CB63" i="85"/>
  <c r="BO64" i="85"/>
  <c r="BQ64" i="85"/>
  <c r="CA64" i="85"/>
  <c r="CC64" i="85"/>
  <c r="BY66" i="85"/>
  <c r="BU66" i="85"/>
  <c r="BR67" i="85"/>
  <c r="CD68" i="85"/>
  <c r="CB68" i="85"/>
  <c r="BR68" i="85"/>
  <c r="BX68" i="85" s="1"/>
  <c r="BP68" i="85"/>
  <c r="BV68" i="85" s="1"/>
  <c r="BO68" i="85"/>
  <c r="BT68" i="85" s="1"/>
  <c r="CC68" i="85"/>
  <c r="BO65" i="85"/>
  <c r="BQ65" i="85"/>
  <c r="CA65" i="85"/>
  <c r="CC65" i="85"/>
  <c r="BO67" i="85"/>
  <c r="BQ67" i="85"/>
  <c r="CA67" i="85"/>
  <c r="CC67" i="85"/>
  <c r="BO69" i="85"/>
  <c r="BQ69" i="85"/>
  <c r="CA69" i="85"/>
  <c r="CC69" i="85"/>
  <c r="BP70" i="85"/>
  <c r="BR70" i="85"/>
  <c r="CB70" i="85"/>
  <c r="CD70" i="85"/>
  <c r="BO71" i="85"/>
  <c r="BQ71" i="85"/>
  <c r="CA71" i="85"/>
  <c r="CC71" i="85"/>
  <c r="BP72" i="85"/>
  <c r="BR72" i="85"/>
  <c r="CB72" i="85"/>
  <c r="CD72" i="85"/>
  <c r="BO73" i="85"/>
  <c r="BQ73" i="85"/>
  <c r="CA73" i="85"/>
  <c r="CC73" i="85"/>
  <c r="BP74" i="85"/>
  <c r="BR74" i="85"/>
  <c r="CB74" i="85"/>
  <c r="CD74" i="85"/>
  <c r="BO75" i="85"/>
  <c r="BQ75" i="85"/>
  <c r="CA75" i="85"/>
  <c r="CC75" i="85"/>
  <c r="BP76" i="85"/>
  <c r="BR76" i="85"/>
  <c r="CB76" i="85"/>
  <c r="CD76" i="85"/>
  <c r="BO77" i="85"/>
  <c r="BQ77" i="85"/>
  <c r="CA77" i="85"/>
  <c r="CC77" i="85"/>
  <c r="BP80" i="85"/>
  <c r="BR80" i="85"/>
  <c r="CB80" i="85"/>
  <c r="CD80" i="85"/>
  <c r="CD81" i="85"/>
  <c r="CE81" i="85"/>
  <c r="CC81" i="85"/>
  <c r="CA81" i="85"/>
  <c r="BX81" i="85" s="1"/>
  <c r="BO81" i="85"/>
  <c r="BQ81" i="85"/>
  <c r="BW81" i="85" s="1"/>
  <c r="CB81" i="85"/>
  <c r="BO70" i="85"/>
  <c r="BQ70" i="85"/>
  <c r="CA70" i="85"/>
  <c r="CC70" i="85"/>
  <c r="BP71" i="85"/>
  <c r="BV71" i="85" s="1"/>
  <c r="BR71" i="85"/>
  <c r="BX71" i="85" s="1"/>
  <c r="CB71" i="85"/>
  <c r="BO72" i="85"/>
  <c r="BQ72" i="85"/>
  <c r="CA72" i="85"/>
  <c r="CC72" i="85"/>
  <c r="BP73" i="85"/>
  <c r="BV73" i="85" s="1"/>
  <c r="BR73" i="85"/>
  <c r="BX73" i="85" s="1"/>
  <c r="CB73" i="85"/>
  <c r="BO74" i="85"/>
  <c r="BQ74" i="85"/>
  <c r="CA74" i="85"/>
  <c r="CC74" i="85"/>
  <c r="BP75" i="85"/>
  <c r="BV75" i="85" s="1"/>
  <c r="BR75" i="85"/>
  <c r="BX75" i="85" s="1"/>
  <c r="CB75" i="85"/>
  <c r="BO76" i="85"/>
  <c r="BQ76" i="85"/>
  <c r="CA76" i="85"/>
  <c r="CC76" i="85"/>
  <c r="BP77" i="85"/>
  <c r="BV77" i="85" s="1"/>
  <c r="BR77" i="85"/>
  <c r="BX77" i="85" s="1"/>
  <c r="CB77" i="85"/>
  <c r="BO80" i="85"/>
  <c r="BQ80" i="85"/>
  <c r="CA80" i="85"/>
  <c r="CC80" i="85"/>
  <c r="BP81" i="85"/>
  <c r="BV81" i="85" s="1"/>
  <c r="BP82" i="85"/>
  <c r="BR82" i="85"/>
  <c r="CB82" i="85"/>
  <c r="CD82" i="85"/>
  <c r="BO83" i="85"/>
  <c r="BQ83" i="85"/>
  <c r="CA83" i="85"/>
  <c r="CC83" i="85"/>
  <c r="CE83" i="85"/>
  <c r="BP84" i="85"/>
  <c r="BR84" i="85"/>
  <c r="CB84" i="85"/>
  <c r="CD84" i="85"/>
  <c r="BO85" i="85"/>
  <c r="BQ85" i="85"/>
  <c r="CA85" i="85"/>
  <c r="CC85" i="85"/>
  <c r="CE85" i="85"/>
  <c r="BP86" i="85"/>
  <c r="BR86" i="85"/>
  <c r="CB86" i="85"/>
  <c r="CD86" i="85"/>
  <c r="BO87" i="85"/>
  <c r="BQ87" i="85"/>
  <c r="CA87" i="85"/>
  <c r="CC87" i="85"/>
  <c r="CE87" i="85"/>
  <c r="BP88" i="85"/>
  <c r="BR88" i="85"/>
  <c r="CB88" i="85"/>
  <c r="CD88" i="85"/>
  <c r="BO89" i="85"/>
  <c r="BQ89" i="85"/>
  <c r="CA89" i="85"/>
  <c r="CC89" i="85"/>
  <c r="CE89" i="85"/>
  <c r="BP90" i="85"/>
  <c r="BR90" i="85"/>
  <c r="CB90" i="85"/>
  <c r="CD90" i="85"/>
  <c r="BP91" i="85"/>
  <c r="BR91" i="85"/>
  <c r="CB91" i="85"/>
  <c r="BO92" i="85"/>
  <c r="BQ92" i="85"/>
  <c r="CA92" i="85"/>
  <c r="CC92" i="85"/>
  <c r="CE92" i="85"/>
  <c r="BO82" i="85"/>
  <c r="BQ82" i="85"/>
  <c r="CA82" i="85"/>
  <c r="CC82" i="85"/>
  <c r="BP83" i="85"/>
  <c r="BV83" i="85" s="1"/>
  <c r="BR83" i="85"/>
  <c r="BX83" i="85" s="1"/>
  <c r="CB83" i="85"/>
  <c r="BO84" i="85"/>
  <c r="BQ84" i="85"/>
  <c r="CA84" i="85"/>
  <c r="CC84" i="85"/>
  <c r="BR85" i="85"/>
  <c r="BX85" i="85" s="1"/>
  <c r="CB85" i="85"/>
  <c r="BO86" i="85"/>
  <c r="BQ86" i="85"/>
  <c r="CA86" i="85"/>
  <c r="CC86" i="85"/>
  <c r="BP87" i="85"/>
  <c r="BV87" i="85" s="1"/>
  <c r="CB87" i="85"/>
  <c r="BO88" i="85"/>
  <c r="BQ88" i="85"/>
  <c r="CA88" i="85"/>
  <c r="CC88" i="85"/>
  <c r="BP89" i="85"/>
  <c r="BV89" i="85" s="1"/>
  <c r="CB89" i="85"/>
  <c r="BO90" i="85"/>
  <c r="BQ90" i="85"/>
  <c r="CA90" i="85"/>
  <c r="CC90" i="85"/>
  <c r="BO91" i="85"/>
  <c r="BQ91" i="85"/>
  <c r="CA91" i="85"/>
  <c r="CC91" i="85"/>
  <c r="BP92" i="85"/>
  <c r="BV92" i="85" s="1"/>
  <c r="CB92" i="85"/>
  <c r="AF210" i="83" l="1"/>
  <c r="AD210" i="83"/>
  <c r="BW51" i="85"/>
  <c r="BW45" i="85"/>
  <c r="BW43" i="85"/>
  <c r="BW41" i="85"/>
  <c r="BW38" i="85"/>
  <c r="BW34" i="85"/>
  <c r="BW30" i="85"/>
  <c r="BW26" i="85"/>
  <c r="BW22" i="85"/>
  <c r="BV49" i="85"/>
  <c r="BW39" i="85"/>
  <c r="BW37" i="85"/>
  <c r="BW35" i="85"/>
  <c r="BW33" i="85"/>
  <c r="BW31" i="85"/>
  <c r="BW29" i="85"/>
  <c r="BW27" i="85"/>
  <c r="BW25" i="85"/>
  <c r="BW23" i="85"/>
  <c r="BW21" i="85"/>
  <c r="BW19" i="85"/>
  <c r="BX19" i="85"/>
  <c r="BW16" i="85"/>
  <c r="BW20" i="85"/>
  <c r="BG4" i="85"/>
  <c r="BX8" i="85"/>
  <c r="BW68" i="85"/>
  <c r="AT4" i="85"/>
  <c r="AS4" i="85"/>
  <c r="BW91" i="85"/>
  <c r="BW90" i="85"/>
  <c r="BW88" i="85"/>
  <c r="BW86" i="85"/>
  <c r="BW84" i="85"/>
  <c r="BW92" i="85"/>
  <c r="BW89" i="85"/>
  <c r="BW85" i="85"/>
  <c r="BT81" i="85"/>
  <c r="AF4" i="85"/>
  <c r="BW76" i="85"/>
  <c r="BW72" i="85"/>
  <c r="BW62" i="85"/>
  <c r="BW58" i="85"/>
  <c r="BW54" i="85"/>
  <c r="BW57" i="85"/>
  <c r="BW55" i="85"/>
  <c r="BY82" i="85"/>
  <c r="BU82" i="85"/>
  <c r="BT82" i="85"/>
  <c r="BV91" i="85"/>
  <c r="BV90" i="85"/>
  <c r="BX88" i="85"/>
  <c r="BY87" i="85"/>
  <c r="BU87" i="85"/>
  <c r="BT87" i="85"/>
  <c r="BV86" i="85"/>
  <c r="BX84" i="85"/>
  <c r="BY83" i="85"/>
  <c r="BU83" i="85"/>
  <c r="BT83" i="85"/>
  <c r="BV82" i="85"/>
  <c r="BY80" i="85"/>
  <c r="BU80" i="85"/>
  <c r="BT80" i="85"/>
  <c r="BY74" i="85"/>
  <c r="BU74" i="85"/>
  <c r="BT74" i="85"/>
  <c r="BY70" i="85"/>
  <c r="BU70" i="85"/>
  <c r="BT70" i="85"/>
  <c r="BX87" i="85"/>
  <c r="BV80" i="85"/>
  <c r="BY77" i="85"/>
  <c r="BU77" i="85"/>
  <c r="BT77" i="85"/>
  <c r="BV76" i="85"/>
  <c r="BY75" i="85"/>
  <c r="BU75" i="85"/>
  <c r="BT75" i="85"/>
  <c r="BV74" i="85"/>
  <c r="BY73" i="85"/>
  <c r="BU73" i="85"/>
  <c r="BT73" i="85"/>
  <c r="BV72" i="85"/>
  <c r="BY71" i="85"/>
  <c r="BU71" i="85"/>
  <c r="BT71" i="85"/>
  <c r="BV70" i="85"/>
  <c r="BY69" i="85"/>
  <c r="BU69" i="85"/>
  <c r="BT69" i="85"/>
  <c r="BY67" i="85"/>
  <c r="BU67" i="85"/>
  <c r="BT67" i="85"/>
  <c r="BY65" i="85"/>
  <c r="BU65" i="85"/>
  <c r="BT65" i="85"/>
  <c r="BV65" i="85"/>
  <c r="BY64" i="85"/>
  <c r="BU64" i="85"/>
  <c r="BT64" i="85"/>
  <c r="BY60" i="85"/>
  <c r="BU60" i="85"/>
  <c r="BT60" i="85"/>
  <c r="BY56" i="85"/>
  <c r="BU56" i="85"/>
  <c r="BT56" i="85"/>
  <c r="BX69" i="85"/>
  <c r="BV67" i="85"/>
  <c r="BX65" i="85"/>
  <c r="BV64" i="85"/>
  <c r="BY63" i="85"/>
  <c r="BU63" i="85"/>
  <c r="BT63" i="85"/>
  <c r="BV62" i="85"/>
  <c r="BY61" i="85"/>
  <c r="BU61" i="85"/>
  <c r="BT61" i="85"/>
  <c r="BV60" i="85"/>
  <c r="BY59" i="85"/>
  <c r="BU59" i="85"/>
  <c r="BT59" i="85"/>
  <c r="BV58" i="85"/>
  <c r="BY57" i="85"/>
  <c r="BU57" i="85"/>
  <c r="BT57" i="85"/>
  <c r="BV56" i="85"/>
  <c r="BY55" i="85"/>
  <c r="BU55" i="85"/>
  <c r="BT55" i="85"/>
  <c r="BV54" i="85"/>
  <c r="BY51" i="85"/>
  <c r="BU51" i="85"/>
  <c r="BT51" i="85"/>
  <c r="BY45" i="85"/>
  <c r="BU45" i="85"/>
  <c r="BT45" i="85"/>
  <c r="BY43" i="85"/>
  <c r="BU43" i="85"/>
  <c r="BT43" i="85"/>
  <c r="BY41" i="85"/>
  <c r="BU41" i="85"/>
  <c r="BT41" i="85"/>
  <c r="BX45" i="85"/>
  <c r="BV43" i="85"/>
  <c r="BW40" i="85"/>
  <c r="BY38" i="85"/>
  <c r="BU38" i="85"/>
  <c r="BT38" i="85"/>
  <c r="BW36" i="85"/>
  <c r="BY34" i="85"/>
  <c r="BU34" i="85"/>
  <c r="BT34" i="85"/>
  <c r="BW32" i="85"/>
  <c r="BY30" i="85"/>
  <c r="BU30" i="85"/>
  <c r="BT30" i="85"/>
  <c r="BW28" i="85"/>
  <c r="BY26" i="85"/>
  <c r="BU26" i="85"/>
  <c r="BT26" i="85"/>
  <c r="BW24" i="85"/>
  <c r="BY22" i="85"/>
  <c r="BU22" i="85"/>
  <c r="BT22" i="85"/>
  <c r="BY49" i="85"/>
  <c r="BU49" i="85"/>
  <c r="BV45" i="85"/>
  <c r="BV40" i="85"/>
  <c r="BY39" i="85"/>
  <c r="BU39" i="85"/>
  <c r="BT39" i="85"/>
  <c r="BV38" i="85"/>
  <c r="BY37" i="85"/>
  <c r="BU37" i="85"/>
  <c r="BT37" i="85"/>
  <c r="BV36" i="85"/>
  <c r="BY35" i="85"/>
  <c r="BU35" i="85"/>
  <c r="BT35" i="85"/>
  <c r="BV34" i="85"/>
  <c r="BY33" i="85"/>
  <c r="BU33" i="85"/>
  <c r="BT33" i="85"/>
  <c r="BV32" i="85"/>
  <c r="BY31" i="85"/>
  <c r="BU31" i="85"/>
  <c r="BT31" i="85"/>
  <c r="BV30" i="85"/>
  <c r="BY29" i="85"/>
  <c r="BU29" i="85"/>
  <c r="BT29" i="85"/>
  <c r="BV28" i="85"/>
  <c r="BY27" i="85"/>
  <c r="BU27" i="85"/>
  <c r="BT27" i="85"/>
  <c r="BV26" i="85"/>
  <c r="BY25" i="85"/>
  <c r="BU25" i="85"/>
  <c r="BT25" i="85"/>
  <c r="BV24" i="85"/>
  <c r="BY23" i="85"/>
  <c r="BU23" i="85"/>
  <c r="BT23" i="85"/>
  <c r="BV22" i="85"/>
  <c r="BY21" i="85"/>
  <c r="BU21" i="85"/>
  <c r="BT21" i="85"/>
  <c r="BY19" i="85"/>
  <c r="BU19" i="85"/>
  <c r="BT19" i="85"/>
  <c r="BV21" i="85"/>
  <c r="BY16" i="85"/>
  <c r="BU16" i="85"/>
  <c r="BT16" i="85"/>
  <c r="BW14" i="85"/>
  <c r="BW7" i="85"/>
  <c r="BY20" i="85"/>
  <c r="BU20" i="85"/>
  <c r="BX17" i="85"/>
  <c r="BW17" i="85"/>
  <c r="BX16" i="85"/>
  <c r="BW15" i="85"/>
  <c r="BX14" i="85"/>
  <c r="BW13" i="85"/>
  <c r="BW8" i="85"/>
  <c r="BX7" i="85"/>
  <c r="BY91" i="85"/>
  <c r="BU91" i="85"/>
  <c r="BT91" i="85"/>
  <c r="BY90" i="85"/>
  <c r="BU90" i="85"/>
  <c r="BT90" i="85"/>
  <c r="BY88" i="85"/>
  <c r="BU88" i="85"/>
  <c r="BT88" i="85"/>
  <c r="BY86" i="85"/>
  <c r="BU86" i="85"/>
  <c r="BT86" i="85"/>
  <c r="BY84" i="85"/>
  <c r="BU84" i="85"/>
  <c r="BT84" i="85"/>
  <c r="BW82" i="85"/>
  <c r="BY92" i="85"/>
  <c r="BU92" i="85"/>
  <c r="BT92" i="85"/>
  <c r="BX91" i="85"/>
  <c r="BX90" i="85"/>
  <c r="BY89" i="85"/>
  <c r="BU89" i="85"/>
  <c r="BT89" i="85"/>
  <c r="BV88" i="85"/>
  <c r="BW87" i="85"/>
  <c r="BX86" i="85"/>
  <c r="BY85" i="85"/>
  <c r="BU85" i="85"/>
  <c r="BT85" i="85"/>
  <c r="BV84" i="85"/>
  <c r="BW83" i="85"/>
  <c r="BX82" i="85"/>
  <c r="BX92" i="85"/>
  <c r="BW80" i="85"/>
  <c r="BY76" i="85"/>
  <c r="BU76" i="85"/>
  <c r="BT76" i="85"/>
  <c r="BW74" i="85"/>
  <c r="BY72" i="85"/>
  <c r="BU72" i="85"/>
  <c r="BT72" i="85"/>
  <c r="BW70" i="85"/>
  <c r="BX89" i="85"/>
  <c r="BV85" i="85"/>
  <c r="BY81" i="85"/>
  <c r="BU81" i="85"/>
  <c r="BX80" i="85"/>
  <c r="BW77" i="85"/>
  <c r="BX76" i="85"/>
  <c r="BW75" i="85"/>
  <c r="BX74" i="85"/>
  <c r="BW73" i="85"/>
  <c r="BX72" i="85"/>
  <c r="BW71" i="85"/>
  <c r="BX70" i="85"/>
  <c r="BW69" i="85"/>
  <c r="BW67" i="85"/>
  <c r="BW65" i="85"/>
  <c r="BX67" i="85"/>
  <c r="BW64" i="85"/>
  <c r="BY62" i="85"/>
  <c r="BU62" i="85"/>
  <c r="BT62" i="85"/>
  <c r="BW60" i="85"/>
  <c r="BY58" i="85"/>
  <c r="BU58" i="85"/>
  <c r="BT58" i="85"/>
  <c r="BW56" i="85"/>
  <c r="BY54" i="85"/>
  <c r="BU54" i="85"/>
  <c r="BT54" i="85"/>
  <c r="BV69" i="85"/>
  <c r="BY68" i="85"/>
  <c r="BU68" i="85"/>
  <c r="BX64" i="85"/>
  <c r="BW63" i="85"/>
  <c r="BX62" i="85"/>
  <c r="BW61" i="85"/>
  <c r="BX60" i="85"/>
  <c r="BW59" i="85"/>
  <c r="BX58" i="85"/>
  <c r="BX56" i="85"/>
  <c r="BX54" i="85"/>
  <c r="BV51" i="85"/>
  <c r="BX41" i="85"/>
  <c r="BY40" i="85"/>
  <c r="BU40" i="85"/>
  <c r="BT40" i="85"/>
  <c r="BY36" i="85"/>
  <c r="BU36" i="85"/>
  <c r="BT36" i="85"/>
  <c r="BY32" i="85"/>
  <c r="BU32" i="85"/>
  <c r="BT32" i="85"/>
  <c r="BY28" i="85"/>
  <c r="BU28" i="85"/>
  <c r="BT28" i="85"/>
  <c r="BY24" i="85"/>
  <c r="BU24" i="85"/>
  <c r="BT24" i="85"/>
  <c r="BX51" i="85"/>
  <c r="BX43" i="85"/>
  <c r="BV41" i="85"/>
  <c r="BX40" i="85"/>
  <c r="BX38" i="85"/>
  <c r="BX36" i="85"/>
  <c r="BX34" i="85"/>
  <c r="BX32" i="85"/>
  <c r="BX30" i="85"/>
  <c r="BX28" i="85"/>
  <c r="BX26" i="85"/>
  <c r="BX24" i="85"/>
  <c r="BX22" i="85"/>
  <c r="BX49" i="85"/>
  <c r="BY14" i="85"/>
  <c r="BU14" i="85"/>
  <c r="BT14" i="85"/>
  <c r="BY7" i="85"/>
  <c r="BU7" i="85"/>
  <c r="CA4" i="85"/>
  <c r="BT7" i="85"/>
  <c r="BX21" i="85"/>
  <c r="BV19" i="85"/>
  <c r="BY17" i="85"/>
  <c r="BU17" i="85"/>
  <c r="BV16" i="85"/>
  <c r="BY15" i="85"/>
  <c r="BU15" i="85"/>
  <c r="BT15" i="85"/>
  <c r="BV14" i="85"/>
  <c r="BY13" i="85"/>
  <c r="BU13" i="85"/>
  <c r="BT13" i="85"/>
  <c r="BY8" i="85"/>
  <c r="BU8" i="85"/>
  <c r="BT8" i="85"/>
  <c r="BV7" i="85"/>
  <c r="BY4" i="85" l="1"/>
  <c r="BV4" i="85"/>
  <c r="BT93" i="85"/>
  <c r="BT4" i="85"/>
  <c r="BU4" i="85"/>
  <c r="BX4" i="85"/>
  <c r="BW4" i="85"/>
  <c r="BW5" i="85" s="1"/>
  <c r="BT5" i="85" l="1"/>
  <c r="BT6" i="85" l="1"/>
  <c r="BV6" i="85"/>
  <c r="BW6" i="85"/>
  <c r="U6" i="83" l="1"/>
  <c r="X204" i="83" l="1"/>
  <c r="X203" i="83"/>
  <c r="X202" i="83"/>
  <c r="X201" i="83"/>
  <c r="X200" i="83"/>
  <c r="X198" i="83"/>
  <c r="X197" i="83"/>
  <c r="X196" i="83"/>
  <c r="X195" i="83"/>
  <c r="X194" i="83"/>
  <c r="X193" i="83"/>
  <c r="X192" i="83"/>
  <c r="X191" i="83"/>
  <c r="X190" i="83"/>
  <c r="X189" i="83"/>
  <c r="X188" i="83"/>
  <c r="X187" i="83"/>
  <c r="X186" i="83"/>
  <c r="X185" i="83"/>
  <c r="X184" i="83"/>
  <c r="X182" i="83"/>
  <c r="X181" i="83"/>
  <c r="X180" i="83"/>
  <c r="X179" i="83"/>
  <c r="X178" i="83"/>
  <c r="X177" i="83"/>
  <c r="X176" i="83"/>
  <c r="X170" i="83"/>
  <c r="X169" i="83"/>
  <c r="X168" i="83"/>
  <c r="X167" i="83"/>
  <c r="X166" i="83"/>
  <c r="X165" i="83"/>
  <c r="X164" i="83"/>
  <c r="X163" i="83"/>
  <c r="X162" i="83"/>
  <c r="X161" i="83"/>
  <c r="X160" i="83"/>
  <c r="X159" i="83"/>
  <c r="X158" i="83"/>
  <c r="X157" i="83"/>
  <c r="X156" i="83"/>
  <c r="X155" i="83"/>
  <c r="X154" i="83"/>
  <c r="X153" i="83"/>
  <c r="X152" i="83"/>
  <c r="X151" i="83"/>
  <c r="X150" i="83"/>
  <c r="X149" i="83"/>
  <c r="X148" i="83"/>
  <c r="X147" i="83"/>
  <c r="X146" i="83"/>
  <c r="X145" i="83"/>
  <c r="X144" i="83"/>
  <c r="X143" i="83"/>
  <c r="X142" i="83"/>
  <c r="X141" i="83"/>
  <c r="X140" i="83"/>
  <c r="X139" i="83"/>
  <c r="X138" i="83"/>
  <c r="X136" i="83"/>
  <c r="X135" i="83"/>
  <c r="X134" i="83"/>
  <c r="X133" i="83"/>
  <c r="X126" i="83"/>
  <c r="X125" i="83"/>
  <c r="X124" i="83"/>
  <c r="X123" i="83"/>
  <c r="X122" i="83"/>
  <c r="X121" i="83"/>
  <c r="X120" i="83"/>
  <c r="X119" i="83"/>
  <c r="X118" i="83"/>
  <c r="X117" i="83"/>
  <c r="X116" i="83"/>
  <c r="X115" i="83"/>
  <c r="X113" i="83"/>
  <c r="X112" i="83"/>
  <c r="X111" i="83"/>
  <c r="X110" i="83"/>
  <c r="X104" i="83"/>
  <c r="X103" i="83"/>
  <c r="X102" i="83"/>
  <c r="X101" i="83"/>
  <c r="X100" i="83"/>
  <c r="X99" i="83"/>
  <c r="X98" i="83"/>
  <c r="X97" i="83"/>
  <c r="X95" i="83"/>
  <c r="X94" i="83"/>
  <c r="X93" i="83"/>
  <c r="X92" i="83"/>
  <c r="X91" i="83"/>
  <c r="X90" i="83"/>
  <c r="X89" i="83"/>
  <c r="X88" i="83"/>
  <c r="X87" i="83"/>
  <c r="X86" i="83"/>
  <c r="X85" i="83"/>
  <c r="X82" i="83"/>
  <c r="X81" i="83"/>
  <c r="X80" i="83"/>
  <c r="X79" i="83"/>
  <c r="X77" i="83"/>
  <c r="X76" i="83"/>
  <c r="X75" i="83"/>
  <c r="X68" i="83"/>
  <c r="X67" i="83"/>
  <c r="X66" i="83"/>
  <c r="X65" i="83"/>
  <c r="X64" i="83"/>
  <c r="X63" i="83"/>
  <c r="X62" i="83"/>
  <c r="X61" i="83"/>
  <c r="X60" i="83"/>
  <c r="X59" i="83"/>
  <c r="X58" i="83"/>
  <c r="X57" i="83"/>
  <c r="X52" i="83"/>
  <c r="X51" i="83"/>
  <c r="X50" i="83"/>
  <c r="X49" i="83"/>
  <c r="X48" i="83"/>
  <c r="X46" i="83"/>
  <c r="X45" i="83"/>
  <c r="X44" i="83"/>
  <c r="X43" i="83"/>
  <c r="X42" i="83"/>
  <c r="X41" i="83"/>
  <c r="X40" i="83"/>
  <c r="X39" i="83"/>
  <c r="X38" i="83"/>
  <c r="X37" i="83"/>
  <c r="X36" i="83"/>
  <c r="X35" i="83"/>
  <c r="X34" i="83"/>
  <c r="X32" i="83"/>
  <c r="X31" i="83"/>
  <c r="X30" i="83"/>
  <c r="X25" i="83"/>
  <c r="X24" i="83"/>
  <c r="X23" i="83"/>
  <c r="X22" i="83"/>
  <c r="X21" i="83"/>
  <c r="X20" i="83"/>
  <c r="X18" i="83"/>
  <c r="X17" i="83"/>
  <c r="X16" i="83"/>
  <c r="X15" i="83"/>
  <c r="X14" i="83"/>
  <c r="X13" i="83"/>
  <c r="X12" i="83"/>
  <c r="X11" i="83"/>
  <c r="X10" i="83"/>
  <c r="X9" i="83"/>
  <c r="X8" i="83"/>
  <c r="X7" i="83"/>
  <c r="X6" i="83"/>
  <c r="Y58" i="83" l="1"/>
  <c r="Y59" i="83"/>
  <c r="Y60" i="83"/>
  <c r="Y61" i="83"/>
  <c r="Y62" i="83"/>
  <c r="Y63" i="83"/>
  <c r="Y64" i="83"/>
  <c r="Y65" i="83"/>
  <c r="Y66" i="83"/>
  <c r="Y67" i="83"/>
  <c r="Y68" i="83"/>
  <c r="Y31" i="83"/>
  <c r="Y32" i="83"/>
  <c r="Y34" i="83"/>
  <c r="Y35" i="83"/>
  <c r="Y36" i="83"/>
  <c r="Y37" i="83"/>
  <c r="Y38" i="83"/>
  <c r="Y39" i="83"/>
  <c r="Y40" i="83"/>
  <c r="Y41" i="83"/>
  <c r="Y42" i="83"/>
  <c r="Y43" i="83"/>
  <c r="Y44" i="83"/>
  <c r="Y45" i="83"/>
  <c r="Y46" i="83"/>
  <c r="Y48" i="83"/>
  <c r="Y49" i="83"/>
  <c r="Y50" i="83"/>
  <c r="Y51" i="83"/>
  <c r="Y52" i="83"/>
  <c r="Y7" i="83"/>
  <c r="Y8" i="83"/>
  <c r="Y9" i="83"/>
  <c r="Y10" i="83"/>
  <c r="Y11" i="83"/>
  <c r="Y12" i="83"/>
  <c r="Y13" i="83"/>
  <c r="Y14" i="83"/>
  <c r="Y15" i="83"/>
  <c r="Y16" i="83"/>
  <c r="Y17" i="83"/>
  <c r="Y18" i="83"/>
  <c r="Y20" i="83"/>
  <c r="Y21" i="83"/>
  <c r="Y22" i="83"/>
  <c r="Y23" i="83"/>
  <c r="Y24" i="83"/>
  <c r="Y25" i="83"/>
  <c r="W58" i="83"/>
  <c r="W59" i="83"/>
  <c r="W60" i="83"/>
  <c r="W61" i="83"/>
  <c r="W62" i="83"/>
  <c r="W63" i="83"/>
  <c r="W64" i="83"/>
  <c r="W65" i="83"/>
  <c r="W66" i="83"/>
  <c r="W67" i="83"/>
  <c r="W68" i="83"/>
  <c r="W31" i="83"/>
  <c r="W32" i="83"/>
  <c r="W34" i="83"/>
  <c r="W35" i="83"/>
  <c r="W36" i="83"/>
  <c r="W37" i="83"/>
  <c r="W38" i="83"/>
  <c r="W39" i="83"/>
  <c r="W40" i="83"/>
  <c r="W41" i="83"/>
  <c r="W42" i="83"/>
  <c r="W43" i="83"/>
  <c r="W44" i="83"/>
  <c r="W45" i="83"/>
  <c r="W46" i="83"/>
  <c r="W47" i="83"/>
  <c r="W48" i="83"/>
  <c r="W49" i="83"/>
  <c r="W50" i="83"/>
  <c r="W51" i="83"/>
  <c r="W52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20" i="83"/>
  <c r="W21" i="83"/>
  <c r="W22" i="83"/>
  <c r="W23" i="83"/>
  <c r="W24" i="83"/>
  <c r="W25" i="83"/>
  <c r="U50" i="83" l="1"/>
  <c r="S50" i="83"/>
  <c r="Q50" i="83"/>
  <c r="O50" i="83"/>
  <c r="M50" i="83"/>
  <c r="K50" i="83"/>
  <c r="I50" i="83"/>
  <c r="G50" i="83"/>
  <c r="U48" i="83"/>
  <c r="S48" i="83"/>
  <c r="Q48" i="83"/>
  <c r="O48" i="83"/>
  <c r="M48" i="83"/>
  <c r="K48" i="83"/>
  <c r="I48" i="83"/>
  <c r="G48" i="83"/>
  <c r="U31" i="83"/>
  <c r="S31" i="83"/>
  <c r="Q31" i="83"/>
  <c r="O31" i="83"/>
  <c r="M31" i="83"/>
  <c r="K31" i="83"/>
  <c r="I31" i="83"/>
  <c r="G31" i="83"/>
  <c r="V33" i="83"/>
  <c r="W33" i="83" s="1"/>
  <c r="V114" i="83"/>
  <c r="V183" i="83"/>
  <c r="Y158" i="83" l="1"/>
  <c r="W158" i="83"/>
  <c r="U158" i="83"/>
  <c r="S158" i="83"/>
  <c r="Q158" i="83"/>
  <c r="O158" i="83"/>
  <c r="M158" i="83"/>
  <c r="K158" i="83"/>
  <c r="I158" i="83"/>
  <c r="G158" i="83"/>
  <c r="Y98" i="83" l="1"/>
  <c r="W98" i="83"/>
  <c r="U98" i="83"/>
  <c r="S98" i="83"/>
  <c r="Q98" i="83"/>
  <c r="O98" i="83"/>
  <c r="M98" i="83"/>
  <c r="K98" i="83"/>
  <c r="I98" i="83"/>
  <c r="Y76" i="83"/>
  <c r="Y77" i="83"/>
  <c r="Y80" i="83"/>
  <c r="Y81" i="83"/>
  <c r="Y85" i="83"/>
  <c r="Y86" i="83"/>
  <c r="Y87" i="83"/>
  <c r="Y88" i="83"/>
  <c r="Y89" i="83"/>
  <c r="Y90" i="83"/>
  <c r="Y91" i="83"/>
  <c r="Y92" i="83"/>
  <c r="Y93" i="83"/>
  <c r="Y95" i="83"/>
  <c r="Y99" i="83"/>
  <c r="Y100" i="83"/>
  <c r="Y101" i="83"/>
  <c r="Y102" i="83"/>
  <c r="Y103" i="83"/>
  <c r="Y111" i="83"/>
  <c r="Y112" i="83"/>
  <c r="Y113" i="83"/>
  <c r="Y115" i="83"/>
  <c r="Y116" i="83"/>
  <c r="Y117" i="83"/>
  <c r="Y118" i="83"/>
  <c r="Y119" i="83"/>
  <c r="Y121" i="83"/>
  <c r="Y122" i="83"/>
  <c r="Y123" i="83"/>
  <c r="Y124" i="83"/>
  <c r="Y125" i="83"/>
  <c r="Y126" i="83"/>
  <c r="Y120" i="83"/>
  <c r="Y79" i="83"/>
  <c r="Y82" i="83"/>
  <c r="Y94" i="83"/>
  <c r="Y97" i="83"/>
  <c r="Y104" i="83"/>
  <c r="T183" i="83"/>
  <c r="T78" i="83"/>
  <c r="U78" i="83" s="1"/>
  <c r="T84" i="83"/>
  <c r="U84" i="83" s="1"/>
  <c r="I95" i="83"/>
  <c r="K95" i="83"/>
  <c r="M95" i="83"/>
  <c r="O95" i="83"/>
  <c r="Q95" i="83"/>
  <c r="S95" i="83"/>
  <c r="U95" i="83"/>
  <c r="W95" i="83"/>
  <c r="U76" i="83"/>
  <c r="U77" i="83"/>
  <c r="U79" i="83"/>
  <c r="U80" i="83"/>
  <c r="U81" i="83"/>
  <c r="U82" i="83"/>
  <c r="U83" i="83"/>
  <c r="U85" i="83"/>
  <c r="U86" i="83"/>
  <c r="U87" i="83"/>
  <c r="U88" i="83"/>
  <c r="U89" i="83"/>
  <c r="U90" i="83"/>
  <c r="U91" i="83"/>
  <c r="U92" i="83"/>
  <c r="U93" i="83"/>
  <c r="U94" i="83"/>
  <c r="U96" i="83"/>
  <c r="U97" i="83"/>
  <c r="U99" i="83"/>
  <c r="U100" i="83"/>
  <c r="U101" i="83"/>
  <c r="U102" i="83"/>
  <c r="U103" i="83"/>
  <c r="U104" i="83"/>
  <c r="U111" i="83"/>
  <c r="U112" i="83"/>
  <c r="U113" i="83"/>
  <c r="U114" i="83"/>
  <c r="U115" i="83"/>
  <c r="U116" i="83"/>
  <c r="U117" i="83"/>
  <c r="U118" i="83"/>
  <c r="U119" i="83"/>
  <c r="U120" i="83"/>
  <c r="U121" i="83"/>
  <c r="U122" i="83"/>
  <c r="U123" i="83"/>
  <c r="U124" i="83"/>
  <c r="U125" i="83"/>
  <c r="U126" i="83"/>
  <c r="Y166" i="83"/>
  <c r="W166" i="83"/>
  <c r="U166" i="83"/>
  <c r="S166" i="83"/>
  <c r="Q166" i="83"/>
  <c r="O166" i="83"/>
  <c r="M166" i="83"/>
  <c r="K166" i="83"/>
  <c r="I166" i="83"/>
  <c r="G166" i="83"/>
  <c r="Y147" i="83"/>
  <c r="W147" i="83"/>
  <c r="U147" i="83"/>
  <c r="S147" i="83"/>
  <c r="Q147" i="83"/>
  <c r="O147" i="83"/>
  <c r="M147" i="83"/>
  <c r="K147" i="83"/>
  <c r="I147" i="83"/>
  <c r="G147" i="83"/>
  <c r="U24" i="83"/>
  <c r="S24" i="83"/>
  <c r="Q24" i="83"/>
  <c r="O24" i="83"/>
  <c r="M24" i="83"/>
  <c r="K24" i="83"/>
  <c r="I24" i="83"/>
  <c r="G24" i="83"/>
  <c r="U49" i="83" l="1"/>
  <c r="S49" i="83"/>
  <c r="Q49" i="83"/>
  <c r="O49" i="83"/>
  <c r="M49" i="83"/>
  <c r="K49" i="83"/>
  <c r="I49" i="83"/>
  <c r="G49" i="83"/>
  <c r="S111" i="83" l="1"/>
  <c r="S112" i="83"/>
  <c r="S113" i="83"/>
  <c r="S115" i="83"/>
  <c r="S116" i="83"/>
  <c r="S117" i="83"/>
  <c r="S118" i="83"/>
  <c r="S119" i="83"/>
  <c r="S120" i="83"/>
  <c r="S121" i="83"/>
  <c r="S122" i="83"/>
  <c r="S123" i="83"/>
  <c r="S124" i="83"/>
  <c r="S125" i="83"/>
  <c r="S126" i="83"/>
  <c r="S76" i="83"/>
  <c r="S77" i="83"/>
  <c r="S79" i="83"/>
  <c r="S80" i="83"/>
  <c r="S81" i="83"/>
  <c r="S82" i="83"/>
  <c r="S83" i="83"/>
  <c r="S85" i="83"/>
  <c r="S86" i="83"/>
  <c r="S87" i="83"/>
  <c r="S88" i="83"/>
  <c r="S89" i="83"/>
  <c r="S90" i="83"/>
  <c r="S91" i="83"/>
  <c r="S92" i="83"/>
  <c r="S93" i="83"/>
  <c r="S94" i="83"/>
  <c r="S96" i="83"/>
  <c r="S97" i="83"/>
  <c r="S99" i="83"/>
  <c r="S100" i="83"/>
  <c r="S101" i="83"/>
  <c r="S102" i="83"/>
  <c r="S103" i="83"/>
  <c r="S104" i="83"/>
  <c r="W102" i="83"/>
  <c r="Q102" i="83"/>
  <c r="O102" i="83"/>
  <c r="M102" i="83"/>
  <c r="K102" i="83"/>
  <c r="I102" i="83"/>
  <c r="R84" i="83"/>
  <c r="S84" i="83" s="1"/>
  <c r="R114" i="83"/>
  <c r="X114" i="83" s="1"/>
  <c r="R78" i="83"/>
  <c r="S78" i="83" s="1"/>
  <c r="W112" i="83"/>
  <c r="Q112" i="83"/>
  <c r="O112" i="83"/>
  <c r="M112" i="83"/>
  <c r="I112" i="83"/>
  <c r="M168" i="83"/>
  <c r="Y168" i="83"/>
  <c r="W168" i="83"/>
  <c r="U168" i="83"/>
  <c r="S168" i="83"/>
  <c r="Q168" i="83"/>
  <c r="O168" i="83"/>
  <c r="K168" i="83"/>
  <c r="I168" i="83"/>
  <c r="G168" i="83"/>
  <c r="Y202" i="83"/>
  <c r="W202" i="83"/>
  <c r="U202" i="83"/>
  <c r="S202" i="83"/>
  <c r="Q202" i="83"/>
  <c r="O202" i="83"/>
  <c r="M202" i="83"/>
  <c r="K202" i="83"/>
  <c r="I202" i="83"/>
  <c r="G202" i="83"/>
  <c r="Y201" i="83"/>
  <c r="W201" i="83"/>
  <c r="U201" i="83"/>
  <c r="S201" i="83"/>
  <c r="Q201" i="83"/>
  <c r="O201" i="83"/>
  <c r="M201" i="83"/>
  <c r="K201" i="83"/>
  <c r="I201" i="83"/>
  <c r="G201" i="83"/>
  <c r="Y186" i="83"/>
  <c r="W186" i="83"/>
  <c r="U186" i="83"/>
  <c r="S186" i="83"/>
  <c r="Q186" i="83"/>
  <c r="O186" i="83"/>
  <c r="M186" i="83"/>
  <c r="K186" i="83"/>
  <c r="I186" i="83"/>
  <c r="G186" i="83"/>
  <c r="S25" i="83"/>
  <c r="S7" i="83"/>
  <c r="S8" i="83"/>
  <c r="S9" i="83"/>
  <c r="S10" i="83"/>
  <c r="S11" i="83"/>
  <c r="S12" i="83"/>
  <c r="S13" i="83"/>
  <c r="S14" i="83"/>
  <c r="S15" i="83"/>
  <c r="S16" i="83"/>
  <c r="S17" i="83"/>
  <c r="S18" i="83"/>
  <c r="S19" i="83"/>
  <c r="S20" i="83"/>
  <c r="S21" i="83"/>
  <c r="S22" i="83"/>
  <c r="S23" i="83"/>
  <c r="S58" i="83"/>
  <c r="S60" i="83"/>
  <c r="S61" i="83"/>
  <c r="S62" i="83"/>
  <c r="S59" i="83"/>
  <c r="S63" i="83"/>
  <c r="S64" i="83"/>
  <c r="S65" i="83"/>
  <c r="S66" i="83"/>
  <c r="S67" i="83"/>
  <c r="S68" i="83"/>
  <c r="S32" i="83"/>
  <c r="S34" i="83"/>
  <c r="S35" i="83"/>
  <c r="S36" i="83"/>
  <c r="S37" i="83"/>
  <c r="S38" i="83"/>
  <c r="S39" i="83"/>
  <c r="S40" i="83"/>
  <c r="S41" i="83"/>
  <c r="S42" i="83"/>
  <c r="S43" i="83"/>
  <c r="S44" i="83"/>
  <c r="S45" i="83"/>
  <c r="S46" i="83"/>
  <c r="S47" i="83"/>
  <c r="S51" i="83"/>
  <c r="S52" i="83"/>
  <c r="U40" i="83"/>
  <c r="Q40" i="83"/>
  <c r="O40" i="83"/>
  <c r="M40" i="83"/>
  <c r="K40" i="83"/>
  <c r="I40" i="83"/>
  <c r="G40" i="83"/>
  <c r="U44" i="83"/>
  <c r="Q44" i="83"/>
  <c r="O44" i="83"/>
  <c r="M44" i="83"/>
  <c r="K44" i="83"/>
  <c r="I44" i="83"/>
  <c r="G44" i="83"/>
  <c r="U59" i="83"/>
  <c r="Q59" i="83"/>
  <c r="O59" i="83"/>
  <c r="M59" i="83"/>
  <c r="K59" i="83"/>
  <c r="I59" i="83"/>
  <c r="G59" i="83"/>
  <c r="R33" i="83"/>
  <c r="S33" i="83" s="1"/>
  <c r="S114" i="83" l="1"/>
  <c r="Y114" i="83"/>
  <c r="Y142" i="83" l="1"/>
  <c r="W142" i="83"/>
  <c r="U142" i="83"/>
  <c r="S142" i="83"/>
  <c r="Q142" i="83"/>
  <c r="O142" i="83"/>
  <c r="M142" i="83"/>
  <c r="K142" i="83"/>
  <c r="I142" i="83"/>
  <c r="G142" i="83"/>
  <c r="Q177" i="83"/>
  <c r="Q178" i="83"/>
  <c r="Q179" i="83"/>
  <c r="Q180" i="83"/>
  <c r="Q181" i="83"/>
  <c r="Q182" i="83"/>
  <c r="Q184" i="83"/>
  <c r="Q185" i="83"/>
  <c r="Q187" i="83"/>
  <c r="Q188" i="83"/>
  <c r="Q189" i="83"/>
  <c r="Q190" i="83"/>
  <c r="Q191" i="83"/>
  <c r="Q192" i="83"/>
  <c r="Q193" i="83"/>
  <c r="Q194" i="83"/>
  <c r="Q195" i="83"/>
  <c r="Q196" i="83"/>
  <c r="Q197" i="83"/>
  <c r="Q198" i="83"/>
  <c r="Q199" i="83"/>
  <c r="Q200" i="83"/>
  <c r="Q203" i="83"/>
  <c r="Q204" i="83"/>
  <c r="Q134" i="83"/>
  <c r="Q135" i="83"/>
  <c r="Q136" i="83"/>
  <c r="Q137" i="83"/>
  <c r="Q138" i="83"/>
  <c r="Q139" i="83"/>
  <c r="Q140" i="83"/>
  <c r="Q141" i="83"/>
  <c r="Q143" i="83"/>
  <c r="Q144" i="83"/>
  <c r="Q145" i="83"/>
  <c r="Q146" i="83"/>
  <c r="Q148" i="83"/>
  <c r="Q149" i="83"/>
  <c r="Q150" i="83"/>
  <c r="Q151" i="83"/>
  <c r="Q152" i="83"/>
  <c r="Q153" i="83"/>
  <c r="Q154" i="83"/>
  <c r="Q155" i="83"/>
  <c r="Q156" i="83"/>
  <c r="Q157" i="83"/>
  <c r="Q159" i="83"/>
  <c r="Q160" i="83"/>
  <c r="Q161" i="83"/>
  <c r="Q162" i="83"/>
  <c r="Q163" i="83"/>
  <c r="Q164" i="83"/>
  <c r="Q165" i="83"/>
  <c r="Q167" i="83"/>
  <c r="Q169" i="83"/>
  <c r="Q170" i="83"/>
  <c r="K185" i="83"/>
  <c r="K187" i="83"/>
  <c r="K188" i="83"/>
  <c r="Y184" i="83"/>
  <c r="W184" i="83"/>
  <c r="U184" i="83"/>
  <c r="S184" i="83"/>
  <c r="O184" i="83"/>
  <c r="M184" i="83"/>
  <c r="K184" i="83"/>
  <c r="I184" i="83"/>
  <c r="G184" i="83"/>
  <c r="P183" i="83"/>
  <c r="Q183" i="83" s="1"/>
  <c r="Y156" i="83"/>
  <c r="W156" i="83"/>
  <c r="U156" i="83"/>
  <c r="S156" i="83"/>
  <c r="O156" i="83"/>
  <c r="M156" i="83"/>
  <c r="K156" i="83"/>
  <c r="I156" i="83"/>
  <c r="G156" i="83"/>
  <c r="Q77" i="83"/>
  <c r="Q79" i="83"/>
  <c r="Q80" i="83"/>
  <c r="Q81" i="83"/>
  <c r="Q82" i="83"/>
  <c r="Q83" i="83"/>
  <c r="Q85" i="83"/>
  <c r="Q86" i="83"/>
  <c r="Q87" i="83"/>
  <c r="Q88" i="83"/>
  <c r="Q89" i="83"/>
  <c r="Q90" i="83"/>
  <c r="Q91" i="83"/>
  <c r="Q92" i="83"/>
  <c r="Q93" i="83"/>
  <c r="Q94" i="83"/>
  <c r="Q97" i="83"/>
  <c r="Q99" i="83"/>
  <c r="Q100" i="83"/>
  <c r="Q101" i="83"/>
  <c r="Q103" i="83"/>
  <c r="Q104" i="83"/>
  <c r="P96" i="83" l="1"/>
  <c r="X96" i="83" s="1"/>
  <c r="P84" i="83"/>
  <c r="Q84" i="83" s="1"/>
  <c r="P78" i="83"/>
  <c r="Q78" i="83" s="1"/>
  <c r="U19" i="83"/>
  <c r="Q19" i="83"/>
  <c r="O19" i="83"/>
  <c r="M19" i="83"/>
  <c r="J19" i="83"/>
  <c r="X19" i="83" s="1"/>
  <c r="I19" i="83"/>
  <c r="G19" i="83"/>
  <c r="K19" i="83" l="1"/>
  <c r="Y19" i="83"/>
  <c r="Q96" i="83"/>
  <c r="Y96" i="83"/>
  <c r="O199" i="83"/>
  <c r="N171" i="83"/>
  <c r="Y203" i="83"/>
  <c r="W203" i="83"/>
  <c r="U203" i="83"/>
  <c r="S203" i="83"/>
  <c r="O203" i="83"/>
  <c r="M203" i="83"/>
  <c r="K203" i="83"/>
  <c r="I203" i="83"/>
  <c r="G203" i="83"/>
  <c r="Y160" i="83"/>
  <c r="W160" i="83"/>
  <c r="U160" i="83"/>
  <c r="S160" i="83"/>
  <c r="O160" i="83"/>
  <c r="M160" i="83"/>
  <c r="K160" i="83"/>
  <c r="I160" i="83"/>
  <c r="G160" i="83"/>
  <c r="N205" i="83"/>
  <c r="W94" i="83"/>
  <c r="O94" i="83"/>
  <c r="M94" i="83"/>
  <c r="K94" i="83"/>
  <c r="I94" i="83"/>
  <c r="N84" i="83"/>
  <c r="N78" i="83"/>
  <c r="Y161" i="83" l="1"/>
  <c r="W161" i="83"/>
  <c r="U161" i="83"/>
  <c r="S161" i="83"/>
  <c r="O161" i="83"/>
  <c r="M161" i="83"/>
  <c r="K161" i="83"/>
  <c r="I161" i="83"/>
  <c r="G161" i="83"/>
  <c r="L137" i="83"/>
  <c r="X137" i="83" s="1"/>
  <c r="L183" i="83"/>
  <c r="W101" i="83"/>
  <c r="O101" i="83"/>
  <c r="M101" i="83"/>
  <c r="K101" i="83"/>
  <c r="I101" i="83"/>
  <c r="W124" i="83"/>
  <c r="Q124" i="83"/>
  <c r="O124" i="83"/>
  <c r="M124" i="83"/>
  <c r="K124" i="83"/>
  <c r="I124" i="83"/>
  <c r="W93" i="83"/>
  <c r="O93" i="83"/>
  <c r="M93" i="83"/>
  <c r="K93" i="83"/>
  <c r="I93" i="83"/>
  <c r="W91" i="83"/>
  <c r="O91" i="83"/>
  <c r="M91" i="83"/>
  <c r="K91" i="83"/>
  <c r="I91" i="83"/>
  <c r="L84" i="83"/>
  <c r="L83" i="83"/>
  <c r="W80" i="83"/>
  <c r="O80" i="83"/>
  <c r="M80" i="83"/>
  <c r="K80" i="83"/>
  <c r="I80" i="83"/>
  <c r="L78" i="83"/>
  <c r="W111" i="83"/>
  <c r="Q111" i="83"/>
  <c r="O111" i="83"/>
  <c r="M111" i="83"/>
  <c r="K111" i="83"/>
  <c r="I111" i="83"/>
  <c r="I113" i="83"/>
  <c r="K113" i="83"/>
  <c r="M113" i="83"/>
  <c r="O113" i="83"/>
  <c r="Q113" i="83"/>
  <c r="W113" i="83"/>
  <c r="J127" i="83"/>
  <c r="L33" i="83"/>
  <c r="X83" i="83" l="1"/>
  <c r="Y83" i="83" s="1"/>
  <c r="X69" i="83"/>
  <c r="K7" i="83"/>
  <c r="K8" i="83"/>
  <c r="K9" i="83"/>
  <c r="K10" i="83"/>
  <c r="K11" i="83"/>
  <c r="K12" i="83"/>
  <c r="K13" i="83"/>
  <c r="K14" i="83"/>
  <c r="K15" i="83"/>
  <c r="K16" i="83"/>
  <c r="K17" i="83"/>
  <c r="K18" i="83"/>
  <c r="K21" i="83"/>
  <c r="K22" i="83"/>
  <c r="K23" i="83"/>
  <c r="K25" i="83"/>
  <c r="K32" i="83"/>
  <c r="K34" i="83"/>
  <c r="K35" i="83"/>
  <c r="K36" i="83"/>
  <c r="K37" i="83"/>
  <c r="K38" i="83"/>
  <c r="K39" i="83"/>
  <c r="K41" i="83"/>
  <c r="K42" i="83"/>
  <c r="K43" i="83"/>
  <c r="K45" i="83"/>
  <c r="K46" i="83"/>
  <c r="K51" i="83"/>
  <c r="K52" i="83"/>
  <c r="K58" i="83"/>
  <c r="K60" i="83"/>
  <c r="K61" i="83"/>
  <c r="K62" i="83"/>
  <c r="K63" i="83"/>
  <c r="K64" i="83"/>
  <c r="K65" i="83"/>
  <c r="K66" i="83"/>
  <c r="K67" i="83"/>
  <c r="K68" i="83"/>
  <c r="K20" i="83"/>
  <c r="J47" i="83"/>
  <c r="U61" i="83"/>
  <c r="Q61" i="83"/>
  <c r="O61" i="83"/>
  <c r="M61" i="83"/>
  <c r="I61" i="83"/>
  <c r="G61" i="83"/>
  <c r="O32" i="83"/>
  <c r="O33" i="83"/>
  <c r="O34" i="83"/>
  <c r="O35" i="83"/>
  <c r="O36" i="83"/>
  <c r="O37" i="83"/>
  <c r="O38" i="83"/>
  <c r="O39" i="83"/>
  <c r="O41" i="83"/>
  <c r="O42" i="83"/>
  <c r="O43" i="83"/>
  <c r="O45" i="83"/>
  <c r="O46" i="83"/>
  <c r="O47" i="83"/>
  <c r="O51" i="83"/>
  <c r="O52" i="83"/>
  <c r="M32" i="83"/>
  <c r="M33" i="83"/>
  <c r="M34" i="83"/>
  <c r="M35" i="83"/>
  <c r="M36" i="83"/>
  <c r="M37" i="83"/>
  <c r="M38" i="83"/>
  <c r="M39" i="83"/>
  <c r="M41" i="83"/>
  <c r="M42" i="83"/>
  <c r="M43" i="83"/>
  <c r="M45" i="83"/>
  <c r="M46" i="83"/>
  <c r="M47" i="83"/>
  <c r="M51" i="83"/>
  <c r="M52" i="83"/>
  <c r="I42" i="83"/>
  <c r="G42" i="83"/>
  <c r="J33" i="83"/>
  <c r="O76" i="83"/>
  <c r="O77" i="83"/>
  <c r="O78" i="83"/>
  <c r="O79" i="83"/>
  <c r="O81" i="83"/>
  <c r="O82" i="83"/>
  <c r="O83" i="83"/>
  <c r="O84" i="83"/>
  <c r="O85" i="83"/>
  <c r="O86" i="83"/>
  <c r="O87" i="83"/>
  <c r="O88" i="83"/>
  <c r="O89" i="83"/>
  <c r="O90" i="83"/>
  <c r="O92" i="83"/>
  <c r="O96" i="83"/>
  <c r="O97" i="83"/>
  <c r="O99" i="83"/>
  <c r="O100" i="83"/>
  <c r="O103" i="83"/>
  <c r="O104" i="83"/>
  <c r="M76" i="83"/>
  <c r="M77" i="83"/>
  <c r="M78" i="83"/>
  <c r="M79" i="83"/>
  <c r="M81" i="83"/>
  <c r="M82" i="83"/>
  <c r="M83" i="83"/>
  <c r="M84" i="83"/>
  <c r="M85" i="83"/>
  <c r="M86" i="83"/>
  <c r="M87" i="83"/>
  <c r="M88" i="83"/>
  <c r="M89" i="83"/>
  <c r="M90" i="83"/>
  <c r="M92" i="83"/>
  <c r="M96" i="83"/>
  <c r="M97" i="83"/>
  <c r="M99" i="83"/>
  <c r="M100" i="83"/>
  <c r="M103" i="83"/>
  <c r="M104" i="83"/>
  <c r="K76" i="83"/>
  <c r="K77" i="83"/>
  <c r="K79" i="83"/>
  <c r="K81" i="83"/>
  <c r="K82" i="83"/>
  <c r="K83" i="83"/>
  <c r="K85" i="83"/>
  <c r="K86" i="83"/>
  <c r="K87" i="83"/>
  <c r="K88" i="83"/>
  <c r="K89" i="83"/>
  <c r="K90" i="83"/>
  <c r="K92" i="83"/>
  <c r="K96" i="83"/>
  <c r="K97" i="83"/>
  <c r="K99" i="83"/>
  <c r="K100" i="83"/>
  <c r="K103" i="83"/>
  <c r="K104" i="83"/>
  <c r="K114" i="83"/>
  <c r="K115" i="83"/>
  <c r="K116" i="83"/>
  <c r="K117" i="83"/>
  <c r="K118" i="83"/>
  <c r="K119" i="83"/>
  <c r="K120" i="83"/>
  <c r="K121" i="83"/>
  <c r="K122" i="83"/>
  <c r="K123" i="83"/>
  <c r="K125" i="83"/>
  <c r="K126" i="83"/>
  <c r="J84" i="83"/>
  <c r="K84" i="83" s="1"/>
  <c r="J78" i="83"/>
  <c r="X78" i="83" s="1"/>
  <c r="X33" i="83" l="1"/>
  <c r="Y33" i="83" s="1"/>
  <c r="X47" i="83"/>
  <c r="Y47" i="83" s="1"/>
  <c r="K78" i="83"/>
  <c r="Y78" i="83"/>
  <c r="K47" i="83"/>
  <c r="K33" i="83"/>
  <c r="I58" i="83"/>
  <c r="I60" i="83"/>
  <c r="I62" i="83"/>
  <c r="I63" i="83"/>
  <c r="I64" i="83"/>
  <c r="I65" i="83"/>
  <c r="I66" i="83"/>
  <c r="I67" i="83"/>
  <c r="I68" i="83"/>
  <c r="I32" i="83"/>
  <c r="I33" i="83"/>
  <c r="I34" i="83"/>
  <c r="I35" i="83"/>
  <c r="I36" i="83"/>
  <c r="I37" i="83"/>
  <c r="I38" i="83"/>
  <c r="I39" i="83"/>
  <c r="I41" i="83"/>
  <c r="I43" i="83"/>
  <c r="I45" i="83"/>
  <c r="I46" i="83"/>
  <c r="I47" i="83"/>
  <c r="I51" i="83"/>
  <c r="I52" i="83"/>
  <c r="I7" i="83"/>
  <c r="I8" i="83"/>
  <c r="I9" i="83"/>
  <c r="I10" i="83"/>
  <c r="I11" i="83"/>
  <c r="I12" i="83"/>
  <c r="I13" i="83"/>
  <c r="I14" i="83"/>
  <c r="I15" i="83"/>
  <c r="I16" i="83"/>
  <c r="I17" i="83"/>
  <c r="I18" i="83"/>
  <c r="I20" i="83"/>
  <c r="I21" i="83"/>
  <c r="I22" i="83"/>
  <c r="I23" i="83"/>
  <c r="I25" i="83"/>
  <c r="I6" i="83"/>
  <c r="J205" i="83"/>
  <c r="L205" i="83"/>
  <c r="P205" i="83"/>
  <c r="R205" i="83"/>
  <c r="T205" i="83"/>
  <c r="V205" i="83"/>
  <c r="J171" i="83"/>
  <c r="L171" i="83"/>
  <c r="P171" i="83"/>
  <c r="R171" i="83"/>
  <c r="T171" i="83"/>
  <c r="V171" i="83"/>
  <c r="H171" i="83"/>
  <c r="H84" i="83"/>
  <c r="X84" i="83" l="1"/>
  <c r="Y84" i="83" s="1"/>
  <c r="I177" i="83"/>
  <c r="I178" i="83"/>
  <c r="I179" i="83"/>
  <c r="I180" i="83"/>
  <c r="I181" i="83"/>
  <c r="I182" i="83"/>
  <c r="I185" i="83"/>
  <c r="I187" i="83"/>
  <c r="I188" i="83"/>
  <c r="I189" i="83"/>
  <c r="I190" i="83"/>
  <c r="I191" i="83"/>
  <c r="I192" i="83"/>
  <c r="I193" i="83"/>
  <c r="I194" i="83"/>
  <c r="I195" i="83"/>
  <c r="I196" i="83"/>
  <c r="I197" i="83"/>
  <c r="I200" i="83"/>
  <c r="I204" i="83"/>
  <c r="I198" i="83"/>
  <c r="I134" i="83"/>
  <c r="I135" i="83"/>
  <c r="I136" i="83"/>
  <c r="I137" i="83"/>
  <c r="I138" i="83"/>
  <c r="I139" i="83"/>
  <c r="I140" i="83"/>
  <c r="I141" i="83"/>
  <c r="I143" i="83"/>
  <c r="I144" i="83"/>
  <c r="I145" i="83"/>
  <c r="I146" i="83"/>
  <c r="I148" i="83"/>
  <c r="I149" i="83"/>
  <c r="I150" i="83"/>
  <c r="I151" i="83"/>
  <c r="I152" i="83"/>
  <c r="I153" i="83"/>
  <c r="I154" i="83"/>
  <c r="I155" i="83"/>
  <c r="I157" i="83"/>
  <c r="I159" i="83"/>
  <c r="I162" i="83"/>
  <c r="I163" i="83"/>
  <c r="I164" i="83"/>
  <c r="I165" i="83"/>
  <c r="I167" i="83"/>
  <c r="I169" i="83"/>
  <c r="I170" i="83"/>
  <c r="Y134" i="83"/>
  <c r="Y135" i="83"/>
  <c r="Y136" i="83"/>
  <c r="Y137" i="83"/>
  <c r="Y138" i="83"/>
  <c r="Y139" i="83"/>
  <c r="Y140" i="83"/>
  <c r="Y141" i="83"/>
  <c r="Y143" i="83"/>
  <c r="Y144" i="83"/>
  <c r="Y145" i="83"/>
  <c r="Y146" i="83"/>
  <c r="Y148" i="83"/>
  <c r="Y149" i="83"/>
  <c r="Y150" i="83"/>
  <c r="Y151" i="83"/>
  <c r="Y152" i="83"/>
  <c r="Y153" i="83"/>
  <c r="Y154" i="83"/>
  <c r="Y155" i="83"/>
  <c r="Y157" i="83"/>
  <c r="Y159" i="83"/>
  <c r="Y162" i="83"/>
  <c r="Y163" i="83"/>
  <c r="Y164" i="83"/>
  <c r="Y165" i="83"/>
  <c r="Y167" i="83"/>
  <c r="Y169" i="83"/>
  <c r="Y170" i="83"/>
  <c r="Y177" i="83"/>
  <c r="Y178" i="83"/>
  <c r="Y179" i="83"/>
  <c r="Y180" i="83"/>
  <c r="Y181" i="83"/>
  <c r="Y182" i="83"/>
  <c r="Y185" i="83"/>
  <c r="Y187" i="83"/>
  <c r="Y188" i="83"/>
  <c r="Y189" i="83"/>
  <c r="Y190" i="83"/>
  <c r="Y191" i="83"/>
  <c r="Y192" i="83"/>
  <c r="Y193" i="83"/>
  <c r="Y194" i="83"/>
  <c r="Y195" i="83"/>
  <c r="Y196" i="83"/>
  <c r="Y197" i="83"/>
  <c r="Y200" i="83"/>
  <c r="Y204" i="83"/>
  <c r="Y198" i="83"/>
  <c r="G177" i="83" l="1"/>
  <c r="G178" i="83"/>
  <c r="G179" i="83"/>
  <c r="G180" i="83"/>
  <c r="G181" i="83"/>
  <c r="G182" i="83"/>
  <c r="G183" i="83"/>
  <c r="G185" i="83"/>
  <c r="G187" i="83"/>
  <c r="G188" i="83"/>
  <c r="G189" i="83"/>
  <c r="G190" i="83"/>
  <c r="G191" i="83"/>
  <c r="G192" i="83"/>
  <c r="G193" i="83"/>
  <c r="G194" i="83"/>
  <c r="G195" i="83"/>
  <c r="G196" i="83"/>
  <c r="G197" i="83"/>
  <c r="G199" i="83"/>
  <c r="G200" i="83"/>
  <c r="G204" i="83"/>
  <c r="G198" i="83"/>
  <c r="G176" i="83"/>
  <c r="G134" i="83"/>
  <c r="G135" i="83"/>
  <c r="G136" i="83"/>
  <c r="G137" i="83"/>
  <c r="G138" i="83"/>
  <c r="G139" i="83"/>
  <c r="G140" i="83"/>
  <c r="G141" i="83"/>
  <c r="G143" i="83"/>
  <c r="G144" i="83"/>
  <c r="G145" i="83"/>
  <c r="G146" i="83"/>
  <c r="G148" i="83"/>
  <c r="G149" i="83"/>
  <c r="G150" i="83"/>
  <c r="G151" i="83"/>
  <c r="G152" i="83"/>
  <c r="G153" i="83"/>
  <c r="G154" i="83"/>
  <c r="G155" i="83"/>
  <c r="G157" i="83"/>
  <c r="G159" i="83"/>
  <c r="G162" i="83"/>
  <c r="G163" i="83"/>
  <c r="G164" i="83"/>
  <c r="G165" i="83"/>
  <c r="G167" i="83"/>
  <c r="G169" i="83"/>
  <c r="G170" i="83"/>
  <c r="G133" i="83"/>
  <c r="F205" i="83"/>
  <c r="F171" i="83"/>
  <c r="G171" i="83" l="1"/>
  <c r="G205" i="83"/>
  <c r="H199" i="83"/>
  <c r="X199" i="83" s="1"/>
  <c r="W185" i="83"/>
  <c r="U185" i="83"/>
  <c r="S185" i="83"/>
  <c r="O185" i="83"/>
  <c r="M185" i="83"/>
  <c r="H183" i="83"/>
  <c r="X183" i="83" s="1"/>
  <c r="I114" i="83"/>
  <c r="I115" i="83"/>
  <c r="I116" i="83"/>
  <c r="I117" i="83"/>
  <c r="I118" i="83"/>
  <c r="I119" i="83"/>
  <c r="I120" i="83"/>
  <c r="I121" i="83"/>
  <c r="I122" i="83"/>
  <c r="I123" i="83"/>
  <c r="I125" i="83"/>
  <c r="I126" i="83"/>
  <c r="I110" i="83"/>
  <c r="I76" i="83"/>
  <c r="I77" i="83"/>
  <c r="I78" i="83"/>
  <c r="I79" i="83"/>
  <c r="I81" i="83"/>
  <c r="I82" i="83"/>
  <c r="I83" i="83"/>
  <c r="I85" i="83"/>
  <c r="I86" i="83"/>
  <c r="I87" i="83"/>
  <c r="I88" i="83"/>
  <c r="I89" i="83"/>
  <c r="I90" i="83"/>
  <c r="I92" i="83"/>
  <c r="I96" i="83"/>
  <c r="I97" i="83"/>
  <c r="I99" i="83"/>
  <c r="I100" i="83"/>
  <c r="I103" i="83"/>
  <c r="I104" i="83"/>
  <c r="I75" i="83"/>
  <c r="W119" i="83"/>
  <c r="Q119" i="83"/>
  <c r="O119" i="83"/>
  <c r="M119" i="83"/>
  <c r="I84" i="83"/>
  <c r="G58" i="83"/>
  <c r="G60" i="83"/>
  <c r="G62" i="83"/>
  <c r="G63" i="83"/>
  <c r="G64" i="83"/>
  <c r="G65" i="83"/>
  <c r="G66" i="83"/>
  <c r="G67" i="83"/>
  <c r="G68" i="83"/>
  <c r="G57" i="83"/>
  <c r="G32" i="83"/>
  <c r="G33" i="83"/>
  <c r="G34" i="83"/>
  <c r="G35" i="83"/>
  <c r="G36" i="83"/>
  <c r="G37" i="83"/>
  <c r="G38" i="83"/>
  <c r="G39" i="83"/>
  <c r="G41" i="83"/>
  <c r="G43" i="83"/>
  <c r="G45" i="83"/>
  <c r="G46" i="83"/>
  <c r="G47" i="83"/>
  <c r="G51" i="83"/>
  <c r="G52" i="83"/>
  <c r="G30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20" i="83"/>
  <c r="G21" i="83"/>
  <c r="G22" i="83"/>
  <c r="G23" i="83"/>
  <c r="G25" i="83"/>
  <c r="G6" i="83"/>
  <c r="H69" i="83"/>
  <c r="J69" i="83"/>
  <c r="L69" i="83"/>
  <c r="N69" i="83"/>
  <c r="P69" i="83"/>
  <c r="R69" i="83"/>
  <c r="T69" i="83"/>
  <c r="V69" i="83"/>
  <c r="F69" i="83"/>
  <c r="H53" i="83"/>
  <c r="J53" i="83"/>
  <c r="L53" i="83"/>
  <c r="N53" i="83"/>
  <c r="P53" i="83"/>
  <c r="R53" i="83"/>
  <c r="T53" i="83"/>
  <c r="V53" i="83"/>
  <c r="F53" i="83"/>
  <c r="H26" i="83"/>
  <c r="J26" i="83"/>
  <c r="L26" i="83"/>
  <c r="N26" i="83"/>
  <c r="P26" i="83"/>
  <c r="R26" i="83"/>
  <c r="T26" i="83"/>
  <c r="V26" i="83"/>
  <c r="F26" i="83"/>
  <c r="U16" i="83"/>
  <c r="Q16" i="83"/>
  <c r="O16" i="83"/>
  <c r="M16" i="83"/>
  <c r="U41" i="83"/>
  <c r="Q41" i="83"/>
  <c r="U9" i="83"/>
  <c r="Q9" i="83"/>
  <c r="O9" i="83"/>
  <c r="M9" i="83"/>
  <c r="U32" i="83"/>
  <c r="Q32" i="83"/>
  <c r="G53" i="83" l="1"/>
  <c r="H205" i="83"/>
  <c r="Y183" i="83"/>
  <c r="I183" i="83"/>
  <c r="I199" i="83"/>
  <c r="Y199" i="83"/>
  <c r="I26" i="83"/>
  <c r="G26" i="83"/>
  <c r="G69" i="83"/>
  <c r="M30" i="83" l="1"/>
  <c r="K6" i="83"/>
  <c r="M6" i="83"/>
  <c r="O6" i="83"/>
  <c r="Q6" i="83"/>
  <c r="S6" i="83"/>
  <c r="W6" i="83"/>
  <c r="M7" i="83"/>
  <c r="O7" i="83"/>
  <c r="Q7" i="83"/>
  <c r="U7" i="83"/>
  <c r="M8" i="83"/>
  <c r="O8" i="83"/>
  <c r="Q8" i="83"/>
  <c r="U8" i="83"/>
  <c r="M10" i="83"/>
  <c r="O10" i="83"/>
  <c r="Q10" i="83"/>
  <c r="U10" i="83"/>
  <c r="M11" i="83"/>
  <c r="O11" i="83"/>
  <c r="Q11" i="83"/>
  <c r="U11" i="83"/>
  <c r="M12" i="83"/>
  <c r="O12" i="83"/>
  <c r="Q12" i="83"/>
  <c r="U12" i="83"/>
  <c r="M13" i="83"/>
  <c r="O13" i="83"/>
  <c r="Q13" i="83"/>
  <c r="U13" i="83"/>
  <c r="M14" i="83"/>
  <c r="O14" i="83"/>
  <c r="Q14" i="83"/>
  <c r="U14" i="83"/>
  <c r="M15" i="83"/>
  <c r="O15" i="83"/>
  <c r="Q15" i="83"/>
  <c r="U15" i="83"/>
  <c r="M17" i="83"/>
  <c r="O17" i="83"/>
  <c r="Q17" i="83"/>
  <c r="U17" i="83"/>
  <c r="M20" i="83"/>
  <c r="O20" i="83"/>
  <c r="Q20" i="83"/>
  <c r="U20" i="83"/>
  <c r="M21" i="83"/>
  <c r="O21" i="83"/>
  <c r="Q21" i="83"/>
  <c r="U21" i="83"/>
  <c r="M22" i="83"/>
  <c r="O22" i="83"/>
  <c r="Q22" i="83"/>
  <c r="U22" i="83"/>
  <c r="M23" i="83"/>
  <c r="O23" i="83"/>
  <c r="Q23" i="83"/>
  <c r="U23" i="83"/>
  <c r="M25" i="83"/>
  <c r="O25" i="83"/>
  <c r="Q25" i="83"/>
  <c r="U25" i="83"/>
  <c r="I30" i="83"/>
  <c r="I53" i="83" s="1"/>
  <c r="K30" i="83"/>
  <c r="O30" i="83"/>
  <c r="Q30" i="83"/>
  <c r="S30" i="83"/>
  <c r="U30" i="83"/>
  <c r="W30" i="83"/>
  <c r="Q33" i="83"/>
  <c r="U33" i="83"/>
  <c r="Q34" i="83"/>
  <c r="U34" i="83"/>
  <c r="Q35" i="83"/>
  <c r="U35" i="83"/>
  <c r="Q36" i="83"/>
  <c r="U36" i="83"/>
  <c r="Q37" i="83"/>
  <c r="U37" i="83"/>
  <c r="Q38" i="83"/>
  <c r="U38" i="83"/>
  <c r="Q39" i="83"/>
  <c r="U39" i="83"/>
  <c r="Q45" i="83"/>
  <c r="U45" i="83"/>
  <c r="Q46" i="83"/>
  <c r="U46" i="83"/>
  <c r="Q47" i="83"/>
  <c r="U47" i="83"/>
  <c r="Q51" i="83"/>
  <c r="U51" i="83"/>
  <c r="Q52" i="83"/>
  <c r="U52" i="83"/>
  <c r="I57" i="83"/>
  <c r="I69" i="83" s="1"/>
  <c r="K57" i="83"/>
  <c r="M57" i="83"/>
  <c r="O57" i="83"/>
  <c r="Q57" i="83"/>
  <c r="S57" i="83"/>
  <c r="U57" i="83"/>
  <c r="W57" i="83"/>
  <c r="M58" i="83"/>
  <c r="O58" i="83"/>
  <c r="Q58" i="83"/>
  <c r="U58" i="83"/>
  <c r="M60" i="83"/>
  <c r="O60" i="83"/>
  <c r="Q60" i="83"/>
  <c r="U60" i="83"/>
  <c r="M62" i="83"/>
  <c r="O62" i="83"/>
  <c r="Q62" i="83"/>
  <c r="U62" i="83"/>
  <c r="M63" i="83"/>
  <c r="O63" i="83"/>
  <c r="Q63" i="83"/>
  <c r="U63" i="83"/>
  <c r="M64" i="83"/>
  <c r="O64" i="83"/>
  <c r="Q64" i="83"/>
  <c r="U64" i="83"/>
  <c r="M65" i="83"/>
  <c r="O65" i="83"/>
  <c r="Q65" i="83"/>
  <c r="U65" i="83"/>
  <c r="M66" i="83"/>
  <c r="O66" i="83"/>
  <c r="Q66" i="83"/>
  <c r="U66" i="83"/>
  <c r="M67" i="83"/>
  <c r="O67" i="83"/>
  <c r="Q67" i="83"/>
  <c r="U67" i="83"/>
  <c r="M68" i="83"/>
  <c r="O68" i="83"/>
  <c r="Q68" i="83"/>
  <c r="U68" i="83"/>
  <c r="Q69" i="83" l="1"/>
  <c r="Q53" i="83"/>
  <c r="W26" i="83"/>
  <c r="O26" i="83"/>
  <c r="W69" i="83"/>
  <c r="O69" i="83"/>
  <c r="W53" i="83"/>
  <c r="O53" i="83"/>
  <c r="U26" i="83"/>
  <c r="M26" i="83"/>
  <c r="U69" i="83"/>
  <c r="M69" i="83"/>
  <c r="U53" i="83"/>
  <c r="K53" i="83"/>
  <c r="S26" i="83"/>
  <c r="K26" i="83"/>
  <c r="S69" i="83"/>
  <c r="K69" i="83"/>
  <c r="S53" i="83"/>
  <c r="Q26" i="83"/>
  <c r="M53" i="83"/>
  <c r="W162" i="83"/>
  <c r="U162" i="83"/>
  <c r="S162" i="83"/>
  <c r="O162" i="83"/>
  <c r="M162" i="83"/>
  <c r="K162" i="83"/>
  <c r="W167" i="83" l="1"/>
  <c r="U167" i="83"/>
  <c r="S167" i="83"/>
  <c r="O167" i="83"/>
  <c r="M167" i="83"/>
  <c r="K167" i="83"/>
  <c r="W157" i="83"/>
  <c r="U157" i="83"/>
  <c r="S157" i="83"/>
  <c r="O157" i="83"/>
  <c r="M157" i="83"/>
  <c r="K157" i="83"/>
  <c r="W195" i="83"/>
  <c r="U195" i="83"/>
  <c r="S195" i="83"/>
  <c r="O195" i="83"/>
  <c r="M195" i="83"/>
  <c r="K195" i="83"/>
  <c r="W191" i="83"/>
  <c r="U191" i="83"/>
  <c r="S191" i="83"/>
  <c r="O191" i="83"/>
  <c r="M191" i="83"/>
  <c r="K191" i="83"/>
  <c r="W140" i="83"/>
  <c r="U140" i="83"/>
  <c r="S140" i="83"/>
  <c r="O140" i="83"/>
  <c r="M140" i="83"/>
  <c r="K140" i="83"/>
  <c r="W136" i="83"/>
  <c r="U136" i="83"/>
  <c r="S136" i="83"/>
  <c r="O136" i="83"/>
  <c r="M136" i="83"/>
  <c r="K136" i="83"/>
  <c r="W177" i="83"/>
  <c r="U177" i="83"/>
  <c r="S177" i="83"/>
  <c r="O177" i="83"/>
  <c r="M177" i="83"/>
  <c r="K177" i="83"/>
  <c r="W82" i="83"/>
  <c r="O170" i="83" l="1"/>
  <c r="W165" i="83"/>
  <c r="U165" i="83"/>
  <c r="S165" i="83"/>
  <c r="O165" i="83"/>
  <c r="M165" i="83"/>
  <c r="K165" i="83"/>
  <c r="W149" i="83"/>
  <c r="U149" i="83"/>
  <c r="S149" i="83"/>
  <c r="O149" i="83"/>
  <c r="M149" i="83"/>
  <c r="K149" i="83"/>
  <c r="W116" i="83"/>
  <c r="Q116" i="83"/>
  <c r="O116" i="83"/>
  <c r="M116" i="83"/>
  <c r="W180" i="83" l="1"/>
  <c r="U180" i="83"/>
  <c r="S180" i="83"/>
  <c r="O180" i="83"/>
  <c r="M180" i="83"/>
  <c r="K180" i="83"/>
  <c r="W154" i="83"/>
  <c r="U154" i="83"/>
  <c r="S154" i="83"/>
  <c r="O154" i="83"/>
  <c r="M154" i="83"/>
  <c r="K154" i="83"/>
  <c r="W153" i="83"/>
  <c r="U153" i="83"/>
  <c r="S153" i="83"/>
  <c r="O153" i="83"/>
  <c r="M153" i="83"/>
  <c r="K153" i="83"/>
  <c r="W76" i="83"/>
  <c r="Q76" i="83"/>
  <c r="W204" i="83"/>
  <c r="U204" i="83"/>
  <c r="S204" i="83"/>
  <c r="O204" i="83"/>
  <c r="M204" i="83"/>
  <c r="K204" i="83"/>
  <c r="W200" i="83"/>
  <c r="U200" i="83"/>
  <c r="S200" i="83"/>
  <c r="O200" i="83"/>
  <c r="M200" i="83"/>
  <c r="K200" i="83"/>
  <c r="W199" i="83"/>
  <c r="U199" i="83"/>
  <c r="S199" i="83"/>
  <c r="M199" i="83"/>
  <c r="K199" i="83"/>
  <c r="W197" i="83"/>
  <c r="U197" i="83"/>
  <c r="S197" i="83"/>
  <c r="O197" i="83"/>
  <c r="M197" i="83"/>
  <c r="K197" i="83"/>
  <c r="W196" i="83"/>
  <c r="U196" i="83"/>
  <c r="S196" i="83"/>
  <c r="O196" i="83"/>
  <c r="M196" i="83"/>
  <c r="K196" i="83"/>
  <c r="W194" i="83"/>
  <c r="U194" i="83"/>
  <c r="S194" i="83"/>
  <c r="O194" i="83"/>
  <c r="M194" i="83"/>
  <c r="K194" i="83"/>
  <c r="W193" i="83"/>
  <c r="U193" i="83"/>
  <c r="S193" i="83"/>
  <c r="O193" i="83"/>
  <c r="M193" i="83"/>
  <c r="K193" i="83"/>
  <c r="W192" i="83"/>
  <c r="U192" i="83"/>
  <c r="S192" i="83"/>
  <c r="O192" i="83"/>
  <c r="M192" i="83"/>
  <c r="K192" i="83"/>
  <c r="W190" i="83"/>
  <c r="U190" i="83"/>
  <c r="S190" i="83"/>
  <c r="O190" i="83"/>
  <c r="M190" i="83"/>
  <c r="K190" i="83"/>
  <c r="W189" i="83"/>
  <c r="U189" i="83"/>
  <c r="S189" i="83"/>
  <c r="O189" i="83"/>
  <c r="M189" i="83"/>
  <c r="K189" i="83"/>
  <c r="W188" i="83"/>
  <c r="U188" i="83"/>
  <c r="S188" i="83"/>
  <c r="O188" i="83"/>
  <c r="M188" i="83"/>
  <c r="W187" i="83"/>
  <c r="U187" i="83"/>
  <c r="S187" i="83"/>
  <c r="O187" i="83"/>
  <c r="M187" i="83"/>
  <c r="W183" i="83"/>
  <c r="U183" i="83"/>
  <c r="S183" i="83"/>
  <c r="O183" i="83"/>
  <c r="M183" i="83"/>
  <c r="K183" i="83"/>
  <c r="W182" i="83"/>
  <c r="U182" i="83"/>
  <c r="S182" i="83"/>
  <c r="O182" i="83"/>
  <c r="M182" i="83"/>
  <c r="K182" i="83"/>
  <c r="W181" i="83"/>
  <c r="U181" i="83"/>
  <c r="S181" i="83"/>
  <c r="O181" i="83"/>
  <c r="M181" i="83"/>
  <c r="K181" i="83"/>
  <c r="W179" i="83"/>
  <c r="U179" i="83"/>
  <c r="S179" i="83"/>
  <c r="O179" i="83"/>
  <c r="M179" i="83"/>
  <c r="K179" i="83"/>
  <c r="W178" i="83"/>
  <c r="U178" i="83"/>
  <c r="S178" i="83"/>
  <c r="O178" i="83"/>
  <c r="M178" i="83"/>
  <c r="K178" i="83"/>
  <c r="W176" i="83"/>
  <c r="U176" i="83"/>
  <c r="S176" i="83"/>
  <c r="Q176" i="83"/>
  <c r="O176" i="83"/>
  <c r="M176" i="83"/>
  <c r="K176" i="83"/>
  <c r="I176" i="83"/>
  <c r="I205" i="83" s="1"/>
  <c r="W170" i="83"/>
  <c r="U170" i="83"/>
  <c r="S170" i="83"/>
  <c r="M170" i="83"/>
  <c r="K170" i="83"/>
  <c r="W169" i="83"/>
  <c r="U169" i="83"/>
  <c r="S169" i="83"/>
  <c r="O169" i="83"/>
  <c r="M169" i="83"/>
  <c r="K169" i="83"/>
  <c r="W143" i="83"/>
  <c r="U143" i="83"/>
  <c r="S143" i="83"/>
  <c r="O143" i="83"/>
  <c r="M143" i="83"/>
  <c r="K143" i="83"/>
  <c r="W164" i="83"/>
  <c r="U164" i="83"/>
  <c r="S164" i="83"/>
  <c r="O164" i="83"/>
  <c r="M164" i="83"/>
  <c r="K164" i="83"/>
  <c r="W163" i="83"/>
  <c r="U163" i="83"/>
  <c r="S163" i="83"/>
  <c r="O163" i="83"/>
  <c r="M163" i="83"/>
  <c r="K163" i="83"/>
  <c r="W159" i="83"/>
  <c r="U159" i="83"/>
  <c r="S159" i="83"/>
  <c r="O159" i="83"/>
  <c r="M159" i="83"/>
  <c r="K159" i="83"/>
  <c r="W155" i="83"/>
  <c r="S155" i="83"/>
  <c r="W198" i="83"/>
  <c r="U198" i="83"/>
  <c r="S198" i="83"/>
  <c r="O198" i="83"/>
  <c r="M198" i="83"/>
  <c r="K198" i="83"/>
  <c r="W152" i="83"/>
  <c r="U152" i="83"/>
  <c r="S152" i="83"/>
  <c r="O152" i="83"/>
  <c r="M152" i="83"/>
  <c r="K152" i="83"/>
  <c r="W151" i="83"/>
  <c r="U151" i="83"/>
  <c r="S151" i="83"/>
  <c r="O151" i="83"/>
  <c r="M151" i="83"/>
  <c r="K151" i="83"/>
  <c r="W150" i="83"/>
  <c r="U150" i="83"/>
  <c r="S150" i="83"/>
  <c r="O150" i="83"/>
  <c r="M150" i="83"/>
  <c r="K150" i="83"/>
  <c r="W148" i="83"/>
  <c r="U148" i="83"/>
  <c r="S148" i="83"/>
  <c r="O148" i="83"/>
  <c r="M148" i="83"/>
  <c r="K148" i="83"/>
  <c r="W146" i="83"/>
  <c r="U146" i="83"/>
  <c r="S146" i="83"/>
  <c r="O146" i="83"/>
  <c r="M146" i="83"/>
  <c r="K146" i="83"/>
  <c r="W145" i="83"/>
  <c r="U145" i="83"/>
  <c r="S145" i="83"/>
  <c r="O145" i="83"/>
  <c r="M145" i="83"/>
  <c r="K145" i="83"/>
  <c r="W144" i="83"/>
  <c r="U144" i="83"/>
  <c r="S144" i="83"/>
  <c r="O144" i="83"/>
  <c r="M144" i="83"/>
  <c r="K144" i="83"/>
  <c r="W141" i="83"/>
  <c r="U141" i="83"/>
  <c r="S141" i="83"/>
  <c r="O141" i="83"/>
  <c r="M141" i="83"/>
  <c r="K141" i="83"/>
  <c r="W139" i="83"/>
  <c r="U139" i="83"/>
  <c r="S139" i="83"/>
  <c r="O139" i="83"/>
  <c r="M139" i="83"/>
  <c r="K139" i="83"/>
  <c r="W138" i="83"/>
  <c r="U138" i="83"/>
  <c r="S138" i="83"/>
  <c r="O138" i="83"/>
  <c r="M138" i="83"/>
  <c r="K138" i="83"/>
  <c r="W137" i="83"/>
  <c r="U137" i="83"/>
  <c r="S137" i="83"/>
  <c r="O137" i="83"/>
  <c r="M137" i="83"/>
  <c r="K137" i="83"/>
  <c r="W135" i="83"/>
  <c r="U135" i="83"/>
  <c r="S135" i="83"/>
  <c r="O135" i="83"/>
  <c r="M135" i="83"/>
  <c r="K135" i="83"/>
  <c r="W134" i="83"/>
  <c r="U134" i="83"/>
  <c r="S134" i="83"/>
  <c r="O134" i="83"/>
  <c r="M134" i="83"/>
  <c r="K134" i="83"/>
  <c r="W133" i="83"/>
  <c r="U133" i="83"/>
  <c r="S133" i="83"/>
  <c r="Q133" i="83"/>
  <c r="O133" i="83"/>
  <c r="M133" i="83"/>
  <c r="K133" i="83"/>
  <c r="I133" i="83"/>
  <c r="I171" i="83" s="1"/>
  <c r="V127" i="83"/>
  <c r="T127" i="83"/>
  <c r="R127" i="83"/>
  <c r="P127" i="83"/>
  <c r="N127" i="83"/>
  <c r="L127" i="83"/>
  <c r="H127" i="83"/>
  <c r="F127" i="83"/>
  <c r="W126" i="83"/>
  <c r="Q126" i="83"/>
  <c r="O126" i="83"/>
  <c r="M126" i="83"/>
  <c r="W125" i="83"/>
  <c r="Q125" i="83"/>
  <c r="O125" i="83"/>
  <c r="M125" i="83"/>
  <c r="W123" i="83"/>
  <c r="Q123" i="83"/>
  <c r="O123" i="83"/>
  <c r="M123" i="83"/>
  <c r="W122" i="83"/>
  <c r="Q122" i="83"/>
  <c r="O122" i="83"/>
  <c r="M122" i="83"/>
  <c r="W121" i="83"/>
  <c r="Q121" i="83"/>
  <c r="O121" i="83"/>
  <c r="M121" i="83"/>
  <c r="W120" i="83"/>
  <c r="Q120" i="83"/>
  <c r="O120" i="83"/>
  <c r="M120" i="83"/>
  <c r="W118" i="83"/>
  <c r="Q118" i="83"/>
  <c r="O118" i="83"/>
  <c r="M118" i="83"/>
  <c r="W117" i="83"/>
  <c r="Q117" i="83"/>
  <c r="O117" i="83"/>
  <c r="M117" i="83"/>
  <c r="W115" i="83"/>
  <c r="Q115" i="83"/>
  <c r="O115" i="83"/>
  <c r="M115" i="83"/>
  <c r="W114" i="83"/>
  <c r="Q114" i="83"/>
  <c r="O114" i="83"/>
  <c r="M114" i="83"/>
  <c r="I127" i="83"/>
  <c r="Y110" i="83"/>
  <c r="Y127" i="83" s="1"/>
  <c r="W110" i="83"/>
  <c r="U110" i="83"/>
  <c r="S110" i="83"/>
  <c r="Q110" i="83"/>
  <c r="O110" i="83"/>
  <c r="M110" i="83"/>
  <c r="K110" i="83"/>
  <c r="K127" i="83" s="1"/>
  <c r="R105" i="83"/>
  <c r="P105" i="83"/>
  <c r="N105" i="83"/>
  <c r="L105" i="83"/>
  <c r="J105" i="83"/>
  <c r="H105" i="83"/>
  <c r="F105" i="83"/>
  <c r="W104" i="83"/>
  <c r="W103" i="83"/>
  <c r="W100" i="83"/>
  <c r="W99" i="83"/>
  <c r="W97" i="83"/>
  <c r="W96" i="83"/>
  <c r="W92" i="83"/>
  <c r="W90" i="83"/>
  <c r="W89" i="83"/>
  <c r="W88" i="83"/>
  <c r="W87" i="83"/>
  <c r="W86" i="83"/>
  <c r="W85" i="83"/>
  <c r="W83" i="83"/>
  <c r="W81" i="83"/>
  <c r="W79" i="83"/>
  <c r="W78" i="83"/>
  <c r="T105" i="83"/>
  <c r="W77" i="83"/>
  <c r="Y75" i="83"/>
  <c r="Y105" i="83" s="1"/>
  <c r="W75" i="83"/>
  <c r="U75" i="83"/>
  <c r="S75" i="83"/>
  <c r="Q75" i="83"/>
  <c r="O75" i="83"/>
  <c r="M75" i="83"/>
  <c r="K75" i="83"/>
  <c r="Y6" i="83"/>
  <c r="G105" i="83"/>
  <c r="V105" i="83"/>
  <c r="W84" i="83"/>
  <c r="X127" i="83" l="1"/>
  <c r="O171" i="83"/>
  <c r="Q171" i="83"/>
  <c r="M205" i="83"/>
  <c r="U205" i="83"/>
  <c r="Y133" i="83"/>
  <c r="Y171" i="83" s="1"/>
  <c r="X171" i="83"/>
  <c r="K171" i="83"/>
  <c r="S171" i="83"/>
  <c r="O205" i="83"/>
  <c r="W205" i="83"/>
  <c r="S127" i="83"/>
  <c r="M171" i="83"/>
  <c r="U171" i="83"/>
  <c r="Q205" i="83"/>
  <c r="Y176" i="83"/>
  <c r="Y205" i="83" s="1"/>
  <c r="X205" i="83"/>
  <c r="W171" i="83"/>
  <c r="K205" i="83"/>
  <c r="S205" i="83"/>
  <c r="Q127" i="83"/>
  <c r="M105" i="83"/>
  <c r="O105" i="83"/>
  <c r="Y30" i="83"/>
  <c r="Y53" i="83" s="1"/>
  <c r="X53" i="83"/>
  <c r="U105" i="83"/>
  <c r="M127" i="83"/>
  <c r="U127" i="83"/>
  <c r="G127" i="83"/>
  <c r="O127" i="83"/>
  <c r="W127" i="83"/>
  <c r="K105" i="83"/>
  <c r="S105" i="83"/>
  <c r="I105" i="83"/>
  <c r="Q105" i="83"/>
  <c r="Y57" i="83"/>
  <c r="Y69" i="83" s="1"/>
  <c r="Y26" i="83"/>
  <c r="X26" i="83"/>
  <c r="W105" i="83"/>
  <c r="X105" i="83" l="1"/>
  <c r="AA210" i="83"/>
  <c r="AC210" i="83"/>
  <c r="AE210" i="83"/>
  <c r="AG210" i="83"/>
</calcChain>
</file>

<file path=xl/sharedStrings.xml><?xml version="1.0" encoding="utf-8"?>
<sst xmlns="http://schemas.openxmlformats.org/spreadsheetml/2006/main" count="1008" uniqueCount="312">
  <si>
    <t>Name</t>
  </si>
  <si>
    <t>Kat.</t>
  </si>
  <si>
    <t>B</t>
  </si>
  <si>
    <t>D</t>
  </si>
  <si>
    <t>Zwischentotal</t>
  </si>
  <si>
    <t xml:space="preserve">Total
(Std.) </t>
  </si>
  <si>
    <t>Total
(CHF)</t>
  </si>
  <si>
    <t>Ansatz
(CHF)</t>
  </si>
  <si>
    <t>C</t>
  </si>
  <si>
    <t>E</t>
  </si>
  <si>
    <t>Firma</t>
  </si>
  <si>
    <t>Oswald P.</t>
  </si>
  <si>
    <t>Netz A.</t>
  </si>
  <si>
    <t>Stonig C.</t>
  </si>
  <si>
    <t>Heutschi D.</t>
  </si>
  <si>
    <t>Meyer R.</t>
  </si>
  <si>
    <t>F</t>
  </si>
  <si>
    <t>Russer E.</t>
  </si>
  <si>
    <t>Mazzotta J.</t>
  </si>
  <si>
    <t>Schäublin W.</t>
  </si>
  <si>
    <t>G</t>
  </si>
  <si>
    <t>Forlin S.</t>
  </si>
  <si>
    <t>JSAG</t>
  </si>
  <si>
    <t>Ettenhuber P.</t>
  </si>
  <si>
    <t>Mendoza M.</t>
  </si>
  <si>
    <t>AeBo</t>
  </si>
  <si>
    <t>Falzone L.</t>
  </si>
  <si>
    <t>Gschwind M.</t>
  </si>
  <si>
    <t>Herbst C.</t>
  </si>
  <si>
    <t>Rothfuss F.</t>
  </si>
  <si>
    <t>Wortelboer A.</t>
  </si>
  <si>
    <t>Ortlieb HR.</t>
  </si>
  <si>
    <t>Chamillot St.</t>
  </si>
  <si>
    <t>Total</t>
  </si>
  <si>
    <t>Jan. 
Std.</t>
  </si>
  <si>
    <t>Jan. 
CHF</t>
  </si>
  <si>
    <t>Feb. 
Std.</t>
  </si>
  <si>
    <t>Feb. 
CHF</t>
  </si>
  <si>
    <t>März 
Std.</t>
  </si>
  <si>
    <t>März 
CHF</t>
  </si>
  <si>
    <t>April 
Std.</t>
  </si>
  <si>
    <t>April 
CHF</t>
  </si>
  <si>
    <t>Mai 
Std.</t>
  </si>
  <si>
    <t>Mai 
CHF</t>
  </si>
  <si>
    <t>Juni 
Std.</t>
  </si>
  <si>
    <t>Juni 
CHF</t>
  </si>
  <si>
    <t>Juli 
Std.</t>
  </si>
  <si>
    <t>Juli 
CHF</t>
  </si>
  <si>
    <t>Aug.
Std.</t>
  </si>
  <si>
    <t>Aug. 
CHF</t>
  </si>
  <si>
    <t>TP1 Tunnel / Geotechnik JSAG</t>
  </si>
  <si>
    <t>Müller S</t>
  </si>
  <si>
    <t>Nyfeler J.</t>
  </si>
  <si>
    <t>PN&amp;P</t>
  </si>
  <si>
    <t>Roth S.</t>
  </si>
  <si>
    <t>Schädler</t>
  </si>
  <si>
    <t>Fuchs C.</t>
  </si>
  <si>
    <t>Henz R.</t>
  </si>
  <si>
    <t>Alt A. (ab 1.7.13)</t>
  </si>
  <si>
    <t>Alt A. (bis 30.06.13)</t>
  </si>
  <si>
    <t>Boeglin C.</t>
  </si>
  <si>
    <t>Nyfeler E.</t>
  </si>
  <si>
    <t>TP1 Tunnel / Geotechnik AeBo</t>
  </si>
  <si>
    <t>TP1 Tunnel / Geotechnik Pfirter, Nyfeler &amp; Partner</t>
  </si>
  <si>
    <t>Brändli M.</t>
  </si>
  <si>
    <t>Kilcher-Frey D.</t>
  </si>
  <si>
    <t>Moser-Andres C.</t>
  </si>
  <si>
    <t>Ziehlmann N.</t>
  </si>
  <si>
    <t>Hirsig J.</t>
  </si>
  <si>
    <t>Bäumle M.</t>
  </si>
  <si>
    <t>Beuret A.</t>
  </si>
  <si>
    <t>Meister C.</t>
  </si>
  <si>
    <t>Ziegler B..</t>
  </si>
  <si>
    <t>TP2 Trasse/Umwelt JSAG</t>
  </si>
  <si>
    <t>TP2 Trasse/Umwelt AeBo</t>
  </si>
  <si>
    <t>Rey L.</t>
  </si>
  <si>
    <t>Weider</t>
  </si>
  <si>
    <t>TP3 Kunstbauten JSAG</t>
  </si>
  <si>
    <t>Giger H.</t>
  </si>
  <si>
    <t>Raupp D.</t>
  </si>
  <si>
    <t>Touilbi</t>
  </si>
  <si>
    <t>Vögtli N.</t>
  </si>
  <si>
    <t>Std. Cash</t>
  </si>
  <si>
    <t>TP3 Kunstbauten AeBo</t>
  </si>
  <si>
    <t>Marti T.</t>
  </si>
  <si>
    <t>Noordam P.</t>
  </si>
  <si>
    <t>Kaiser S.</t>
  </si>
  <si>
    <t>Wehrli P.</t>
  </si>
  <si>
    <t>Burger M.</t>
  </si>
  <si>
    <t>Benda R.</t>
  </si>
  <si>
    <t>Bianchi E.</t>
  </si>
  <si>
    <t>Hardmeyer C.</t>
  </si>
  <si>
    <t>Schwyn T.</t>
  </si>
  <si>
    <t>Mantinger M.</t>
  </si>
  <si>
    <t>Christen R.</t>
  </si>
  <si>
    <t>Beck P.</t>
  </si>
  <si>
    <t>Schurrer G.</t>
  </si>
  <si>
    <t xml:space="preserve">Total </t>
  </si>
  <si>
    <t>Stand:</t>
  </si>
  <si>
    <t>Zymeri S.</t>
  </si>
  <si>
    <t>Gerber Rigert B.</t>
  </si>
  <si>
    <t>Eschler M.</t>
  </si>
  <si>
    <t>Vogt P.</t>
  </si>
  <si>
    <t>Grieder M.</t>
  </si>
  <si>
    <t>Weber A.</t>
  </si>
  <si>
    <t>Wira St.</t>
  </si>
  <si>
    <t>Näf Birgitt</t>
  </si>
  <si>
    <t>Archiv</t>
  </si>
  <si>
    <t>Müller J.</t>
  </si>
  <si>
    <t>Kalak J.</t>
  </si>
  <si>
    <t>Bergmann G.</t>
  </si>
  <si>
    <t>Stocker T.</t>
  </si>
  <si>
    <t>Buser C.</t>
  </si>
  <si>
    <t>Ehret-Kreutz E.</t>
  </si>
  <si>
    <t>Stöhr J.</t>
  </si>
  <si>
    <t>Schaub O.</t>
  </si>
  <si>
    <t>Häring A.</t>
  </si>
  <si>
    <t>Bergmann G</t>
  </si>
  <si>
    <t>Bollhalder A.</t>
  </si>
  <si>
    <t xml:space="preserve">Schaad T. </t>
  </si>
  <si>
    <t>Ladner R.</t>
  </si>
  <si>
    <t>2013
Std.</t>
  </si>
  <si>
    <t>2013
CHF</t>
  </si>
  <si>
    <t>Eichenberger S.</t>
  </si>
  <si>
    <t>Fischer M.</t>
  </si>
  <si>
    <t>Hardmeyer Ch.</t>
  </si>
  <si>
    <t>Albrecht St.</t>
  </si>
  <si>
    <t>Frei L.</t>
  </si>
  <si>
    <t>Fritz J.</t>
  </si>
  <si>
    <t>Schaub Oliver</t>
  </si>
  <si>
    <t>Schmidt C.</t>
  </si>
  <si>
    <t>Winterle M.</t>
  </si>
  <si>
    <t>Zimmermann E.</t>
  </si>
  <si>
    <t>Oezbey Baykal</t>
  </si>
  <si>
    <t>Schmidlin Julian</t>
  </si>
  <si>
    <t>Chroust St.</t>
  </si>
  <si>
    <t>Jörger D.</t>
  </si>
  <si>
    <t>Martin D.</t>
  </si>
  <si>
    <t>Coray C.</t>
  </si>
  <si>
    <t>Räuftlin Th.</t>
  </si>
  <si>
    <t>Weber R.</t>
  </si>
  <si>
    <t>Gysin D.</t>
  </si>
  <si>
    <t>Rippstein T.</t>
  </si>
  <si>
    <t>Wernli S.</t>
  </si>
  <si>
    <t>Kipfer C.</t>
  </si>
  <si>
    <t>Wortelboer Alexander</t>
  </si>
  <si>
    <t>Kaserer M.</t>
  </si>
  <si>
    <t>Tschan S.</t>
  </si>
  <si>
    <t>Schmid M.</t>
  </si>
  <si>
    <t>Chiaverio F.</t>
  </si>
  <si>
    <t>Will C.</t>
  </si>
  <si>
    <t>Boschung J.</t>
  </si>
  <si>
    <t>Budget</t>
  </si>
  <si>
    <t>CHF/h</t>
  </si>
  <si>
    <t>Total inkl. Prognose</t>
  </si>
  <si>
    <t>Leistungen Phase MK / AP (SIA 31)</t>
  </si>
  <si>
    <t>Leistungen Phase MP / DP (SIA 32)</t>
  </si>
  <si>
    <t>Leistungen Phase Ausführungsprojektierung (SIA 51)</t>
  </si>
  <si>
    <t>Leistungen Phase Inbetriebnahme / Abschluss  (SIA 53)</t>
  </si>
  <si>
    <t>Prozentuale Zuteilung</t>
  </si>
  <si>
    <t>Zusammenzug exkl. Submission und Ausführung</t>
  </si>
  <si>
    <t>Aufwandschätzung EP Sissach - Eptingen</t>
  </si>
  <si>
    <t>Dossier</t>
  </si>
  <si>
    <t>Grundleistung</t>
  </si>
  <si>
    <t>Grundlagenpläne</t>
  </si>
  <si>
    <t>NV</t>
  </si>
  <si>
    <t>Statik</t>
  </si>
  <si>
    <t>PB</t>
  </si>
  <si>
    <t>TB</t>
  </si>
  <si>
    <t>Pläne</t>
  </si>
  <si>
    <t>Kosten</t>
  </si>
  <si>
    <t>TOTAL Tage</t>
  </si>
  <si>
    <t>TOTAL Std</t>
  </si>
  <si>
    <t>SOLL</t>
  </si>
  <si>
    <t>PGV</t>
  </si>
  <si>
    <t>Tragwerks-pläne</t>
  </si>
  <si>
    <t>ohne Tragwerks-anteil</t>
  </si>
  <si>
    <t>weitere Dok.</t>
  </si>
  <si>
    <t>Anteil BL</t>
  </si>
  <si>
    <t>Rg</t>
  </si>
  <si>
    <t>DAW</t>
  </si>
  <si>
    <t>PAW</t>
  </si>
  <si>
    <t>PNP</t>
  </si>
  <si>
    <t>JSAG ITB</t>
  </si>
  <si>
    <t>JSAG SBM</t>
  </si>
  <si>
    <t>AeBo PL
20%</t>
  </si>
  <si>
    <t>JSAG PL
80%</t>
  </si>
  <si>
    <t>PL
100%</t>
  </si>
  <si>
    <t>Inventarobjekt</t>
  </si>
  <si>
    <t>IO-Nummer</t>
  </si>
  <si>
    <t>Baukosten EK II</t>
  </si>
  <si>
    <t>- Einarbeiten
- Begehung
- Administrativ
- digitale Ablage</t>
  </si>
  <si>
    <t>- digitalisieren Plan</t>
  </si>
  <si>
    <t>- Einarbeiten
- Begehung
- weitere Unters./UL
- Administrativ
- digitale Ablage</t>
  </si>
  <si>
    <t>TUNNEL</t>
  </si>
  <si>
    <t>TU Ebenrain</t>
  </si>
  <si>
    <t>4.501.1 + 2</t>
  </si>
  <si>
    <t>TU Oberburg</t>
  </si>
  <si>
    <t>4.503.1 + 2</t>
  </si>
  <si>
    <r>
      <rPr>
        <b/>
        <u/>
        <sz val="11"/>
        <color theme="1"/>
        <rFont val="Arial"/>
        <family val="2"/>
      </rPr>
      <t>Anmerkungen zu prozentualen Faktoren:</t>
    </r>
    <r>
      <rPr>
        <sz val="11"/>
        <color theme="1"/>
        <rFont val="Arial"/>
        <family val="2"/>
      </rPr>
      <t xml:space="preserve">
- Für die Projektleitung sind 10% eingerechnet
- Für die Synthese / Gesamtdossier sind 5%bei Phase 31, 32 und 53 eingerechnet.</t>
    </r>
  </si>
  <si>
    <t>GEOTECHNIK</t>
  </si>
  <si>
    <t>SSS Niederdiegten</t>
  </si>
  <si>
    <t>SSS Oberburg oben</t>
  </si>
  <si>
    <t>11.304.1</t>
  </si>
  <si>
    <t>SSS Oberburg unten</t>
  </si>
  <si>
    <t>11.304.2</t>
  </si>
  <si>
    <t>SSS Oberburg N2</t>
  </si>
  <si>
    <t>11.304.3</t>
  </si>
  <si>
    <t>SSS Oberburg Nordportal+Stützmauer</t>
  </si>
  <si>
    <t>11.304.6</t>
  </si>
  <si>
    <t>SSS Oberburg Südportal Ost</t>
  </si>
  <si>
    <t>11.305.3</t>
  </si>
  <si>
    <t>SSS Oberburg Südportal Holz</t>
  </si>
  <si>
    <t>11.305.1</t>
  </si>
  <si>
    <t>SSS Oberburg Südportal West</t>
  </si>
  <si>
    <t>11.305.2</t>
  </si>
  <si>
    <t>SSS Schaubrain Draht</t>
  </si>
  <si>
    <t>11.301.3</t>
  </si>
  <si>
    <t>Anteil JSAG bei PL + Dossiers</t>
  </si>
  <si>
    <t>SSS Schaubrain oben</t>
  </si>
  <si>
    <t>11.301.1</t>
  </si>
  <si>
    <t>Anteil AeBo bei PL + Dossiers</t>
  </si>
  <si>
    <t>SSS Schaubrain unten</t>
  </si>
  <si>
    <t>11.301.2</t>
  </si>
  <si>
    <t>SSS Dangern unten</t>
  </si>
  <si>
    <t>11.306.1</t>
  </si>
  <si>
    <t>SSS Dangern Draht</t>
  </si>
  <si>
    <t>11.306.2</t>
  </si>
  <si>
    <t>PL</t>
  </si>
  <si>
    <t>SSS Bugswald</t>
  </si>
  <si>
    <t>11.307.1</t>
  </si>
  <si>
    <t>31 + 32 + 53</t>
  </si>
  <si>
    <t>SM parallel Ergholz</t>
  </si>
  <si>
    <t>SM Tunnel Ebenrain Portal Süd</t>
  </si>
  <si>
    <t>SM Sperrmatt</t>
  </si>
  <si>
    <t>SM Wasenhaus</t>
  </si>
  <si>
    <t>SM Niederdiegten (Anker)</t>
  </si>
  <si>
    <t>SM Mitteldiegten</t>
  </si>
  <si>
    <t>A Mitteldiegten</t>
  </si>
  <si>
    <t>---</t>
  </si>
  <si>
    <t>SM Rotacker</t>
  </si>
  <si>
    <t>SM Voreinschnitt Oberburg Nordportal</t>
  </si>
  <si>
    <t>A Voreinschnitt Oberburg Nordportal</t>
  </si>
  <si>
    <t>SM Schaubrain</t>
  </si>
  <si>
    <t>A Schaubrain</t>
  </si>
  <si>
    <t>SM Than</t>
  </si>
  <si>
    <t>SM Ebmatt</t>
  </si>
  <si>
    <t>R Rutschhang Rotacker</t>
  </si>
  <si>
    <t>in IO 6.305</t>
  </si>
  <si>
    <t>R Rutsch Edelweiss</t>
  </si>
  <si>
    <t>9.327-330</t>
  </si>
  <si>
    <t>A Rutsch Edelweiss</t>
  </si>
  <si>
    <t>Felseinschnitt Dangern</t>
  </si>
  <si>
    <t>A Felsanschnitt Dangern</t>
  </si>
  <si>
    <t>R Rutsch Zunzgen</t>
  </si>
  <si>
    <t>Felseinschnitt Tenniken</t>
  </si>
  <si>
    <t>R Diegten, Böschung westl. N2</t>
  </si>
  <si>
    <t>R Rutsch Oberbrug</t>
  </si>
  <si>
    <t>R Rutsch Ebmatt</t>
  </si>
  <si>
    <t>R übrige Rutsche nur Spülen Entw.</t>
  </si>
  <si>
    <t>div.</t>
  </si>
  <si>
    <t>KUNSTBAUTEN</t>
  </si>
  <si>
    <t>BR Lindenacker</t>
  </si>
  <si>
    <t>1.405.1 + 2</t>
  </si>
  <si>
    <t>BR Zunzgen</t>
  </si>
  <si>
    <t>1.406.1 + 2</t>
  </si>
  <si>
    <t>BR Oberburg</t>
  </si>
  <si>
    <t>1.407.1 + 2</t>
  </si>
  <si>
    <t>BR Eptingen</t>
  </si>
  <si>
    <t>1.421.1 + 2</t>
  </si>
  <si>
    <t xml:space="preserve"> ---</t>
  </si>
  <si>
    <t>ÜF Zubringer AS Sissach</t>
  </si>
  <si>
    <t>ÜF AS Sissach</t>
  </si>
  <si>
    <t>1.662.1 + 2</t>
  </si>
  <si>
    <t>ÜF Steinler</t>
  </si>
  <si>
    <t xml:space="preserve">ÜF Sperrmatt </t>
  </si>
  <si>
    <t>ÜF Bisnacht</t>
  </si>
  <si>
    <t>ÜF Mitteldiegten</t>
  </si>
  <si>
    <t>UF Bleimatten</t>
  </si>
  <si>
    <t>UF Wasenhaus</t>
  </si>
  <si>
    <t>UF Eimatt</t>
  </si>
  <si>
    <t>UF Niederdiegten</t>
  </si>
  <si>
    <t>UF Gemeindehaus Diegten</t>
  </si>
  <si>
    <t>UF Mühle Diegten</t>
  </si>
  <si>
    <t>UF AS Diegten</t>
  </si>
  <si>
    <t>1.683.1 + 2</t>
  </si>
  <si>
    <t>UF Oberdiegten</t>
  </si>
  <si>
    <t>A Oberburg</t>
  </si>
  <si>
    <t>DL Diegterbach Bachmatt</t>
  </si>
  <si>
    <t>DL Diegterbach Mühlematt</t>
  </si>
  <si>
    <t>DL Eibächli</t>
  </si>
  <si>
    <t>DL Helgenmattbächli</t>
  </si>
  <si>
    <t>Wildtierüberführung</t>
  </si>
  <si>
    <t>TRASSE</t>
  </si>
  <si>
    <t>TR Oberbau</t>
  </si>
  <si>
    <t>13.02.16.302.02</t>
  </si>
  <si>
    <t>TR Anschlüsse</t>
  </si>
  <si>
    <t>in Oberbau</t>
  </si>
  <si>
    <t>TR Entwässerung</t>
  </si>
  <si>
    <t>TR BSA Tiefbau</t>
  </si>
  <si>
    <t>TR Fahrzeugrückhaltesysteme</t>
  </si>
  <si>
    <t>TR Zäune</t>
  </si>
  <si>
    <t>TR Signalisation und Markierung</t>
  </si>
  <si>
    <t>TR Grundwasserschutzmauern</t>
  </si>
  <si>
    <t>TR Energieleitungstunnel</t>
  </si>
  <si>
    <t>TR Rastplatz Tenniken</t>
  </si>
  <si>
    <t>TR Provisorische Verkehrsführung</t>
  </si>
  <si>
    <t>Verkehrsführung</t>
  </si>
  <si>
    <t>TR Lärmschutzwände</t>
  </si>
  <si>
    <t>inkl. PGV</t>
  </si>
  <si>
    <t>Prognose September</t>
  </si>
  <si>
    <t>Prognose Oktober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</si>
</sst>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#,##0.000"/>
    <numFmt numFmtId="166" formatCode="#,##0_ ;\-#,##0\ "/>
    <numFmt numFmtId="167" formatCode="_ * #,##0_ ;_ * \-#,##0_ ;_ * &quot;-&quot;??_ ;_ @_ "/>
  </numFmts>
  <fonts count="40" x14ac:knownFonts="1">
    <font>
      <sz val="10"/>
      <name val="Arial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color indexed="63"/>
      <name val="Arial"/>
      <family val="2"/>
    </font>
    <font>
      <b/>
      <sz val="10"/>
      <color indexed="52"/>
      <name val="Arial"/>
      <family val="2"/>
    </font>
    <font>
      <sz val="10"/>
      <color indexed="62"/>
      <name val="Arial"/>
      <family val="2"/>
    </font>
    <font>
      <b/>
      <sz val="10"/>
      <color indexed="8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20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52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rgb="FFFF0000"/>
      <name val="Arial"/>
      <family val="2"/>
    </font>
    <font>
      <sz val="10"/>
      <name val="Arial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11"/>
      <name val="Arial"/>
      <family val="2"/>
    </font>
    <font>
      <b/>
      <sz val="11"/>
      <color theme="0"/>
      <name val="Arial"/>
      <family val="2"/>
    </font>
    <font>
      <b/>
      <sz val="11"/>
      <color rgb="FFFF0000"/>
      <name val="Arial"/>
      <family val="2"/>
    </font>
    <font>
      <b/>
      <u/>
      <sz val="11"/>
      <color theme="1"/>
      <name val="Arial"/>
      <family val="2"/>
    </font>
    <font>
      <i/>
      <sz val="10"/>
      <color theme="1"/>
      <name val="Arial"/>
      <family val="2"/>
    </font>
    <font>
      <strike/>
      <sz val="10"/>
      <color theme="1"/>
      <name val="Arial"/>
      <family val="2"/>
    </font>
    <font>
      <i/>
      <sz val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11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6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4" fillId="8" borderId="1" applyNumberFormat="0" applyAlignment="0" applyProtection="0"/>
    <xf numFmtId="0" fontId="5" fillId="8" borderId="2" applyNumberFormat="0" applyAlignment="0" applyProtection="0"/>
    <xf numFmtId="0" fontId="6" fillId="2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10" borderId="0" applyNumberFormat="0" applyBorder="0" applyAlignment="0" applyProtection="0"/>
    <xf numFmtId="0" fontId="11" fillId="5" borderId="0" applyNumberFormat="0" applyBorder="0" applyAlignment="0" applyProtection="0"/>
    <xf numFmtId="0" fontId="22" fillId="0" borderId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22" borderId="8" applyNumberFormat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93">
    <xf numFmtId="0" fontId="0" fillId="0" borderId="0" xfId="0"/>
    <xf numFmtId="0" fontId="18" fillId="0" borderId="0" xfId="0" applyFont="1"/>
    <xf numFmtId="4" fontId="18" fillId="0" borderId="0" xfId="0" applyNumberFormat="1" applyFont="1"/>
    <xf numFmtId="0" fontId="18" fillId="0" borderId="0" xfId="0" applyFont="1" applyFill="1"/>
    <xf numFmtId="4" fontId="18" fillId="0" borderId="0" xfId="0" applyNumberFormat="1" applyFont="1" applyFill="1"/>
    <xf numFmtId="0" fontId="18" fillId="0" borderId="0" xfId="0" applyFont="1" applyFill="1" applyBorder="1" applyAlignment="1">
      <alignment vertical="center"/>
    </xf>
    <xf numFmtId="0" fontId="18" fillId="24" borderId="0" xfId="0" applyFont="1" applyFill="1"/>
    <xf numFmtId="0" fontId="18" fillId="24" borderId="9" xfId="0" applyFont="1" applyFill="1" applyBorder="1" applyAlignment="1">
      <alignment vertical="center"/>
    </xf>
    <xf numFmtId="0" fontId="18" fillId="24" borderId="9" xfId="0" applyFont="1" applyFill="1" applyBorder="1" applyAlignment="1">
      <alignment horizontal="center" vertical="center" wrapText="1"/>
    </xf>
    <xf numFmtId="17" fontId="18" fillId="24" borderId="9" xfId="0" applyNumberFormat="1" applyFont="1" applyFill="1" applyBorder="1" applyAlignment="1">
      <alignment horizontal="center" vertical="center" wrapText="1"/>
    </xf>
    <xf numFmtId="0" fontId="19" fillId="24" borderId="9" xfId="0" applyFont="1" applyFill="1" applyBorder="1" applyAlignment="1">
      <alignment horizontal="center" vertical="center" wrapText="1"/>
    </xf>
    <xf numFmtId="0" fontId="18" fillId="24" borderId="9" xfId="0" applyFont="1" applyFill="1" applyBorder="1"/>
    <xf numFmtId="4" fontId="18" fillId="24" borderId="9" xfId="0" applyNumberFormat="1" applyFont="1" applyFill="1" applyBorder="1"/>
    <xf numFmtId="14" fontId="18" fillId="0" borderId="0" xfId="0" applyNumberFormat="1" applyFont="1"/>
    <xf numFmtId="0" fontId="18" fillId="0" borderId="0" xfId="0" applyFont="1" applyFill="1" applyBorder="1"/>
    <xf numFmtId="0" fontId="18" fillId="26" borderId="0" xfId="0" applyFont="1" applyFill="1"/>
    <xf numFmtId="4" fontId="18" fillId="0" borderId="0" xfId="0" applyNumberFormat="1" applyFont="1" applyFill="1"/>
    <xf numFmtId="0" fontId="26" fillId="24" borderId="0" xfId="0" applyFont="1" applyFill="1"/>
    <xf numFmtId="0" fontId="18" fillId="0" borderId="9" xfId="0" applyFont="1" applyFill="1" applyBorder="1" applyAlignment="1">
      <alignment vertical="center"/>
    </xf>
    <xf numFmtId="4" fontId="18" fillId="0" borderId="9" xfId="0" applyNumberFormat="1" applyFont="1" applyFill="1" applyBorder="1" applyAlignment="1">
      <alignment horizontal="right" vertical="center"/>
    </xf>
    <xf numFmtId="0" fontId="19" fillId="0" borderId="9" xfId="0" applyFont="1" applyFill="1" applyBorder="1" applyAlignment="1">
      <alignment vertical="center"/>
    </xf>
    <xf numFmtId="0" fontId="18" fillId="0" borderId="9" xfId="0" applyFont="1" applyFill="1" applyBorder="1" applyAlignment="1">
      <alignment horizontal="right" vertical="center"/>
    </xf>
    <xf numFmtId="0" fontId="19" fillId="0" borderId="0" xfId="0" applyFont="1" applyFill="1" applyBorder="1" applyAlignment="1">
      <alignment vertical="center"/>
    </xf>
    <xf numFmtId="0" fontId="18" fillId="0" borderId="9" xfId="0" applyFont="1" applyFill="1" applyBorder="1"/>
    <xf numFmtId="4" fontId="18" fillId="0" borderId="9" xfId="0" applyNumberFormat="1" applyFont="1" applyFill="1" applyBorder="1"/>
    <xf numFmtId="0" fontId="26" fillId="29" borderId="0" xfId="0" applyFont="1" applyFill="1"/>
    <xf numFmtId="0" fontId="18" fillId="29" borderId="0" xfId="0" applyFont="1" applyFill="1"/>
    <xf numFmtId="0" fontId="18" fillId="29" borderId="9" xfId="0" applyFont="1" applyFill="1" applyBorder="1" applyAlignment="1">
      <alignment vertical="center"/>
    </xf>
    <xf numFmtId="0" fontId="18" fillId="29" borderId="9" xfId="0" applyFont="1" applyFill="1" applyBorder="1" applyAlignment="1">
      <alignment horizontal="center" vertical="center" wrapText="1"/>
    </xf>
    <xf numFmtId="17" fontId="18" fillId="29" borderId="9" xfId="0" applyNumberFormat="1" applyFont="1" applyFill="1" applyBorder="1" applyAlignment="1">
      <alignment horizontal="center" vertical="center" wrapText="1"/>
    </xf>
    <xf numFmtId="0" fontId="19" fillId="29" borderId="9" xfId="0" applyFont="1" applyFill="1" applyBorder="1" applyAlignment="1">
      <alignment horizontal="center" vertical="center" wrapText="1"/>
    </xf>
    <xf numFmtId="0" fontId="18" fillId="29" borderId="9" xfId="0" applyFont="1" applyFill="1" applyBorder="1" applyAlignment="1">
      <alignment horizontal="center" vertical="center"/>
    </xf>
    <xf numFmtId="2" fontId="18" fillId="29" borderId="9" xfId="0" applyNumberFormat="1" applyFont="1" applyFill="1" applyBorder="1" applyAlignment="1">
      <alignment horizontal="right" vertical="center"/>
    </xf>
    <xf numFmtId="4" fontId="18" fillId="29" borderId="9" xfId="0" applyNumberFormat="1" applyFont="1" applyFill="1" applyBorder="1" applyAlignment="1">
      <alignment horizontal="center" vertical="center"/>
    </xf>
    <xf numFmtId="4" fontId="18" fillId="29" borderId="9" xfId="0" applyNumberFormat="1" applyFont="1" applyFill="1" applyBorder="1" applyAlignment="1">
      <alignment horizontal="right" vertical="center"/>
    </xf>
    <xf numFmtId="0" fontId="19" fillId="29" borderId="0" xfId="0" applyFont="1" applyFill="1" applyBorder="1" applyAlignment="1">
      <alignment vertical="center"/>
    </xf>
    <xf numFmtId="0" fontId="18" fillId="29" borderId="0" xfId="0" applyFont="1" applyFill="1" applyBorder="1" applyAlignment="1">
      <alignment vertical="center"/>
    </xf>
    <xf numFmtId="0" fontId="18" fillId="29" borderId="0" xfId="0" applyFont="1" applyFill="1" applyBorder="1" applyAlignment="1">
      <alignment horizontal="right" vertical="center"/>
    </xf>
    <xf numFmtId="4" fontId="20" fillId="29" borderId="0" xfId="0" applyNumberFormat="1" applyFont="1" applyFill="1" applyBorder="1" applyAlignment="1">
      <alignment horizontal="right" vertical="center"/>
    </xf>
    <xf numFmtId="4" fontId="19" fillId="29" borderId="0" xfId="0" applyNumberFormat="1" applyFont="1" applyFill="1" applyBorder="1" applyAlignment="1">
      <alignment horizontal="right" vertical="center"/>
    </xf>
    <xf numFmtId="2" fontId="18" fillId="29" borderId="9" xfId="0" applyNumberFormat="1" applyFont="1" applyFill="1" applyBorder="1" applyAlignment="1">
      <alignment horizontal="right" vertical="center" wrapText="1"/>
    </xf>
    <xf numFmtId="4" fontId="18" fillId="29" borderId="9" xfId="0" applyNumberFormat="1" applyFont="1" applyFill="1" applyBorder="1" applyAlignment="1">
      <alignment horizontal="right" vertical="center" wrapText="1"/>
    </xf>
    <xf numFmtId="4" fontId="18" fillId="29" borderId="0" xfId="0" applyNumberFormat="1" applyFont="1" applyFill="1" applyBorder="1" applyAlignment="1">
      <alignment horizontal="right" vertical="center"/>
    </xf>
    <xf numFmtId="4" fontId="18" fillId="24" borderId="9" xfId="0" applyNumberFormat="1" applyFont="1" applyFill="1" applyBorder="1" applyAlignment="1">
      <alignment horizontal="right" vertical="center"/>
    </xf>
    <xf numFmtId="0" fontId="19" fillId="24" borderId="0" xfId="0" applyFont="1" applyFill="1" applyBorder="1" applyAlignment="1">
      <alignment vertical="center"/>
    </xf>
    <xf numFmtId="0" fontId="18" fillId="24" borderId="0" xfId="0" applyFont="1" applyFill="1" applyBorder="1" applyAlignment="1">
      <alignment vertical="center"/>
    </xf>
    <xf numFmtId="0" fontId="18" fillId="24" borderId="0" xfId="0" applyFont="1" applyFill="1" applyBorder="1" applyAlignment="1">
      <alignment horizontal="right" vertical="center"/>
    </xf>
    <xf numFmtId="4" fontId="18" fillId="24" borderId="0" xfId="0" applyNumberFormat="1" applyFont="1" applyFill="1" applyBorder="1" applyAlignment="1">
      <alignment horizontal="right" vertical="center"/>
    </xf>
    <xf numFmtId="0" fontId="26" fillId="31" borderId="0" xfId="0" applyFont="1" applyFill="1"/>
    <xf numFmtId="0" fontId="18" fillId="31" borderId="0" xfId="0" applyFont="1" applyFill="1"/>
    <xf numFmtId="0" fontId="18" fillId="31" borderId="9" xfId="0" applyFont="1" applyFill="1" applyBorder="1" applyAlignment="1">
      <alignment vertical="center"/>
    </xf>
    <xf numFmtId="0" fontId="18" fillId="31" borderId="9" xfId="0" applyFont="1" applyFill="1" applyBorder="1" applyAlignment="1">
      <alignment horizontal="center" vertical="center" wrapText="1"/>
    </xf>
    <xf numFmtId="17" fontId="18" fillId="31" borderId="9" xfId="0" applyNumberFormat="1" applyFont="1" applyFill="1" applyBorder="1" applyAlignment="1">
      <alignment horizontal="center" vertical="center" wrapText="1"/>
    </xf>
    <xf numFmtId="0" fontId="19" fillId="31" borderId="9" xfId="0" applyFont="1" applyFill="1" applyBorder="1" applyAlignment="1">
      <alignment horizontal="center" vertical="center" wrapText="1"/>
    </xf>
    <xf numFmtId="0" fontId="18" fillId="31" borderId="9" xfId="0" applyFont="1" applyFill="1" applyBorder="1"/>
    <xf numFmtId="4" fontId="18" fillId="31" borderId="9" xfId="0" applyNumberFormat="1" applyFont="1" applyFill="1" applyBorder="1"/>
    <xf numFmtId="4" fontId="18" fillId="31" borderId="9" xfId="0" applyNumberFormat="1" applyFont="1" applyFill="1" applyBorder="1" applyAlignment="1">
      <alignment horizontal="right" vertical="center"/>
    </xf>
    <xf numFmtId="0" fontId="19" fillId="31" borderId="0" xfId="0" applyFont="1" applyFill="1" applyBorder="1" applyAlignment="1">
      <alignment vertical="center"/>
    </xf>
    <xf numFmtId="0" fontId="18" fillId="31" borderId="0" xfId="0" applyFont="1" applyFill="1" applyBorder="1" applyAlignment="1">
      <alignment vertical="center"/>
    </xf>
    <xf numFmtId="0" fontId="18" fillId="31" borderId="0" xfId="0" applyFont="1" applyFill="1" applyBorder="1" applyAlignment="1">
      <alignment horizontal="right" vertical="center"/>
    </xf>
    <xf numFmtId="4" fontId="18" fillId="31" borderId="0" xfId="0" applyNumberFormat="1" applyFont="1" applyFill="1" applyBorder="1" applyAlignment="1">
      <alignment horizontal="right" vertical="center"/>
    </xf>
    <xf numFmtId="4" fontId="18" fillId="31" borderId="0" xfId="0" applyNumberFormat="1" applyFont="1" applyFill="1"/>
    <xf numFmtId="0" fontId="19" fillId="0" borderId="9" xfId="0" applyFont="1" applyFill="1" applyBorder="1"/>
    <xf numFmtId="4" fontId="19" fillId="0" borderId="9" xfId="0" applyNumberFormat="1" applyFont="1" applyFill="1" applyBorder="1"/>
    <xf numFmtId="4" fontId="19" fillId="0" borderId="9" xfId="0" applyNumberFormat="1" applyFont="1" applyFill="1" applyBorder="1" applyAlignment="1">
      <alignment horizontal="right" vertical="center"/>
    </xf>
    <xf numFmtId="0" fontId="19" fillId="29" borderId="18" xfId="0" applyFont="1" applyFill="1" applyBorder="1" applyAlignment="1">
      <alignment horizontal="center" vertical="center" wrapText="1"/>
    </xf>
    <xf numFmtId="0" fontId="18" fillId="0" borderId="19" xfId="0" applyFont="1" applyFill="1" applyBorder="1"/>
    <xf numFmtId="0" fontId="19" fillId="29" borderId="22" xfId="0" applyFont="1" applyFill="1" applyBorder="1" applyAlignment="1">
      <alignment horizontal="center" vertical="center" wrapText="1"/>
    </xf>
    <xf numFmtId="0" fontId="18" fillId="0" borderId="23" xfId="0" applyFont="1" applyFill="1" applyBorder="1"/>
    <xf numFmtId="0" fontId="18" fillId="0" borderId="16" xfId="0" applyFont="1" applyFill="1" applyBorder="1"/>
    <xf numFmtId="0" fontId="1" fillId="0" borderId="0" xfId="43"/>
    <xf numFmtId="164" fontId="1" fillId="0" borderId="0" xfId="43" applyNumberFormat="1" applyAlignment="1">
      <alignment horizontal="left"/>
    </xf>
    <xf numFmtId="165" fontId="1" fillId="0" borderId="0" xfId="43" applyNumberFormat="1"/>
    <xf numFmtId="0" fontId="28" fillId="0" borderId="0" xfId="43" applyFont="1"/>
    <xf numFmtId="0" fontId="28" fillId="23" borderId="11" xfId="43" applyFont="1" applyFill="1" applyBorder="1"/>
    <xf numFmtId="0" fontId="28" fillId="23" borderId="12" xfId="43" applyFont="1" applyFill="1" applyBorder="1"/>
    <xf numFmtId="0" fontId="28" fillId="23" borderId="13" xfId="43" applyFont="1" applyFill="1" applyBorder="1"/>
    <xf numFmtId="0" fontId="25" fillId="0" borderId="0" xfId="43" applyFont="1"/>
    <xf numFmtId="0" fontId="1" fillId="30" borderId="11" xfId="43" applyFill="1" applyBorder="1"/>
    <xf numFmtId="0" fontId="1" fillId="30" borderId="12" xfId="43" applyFill="1" applyBorder="1"/>
    <xf numFmtId="0" fontId="1" fillId="30" borderId="13" xfId="43" applyFill="1" applyBorder="1"/>
    <xf numFmtId="0" fontId="30" fillId="0" borderId="0" xfId="43" applyFont="1"/>
    <xf numFmtId="0" fontId="1" fillId="0" borderId="21" xfId="43" applyBorder="1" applyAlignment="1">
      <alignment horizontal="right"/>
    </xf>
    <xf numFmtId="0" fontId="1" fillId="0" borderId="0" xfId="43" applyBorder="1" applyAlignment="1">
      <alignment horizontal="right"/>
    </xf>
    <xf numFmtId="0" fontId="1" fillId="0" borderId="19" xfId="43" applyBorder="1"/>
    <xf numFmtId="0" fontId="28" fillId="23" borderId="14" xfId="43" applyFont="1" applyFill="1" applyBorder="1"/>
    <xf numFmtId="0" fontId="28" fillId="23" borderId="0" xfId="43" applyFont="1" applyFill="1" applyBorder="1"/>
    <xf numFmtId="0" fontId="28" fillId="23" borderId="15" xfId="43" applyFont="1" applyFill="1" applyBorder="1"/>
    <xf numFmtId="0" fontId="1" fillId="30" borderId="14" xfId="43" applyFill="1" applyBorder="1"/>
    <xf numFmtId="0" fontId="1" fillId="30" borderId="0" xfId="43" applyFill="1" applyBorder="1"/>
    <xf numFmtId="0" fontId="1" fillId="30" borderId="15" xfId="43" applyFill="1" applyBorder="1"/>
    <xf numFmtId="0" fontId="1" fillId="0" borderId="20" xfId="43" applyBorder="1" applyAlignment="1">
      <alignment horizontal="right"/>
    </xf>
    <xf numFmtId="0" fontId="1" fillId="0" borderId="10" xfId="43" applyBorder="1" applyAlignment="1">
      <alignment horizontal="right"/>
    </xf>
    <xf numFmtId="0" fontId="1" fillId="0" borderId="17" xfId="43" applyBorder="1" applyAlignment="1">
      <alignment horizontal="right"/>
    </xf>
    <xf numFmtId="0" fontId="1" fillId="0" borderId="20" xfId="43" applyBorder="1"/>
    <xf numFmtId="0" fontId="1" fillId="0" borderId="17" xfId="43" applyBorder="1"/>
    <xf numFmtId="0" fontId="1" fillId="0" borderId="20" xfId="43" applyBorder="1" applyAlignment="1">
      <alignment horizontal="right" wrapText="1"/>
    </xf>
    <xf numFmtId="0" fontId="1" fillId="0" borderId="10" xfId="43" applyBorder="1" applyAlignment="1">
      <alignment horizontal="right" wrapText="1"/>
    </xf>
    <xf numFmtId="0" fontId="1" fillId="0" borderId="17" xfId="43" applyBorder="1" applyAlignment="1">
      <alignment horizontal="right" wrapText="1"/>
    </xf>
    <xf numFmtId="0" fontId="31" fillId="30" borderId="26" xfId="43" applyFont="1" applyFill="1" applyBorder="1" applyAlignment="1">
      <alignment horizontal="center"/>
    </xf>
    <xf numFmtId="0" fontId="31" fillId="30" borderId="29" xfId="43" applyFont="1" applyFill="1" applyBorder="1" applyAlignment="1">
      <alignment horizontal="center"/>
    </xf>
    <xf numFmtId="0" fontId="31" fillId="30" borderId="30" xfId="43" applyFont="1" applyFill="1" applyBorder="1" applyAlignment="1">
      <alignment horizontal="center"/>
    </xf>
    <xf numFmtId="0" fontId="31" fillId="30" borderId="28" xfId="43" applyFont="1" applyFill="1" applyBorder="1" applyAlignment="1">
      <alignment horizontal="center"/>
    </xf>
    <xf numFmtId="0" fontId="31" fillId="0" borderId="0" xfId="43" applyFont="1"/>
    <xf numFmtId="0" fontId="31" fillId="23" borderId="26" xfId="43" applyFont="1" applyFill="1" applyBorder="1" applyAlignment="1">
      <alignment horizontal="right"/>
    </xf>
    <xf numFmtId="0" fontId="31" fillId="23" borderId="27" xfId="43" applyFont="1" applyFill="1" applyBorder="1" applyAlignment="1">
      <alignment horizontal="right"/>
    </xf>
    <xf numFmtId="0" fontId="31" fillId="23" borderId="28" xfId="43" applyFont="1" applyFill="1" applyBorder="1" applyAlignment="1">
      <alignment horizontal="right"/>
    </xf>
    <xf numFmtId="0" fontId="29" fillId="30" borderId="26" xfId="43" applyFont="1" applyFill="1" applyBorder="1" applyAlignment="1">
      <alignment horizontal="center"/>
    </xf>
    <xf numFmtId="0" fontId="29" fillId="30" borderId="31" xfId="43" applyFont="1" applyFill="1" applyBorder="1" applyAlignment="1">
      <alignment horizontal="center" wrapText="1"/>
    </xf>
    <xf numFmtId="0" fontId="29" fillId="30" borderId="29" xfId="43" applyFont="1" applyFill="1" applyBorder="1" applyAlignment="1">
      <alignment horizontal="center"/>
    </xf>
    <xf numFmtId="0" fontId="29" fillId="30" borderId="30" xfId="43" applyFont="1" applyFill="1" applyBorder="1" applyAlignment="1">
      <alignment horizontal="center"/>
    </xf>
    <xf numFmtId="0" fontId="29" fillId="30" borderId="27" xfId="43" applyFont="1" applyFill="1" applyBorder="1" applyAlignment="1">
      <alignment horizontal="center"/>
    </xf>
    <xf numFmtId="0" fontId="29" fillId="30" borderId="32" xfId="43" applyFont="1" applyFill="1" applyBorder="1" applyAlignment="1">
      <alignment horizontal="center" wrapText="1"/>
    </xf>
    <xf numFmtId="0" fontId="1" fillId="30" borderId="26" xfId="43" applyFill="1" applyBorder="1" applyAlignment="1">
      <alignment horizontal="right"/>
    </xf>
    <xf numFmtId="0" fontId="1" fillId="30" borderId="27" xfId="43" applyFill="1" applyBorder="1" applyAlignment="1">
      <alignment horizontal="right"/>
    </xf>
    <xf numFmtId="0" fontId="1" fillId="30" borderId="28" xfId="43" applyFill="1" applyBorder="1" applyAlignment="1">
      <alignment horizontal="right"/>
    </xf>
    <xf numFmtId="49" fontId="1" fillId="0" borderId="21" xfId="43" applyNumberFormat="1" applyBorder="1" applyAlignment="1">
      <alignment horizontal="right" vertical="top" wrapText="1"/>
    </xf>
    <xf numFmtId="49" fontId="1" fillId="0" borderId="0" xfId="43" applyNumberFormat="1" applyBorder="1" applyAlignment="1">
      <alignment horizontal="right" vertical="top" wrapText="1"/>
    </xf>
    <xf numFmtId="0" fontId="1" fillId="0" borderId="21" xfId="43" applyBorder="1" applyAlignment="1">
      <alignment horizontal="right" vertical="top"/>
    </xf>
    <xf numFmtId="0" fontId="1" fillId="0" borderId="0" xfId="43" applyBorder="1" applyAlignment="1">
      <alignment horizontal="right" vertical="top"/>
    </xf>
    <xf numFmtId="0" fontId="1" fillId="0" borderId="19" xfId="43" applyBorder="1" applyAlignment="1">
      <alignment horizontal="right" vertical="top"/>
    </xf>
    <xf numFmtId="3" fontId="27" fillId="0" borderId="0" xfId="43" applyNumberFormat="1" applyFont="1"/>
    <xf numFmtId="3" fontId="27" fillId="0" borderId="19" xfId="43" applyNumberFormat="1" applyFont="1" applyBorder="1"/>
    <xf numFmtId="9" fontId="29" fillId="0" borderId="34" xfId="44" applyFont="1" applyBorder="1"/>
    <xf numFmtId="9" fontId="29" fillId="0" borderId="19" xfId="44" applyFont="1" applyBorder="1"/>
    <xf numFmtId="9" fontId="29" fillId="0" borderId="15" xfId="44" applyFont="1" applyBorder="1"/>
    <xf numFmtId="0" fontId="31" fillId="23" borderId="19" xfId="43" applyFont="1" applyFill="1" applyBorder="1"/>
    <xf numFmtId="166" fontId="29" fillId="30" borderId="14" xfId="45" applyNumberFormat="1" applyFont="1" applyFill="1" applyBorder="1"/>
    <xf numFmtId="166" fontId="29" fillId="30" borderId="33" xfId="45" applyNumberFormat="1" applyFont="1" applyFill="1" applyBorder="1"/>
    <xf numFmtId="166" fontId="29" fillId="30" borderId="19" xfId="45" applyNumberFormat="1" applyFont="1" applyFill="1" applyBorder="1"/>
    <xf numFmtId="166" fontId="29" fillId="30" borderId="0" xfId="45" applyNumberFormat="1" applyFont="1" applyFill="1" applyBorder="1"/>
    <xf numFmtId="166" fontId="29" fillId="30" borderId="35" xfId="45" applyNumberFormat="1" applyFont="1" applyFill="1" applyBorder="1"/>
    <xf numFmtId="0" fontId="1" fillId="0" borderId="19" xfId="43" applyBorder="1" applyAlignment="1">
      <alignment horizontal="right"/>
    </xf>
    <xf numFmtId="0" fontId="32" fillId="0" borderId="0" xfId="43" applyFont="1"/>
    <xf numFmtId="0" fontId="29" fillId="30" borderId="19" xfId="43" applyFont="1" applyFill="1" applyBorder="1"/>
    <xf numFmtId="0" fontId="1" fillId="26" borderId="0" xfId="43" applyFill="1"/>
    <xf numFmtId="164" fontId="1" fillId="26" borderId="0" xfId="43" applyNumberFormat="1" applyFill="1" applyAlignment="1">
      <alignment horizontal="left"/>
    </xf>
    <xf numFmtId="165" fontId="1" fillId="26" borderId="0" xfId="43" applyNumberFormat="1" applyFill="1"/>
    <xf numFmtId="0" fontId="1" fillId="0" borderId="27" xfId="43" applyBorder="1" applyAlignment="1">
      <alignment horizontal="right"/>
    </xf>
    <xf numFmtId="0" fontId="1" fillId="0" borderId="30" xfId="43" applyBorder="1" applyAlignment="1">
      <alignment horizontal="right"/>
    </xf>
    <xf numFmtId="0" fontId="1" fillId="0" borderId="30" xfId="43" applyBorder="1"/>
    <xf numFmtId="0" fontId="1" fillId="0" borderId="27" xfId="43" applyBorder="1"/>
    <xf numFmtId="0" fontId="1" fillId="0" borderId="0" xfId="43" applyBorder="1"/>
    <xf numFmtId="9" fontId="29" fillId="0" borderId="37" xfId="44" applyFont="1" applyBorder="1" applyAlignment="1">
      <alignment horizontal="right"/>
    </xf>
    <xf numFmtId="9" fontId="29" fillId="0" borderId="30" xfId="44" applyFont="1" applyBorder="1" applyAlignment="1">
      <alignment horizontal="right"/>
    </xf>
    <xf numFmtId="9" fontId="29" fillId="0" borderId="28" xfId="44" applyFont="1" applyBorder="1" applyAlignment="1">
      <alignment horizontal="right"/>
    </xf>
    <xf numFmtId="0" fontId="31" fillId="0" borderId="30" xfId="43" applyFont="1" applyBorder="1" applyAlignment="1">
      <alignment horizontal="right"/>
    </xf>
    <xf numFmtId="9" fontId="29" fillId="30" borderId="30" xfId="44" applyFont="1" applyFill="1" applyBorder="1" applyAlignment="1">
      <alignment horizontal="right"/>
    </xf>
    <xf numFmtId="0" fontId="1" fillId="33" borderId="12" xfId="43" applyFill="1" applyBorder="1"/>
    <xf numFmtId="164" fontId="1" fillId="33" borderId="12" xfId="43" applyNumberFormat="1" applyFill="1" applyBorder="1" applyAlignment="1">
      <alignment horizontal="left"/>
    </xf>
    <xf numFmtId="165" fontId="1" fillId="33" borderId="12" xfId="43" applyNumberFormat="1" applyFill="1" applyBorder="1"/>
    <xf numFmtId="0" fontId="22" fillId="33" borderId="39" xfId="43" applyFont="1" applyFill="1" applyBorder="1" applyAlignment="1">
      <alignment horizontal="right"/>
    </xf>
    <xf numFmtId="0" fontId="22" fillId="33" borderId="12" xfId="43" applyFont="1" applyFill="1" applyBorder="1" applyAlignment="1">
      <alignment horizontal="right"/>
    </xf>
    <xf numFmtId="0" fontId="22" fillId="33" borderId="12" xfId="43" quotePrefix="1" applyFont="1" applyFill="1" applyBorder="1" applyAlignment="1">
      <alignment horizontal="right"/>
    </xf>
    <xf numFmtId="0" fontId="22" fillId="33" borderId="40" xfId="43" applyFont="1" applyFill="1" applyBorder="1" applyAlignment="1">
      <alignment horizontal="right"/>
    </xf>
    <xf numFmtId="0" fontId="22" fillId="0" borderId="0" xfId="43" applyFont="1"/>
    <xf numFmtId="0" fontId="22" fillId="33" borderId="40" xfId="43" applyFont="1" applyFill="1" applyBorder="1" applyAlignment="1">
      <alignment horizontal="center" vertical="center"/>
    </xf>
    <xf numFmtId="0" fontId="1" fillId="33" borderId="39" xfId="43" applyFont="1" applyFill="1" applyBorder="1" applyAlignment="1">
      <alignment horizontal="right"/>
    </xf>
    <xf numFmtId="0" fontId="1" fillId="33" borderId="12" xfId="43" quotePrefix="1" applyFont="1" applyFill="1" applyBorder="1" applyAlignment="1">
      <alignment horizontal="right"/>
    </xf>
    <xf numFmtId="0" fontId="1" fillId="33" borderId="12" xfId="43" applyFont="1" applyFill="1" applyBorder="1" applyAlignment="1">
      <alignment horizontal="right"/>
    </xf>
    <xf numFmtId="0" fontId="1" fillId="33" borderId="40" xfId="43" applyFont="1" applyFill="1" applyBorder="1" applyAlignment="1">
      <alignment horizontal="right"/>
    </xf>
    <xf numFmtId="0" fontId="1" fillId="0" borderId="0" xfId="43" applyFont="1"/>
    <xf numFmtId="0" fontId="1" fillId="33" borderId="40" xfId="43" applyFont="1" applyFill="1" applyBorder="1" applyAlignment="1">
      <alignment horizontal="center" vertical="center"/>
    </xf>
    <xf numFmtId="9" fontId="33" fillId="33" borderId="41" xfId="44" applyFont="1" applyFill="1" applyBorder="1" applyAlignment="1">
      <alignment horizontal="center" vertical="center"/>
    </xf>
    <xf numFmtId="9" fontId="34" fillId="33" borderId="40" xfId="44" applyFont="1" applyFill="1" applyBorder="1" applyAlignment="1">
      <alignment horizontal="center" vertical="center"/>
    </xf>
    <xf numFmtId="9" fontId="34" fillId="33" borderId="13" xfId="44" applyFont="1" applyFill="1" applyBorder="1" applyAlignment="1">
      <alignment horizontal="center" vertical="center"/>
    </xf>
    <xf numFmtId="0" fontId="31" fillId="34" borderId="40" xfId="43" applyFont="1" applyFill="1" applyBorder="1" applyAlignment="1">
      <alignment horizontal="center" vertical="center"/>
    </xf>
    <xf numFmtId="1" fontId="29" fillId="33" borderId="11" xfId="43" applyNumberFormat="1" applyFont="1" applyFill="1" applyBorder="1" applyAlignment="1">
      <alignment horizontal="right" vertical="center"/>
    </xf>
    <xf numFmtId="1" fontId="29" fillId="33" borderId="36" xfId="43" applyNumberFormat="1" applyFont="1" applyFill="1" applyBorder="1" applyAlignment="1">
      <alignment horizontal="right" vertical="center"/>
    </xf>
    <xf numFmtId="1" fontId="29" fillId="33" borderId="40" xfId="43" applyNumberFormat="1" applyFont="1" applyFill="1" applyBorder="1" applyAlignment="1">
      <alignment horizontal="right" vertical="center"/>
    </xf>
    <xf numFmtId="1" fontId="29" fillId="33" borderId="42" xfId="43" applyNumberFormat="1" applyFont="1" applyFill="1" applyBorder="1" applyAlignment="1">
      <alignment horizontal="right" vertical="center"/>
    </xf>
    <xf numFmtId="0" fontId="1" fillId="33" borderId="0" xfId="43" applyFill="1" applyBorder="1"/>
    <xf numFmtId="164" fontId="1" fillId="33" borderId="0" xfId="43" applyNumberFormat="1" applyFill="1" applyBorder="1" applyAlignment="1">
      <alignment horizontal="left"/>
    </xf>
    <xf numFmtId="165" fontId="1" fillId="33" borderId="0" xfId="43" applyNumberFormat="1" applyFill="1" applyBorder="1"/>
    <xf numFmtId="0" fontId="22" fillId="33" borderId="21" xfId="43" applyFont="1" applyFill="1" applyBorder="1" applyAlignment="1">
      <alignment horizontal="right"/>
    </xf>
    <xf numFmtId="0" fontId="22" fillId="33" borderId="0" xfId="43" applyFont="1" applyFill="1" applyBorder="1" applyAlignment="1">
      <alignment horizontal="right"/>
    </xf>
    <xf numFmtId="0" fontId="22" fillId="33" borderId="0" xfId="43" quotePrefix="1" applyFont="1" applyFill="1" applyBorder="1" applyAlignment="1">
      <alignment horizontal="right"/>
    </xf>
    <xf numFmtId="0" fontId="22" fillId="33" borderId="19" xfId="43" applyFont="1" applyFill="1" applyBorder="1" applyAlignment="1">
      <alignment horizontal="right"/>
    </xf>
    <xf numFmtId="0" fontId="22" fillId="33" borderId="19" xfId="43" applyFont="1" applyFill="1" applyBorder="1" applyAlignment="1">
      <alignment horizontal="center" vertical="center"/>
    </xf>
    <xf numFmtId="0" fontId="1" fillId="33" borderId="21" xfId="43" applyFont="1" applyFill="1" applyBorder="1" applyAlignment="1">
      <alignment horizontal="right"/>
    </xf>
    <xf numFmtId="0" fontId="1" fillId="33" borderId="0" xfId="43" quotePrefix="1" applyFont="1" applyFill="1" applyBorder="1" applyAlignment="1">
      <alignment horizontal="right"/>
    </xf>
    <xf numFmtId="0" fontId="1" fillId="33" borderId="0" xfId="43" applyFont="1" applyFill="1" applyBorder="1" applyAlignment="1">
      <alignment horizontal="right"/>
    </xf>
    <xf numFmtId="0" fontId="1" fillId="33" borderId="19" xfId="43" applyFont="1" applyFill="1" applyBorder="1" applyAlignment="1">
      <alignment horizontal="right"/>
    </xf>
    <xf numFmtId="0" fontId="1" fillId="33" borderId="19" xfId="43" applyFont="1" applyFill="1" applyBorder="1" applyAlignment="1">
      <alignment horizontal="center" vertical="center"/>
    </xf>
    <xf numFmtId="9" fontId="33" fillId="33" borderId="34" xfId="44" applyFont="1" applyFill="1" applyBorder="1" applyAlignment="1">
      <alignment horizontal="center" vertical="center"/>
    </xf>
    <xf numFmtId="9" fontId="34" fillId="33" borderId="19" xfId="44" applyFont="1" applyFill="1" applyBorder="1" applyAlignment="1">
      <alignment horizontal="center" vertical="center"/>
    </xf>
    <xf numFmtId="9" fontId="34" fillId="33" borderId="15" xfId="44" applyFont="1" applyFill="1" applyBorder="1" applyAlignment="1">
      <alignment horizontal="center" vertical="center"/>
    </xf>
    <xf numFmtId="0" fontId="31" fillId="34" borderId="19" xfId="43" applyFont="1" applyFill="1" applyBorder="1" applyAlignment="1">
      <alignment horizontal="center" vertical="center"/>
    </xf>
    <xf numFmtId="1" fontId="29" fillId="33" borderId="14" xfId="43" applyNumberFormat="1" applyFont="1" applyFill="1" applyBorder="1" applyAlignment="1">
      <alignment horizontal="right" vertical="center"/>
    </xf>
    <xf numFmtId="1" fontId="29" fillId="33" borderId="33" xfId="43" applyNumberFormat="1" applyFont="1" applyFill="1" applyBorder="1" applyAlignment="1">
      <alignment horizontal="right" vertical="center"/>
    </xf>
    <xf numFmtId="1" fontId="29" fillId="33" borderId="19" xfId="43" applyNumberFormat="1" applyFont="1" applyFill="1" applyBorder="1" applyAlignment="1">
      <alignment horizontal="right" vertical="center"/>
    </xf>
    <xf numFmtId="1" fontId="29" fillId="33" borderId="35" xfId="43" applyNumberFormat="1" applyFont="1" applyFill="1" applyBorder="1" applyAlignment="1">
      <alignment horizontal="right" vertical="center"/>
    </xf>
    <xf numFmtId="0" fontId="1" fillId="34" borderId="19" xfId="43" applyFill="1" applyBorder="1" applyAlignment="1">
      <alignment horizontal="center" vertical="center"/>
    </xf>
    <xf numFmtId="164" fontId="1" fillId="0" borderId="0" xfId="43" applyNumberFormat="1" applyBorder="1" applyAlignment="1">
      <alignment horizontal="left"/>
    </xf>
    <xf numFmtId="165" fontId="1" fillId="0" borderId="0" xfId="43" applyNumberFormat="1" applyBorder="1"/>
    <xf numFmtId="0" fontId="22" fillId="0" borderId="21" xfId="43" applyFont="1" applyBorder="1" applyAlignment="1">
      <alignment horizontal="right"/>
    </xf>
    <xf numFmtId="0" fontId="22" fillId="0" borderId="0" xfId="43" applyFont="1" applyBorder="1" applyAlignment="1">
      <alignment horizontal="right"/>
    </xf>
    <xf numFmtId="0" fontId="22" fillId="0" borderId="19" xfId="43" applyFont="1" applyBorder="1" applyAlignment="1">
      <alignment horizontal="right"/>
    </xf>
    <xf numFmtId="0" fontId="22" fillId="0" borderId="19" xfId="43" applyFont="1" applyBorder="1"/>
    <xf numFmtId="0" fontId="1" fillId="0" borderId="21" xfId="43" applyFont="1" applyBorder="1" applyAlignment="1">
      <alignment horizontal="right"/>
    </xf>
    <xf numFmtId="0" fontId="1" fillId="0" borderId="0" xfId="43" applyFont="1" applyBorder="1" applyAlignment="1">
      <alignment horizontal="right"/>
    </xf>
    <xf numFmtId="0" fontId="1" fillId="0" borderId="19" xfId="43" applyFont="1" applyBorder="1" applyAlignment="1">
      <alignment horizontal="right"/>
    </xf>
    <xf numFmtId="0" fontId="1" fillId="0" borderId="19" xfId="43" applyFont="1" applyBorder="1"/>
    <xf numFmtId="9" fontId="35" fillId="0" borderId="34" xfId="44" applyFont="1" applyBorder="1"/>
    <xf numFmtId="9" fontId="35" fillId="0" borderId="19" xfId="44" applyFont="1" applyBorder="1"/>
    <xf numFmtId="9" fontId="35" fillId="0" borderId="15" xfId="44" applyFont="1" applyBorder="1"/>
    <xf numFmtId="0" fontId="31" fillId="0" borderId="19" xfId="43" applyFont="1" applyBorder="1"/>
    <xf numFmtId="0" fontId="29" fillId="0" borderId="14" xfId="43" applyFont="1" applyBorder="1"/>
    <xf numFmtId="0" fontId="29" fillId="0" borderId="33" xfId="43" applyFont="1" applyBorder="1"/>
    <xf numFmtId="0" fontId="29" fillId="0" borderId="19" xfId="43" applyFont="1" applyBorder="1"/>
    <xf numFmtId="0" fontId="29" fillId="0" borderId="0" xfId="43" applyFont="1" applyBorder="1"/>
    <xf numFmtId="0" fontId="29" fillId="0" borderId="35" xfId="43" applyFont="1" applyBorder="1"/>
    <xf numFmtId="164" fontId="1" fillId="0" borderId="27" xfId="43" applyNumberFormat="1" applyBorder="1" applyAlignment="1">
      <alignment horizontal="left"/>
    </xf>
    <xf numFmtId="165" fontId="1" fillId="0" borderId="27" xfId="43" applyNumberFormat="1" applyBorder="1"/>
    <xf numFmtId="0" fontId="22" fillId="0" borderId="38" xfId="43" applyFont="1" applyBorder="1" applyAlignment="1">
      <alignment horizontal="right"/>
    </xf>
    <xf numFmtId="0" fontId="22" fillId="0" borderId="27" xfId="43" applyFont="1" applyBorder="1" applyAlignment="1">
      <alignment horizontal="right"/>
    </xf>
    <xf numFmtId="0" fontId="22" fillId="0" borderId="30" xfId="43" applyFont="1" applyBorder="1" applyAlignment="1">
      <alignment horizontal="right"/>
    </xf>
    <xf numFmtId="0" fontId="1" fillId="0" borderId="38" xfId="43" applyFont="1" applyBorder="1" applyAlignment="1">
      <alignment horizontal="right"/>
    </xf>
    <xf numFmtId="0" fontId="1" fillId="0" borderId="27" xfId="43" applyFont="1" applyBorder="1" applyAlignment="1">
      <alignment horizontal="right"/>
    </xf>
    <xf numFmtId="0" fontId="1" fillId="0" borderId="30" xfId="43" applyFont="1" applyBorder="1" applyAlignment="1">
      <alignment horizontal="right"/>
    </xf>
    <xf numFmtId="9" fontId="35" fillId="0" borderId="37" xfId="44" applyFont="1" applyBorder="1" applyAlignment="1">
      <alignment horizontal="right"/>
    </xf>
    <xf numFmtId="9" fontId="35" fillId="0" borderId="30" xfId="44" applyFont="1" applyBorder="1" applyAlignment="1">
      <alignment horizontal="right"/>
    </xf>
    <xf numFmtId="9" fontId="35" fillId="0" borderId="28" xfId="44" applyFont="1" applyBorder="1" applyAlignment="1">
      <alignment horizontal="right"/>
    </xf>
    <xf numFmtId="0" fontId="29" fillId="0" borderId="26" xfId="43" applyFont="1" applyBorder="1" applyAlignment="1">
      <alignment horizontal="right"/>
    </xf>
    <xf numFmtId="0" fontId="29" fillId="0" borderId="29" xfId="43" applyFont="1" applyBorder="1" applyAlignment="1">
      <alignment horizontal="right"/>
    </xf>
    <xf numFmtId="0" fontId="29" fillId="0" borderId="30" xfId="43" applyFont="1" applyBorder="1" applyAlignment="1">
      <alignment horizontal="right"/>
    </xf>
    <xf numFmtId="0" fontId="29" fillId="0" borderId="27" xfId="43" applyFont="1" applyBorder="1" applyAlignment="1">
      <alignment horizontal="right"/>
    </xf>
    <xf numFmtId="0" fontId="29" fillId="0" borderId="43" xfId="43" applyFont="1" applyBorder="1" applyAlignment="1">
      <alignment horizontal="right"/>
    </xf>
    <xf numFmtId="0" fontId="1" fillId="0" borderId="0" xfId="43" applyBorder="1" applyAlignment="1">
      <alignment horizontal="center" vertical="center" textRotation="90"/>
    </xf>
    <xf numFmtId="0" fontId="1" fillId="0" borderId="0" xfId="43" applyAlignment="1">
      <alignment horizontal="center" vertical="center" textRotation="90"/>
    </xf>
    <xf numFmtId="0" fontId="1" fillId="0" borderId="29" xfId="43" applyFont="1" applyBorder="1" applyAlignment="1">
      <alignment horizontal="right"/>
    </xf>
    <xf numFmtId="0" fontId="1" fillId="35" borderId="12" xfId="43" applyFill="1" applyBorder="1"/>
    <xf numFmtId="164" fontId="1" fillId="35" borderId="12" xfId="43" applyNumberFormat="1" applyFill="1" applyBorder="1" applyAlignment="1">
      <alignment horizontal="left"/>
    </xf>
    <xf numFmtId="165" fontId="1" fillId="35" borderId="12" xfId="43" applyNumberFormat="1" applyFill="1" applyBorder="1"/>
    <xf numFmtId="0" fontId="22" fillId="35" borderId="39" xfId="43" applyFont="1" applyFill="1" applyBorder="1" applyAlignment="1">
      <alignment horizontal="right"/>
    </xf>
    <xf numFmtId="0" fontId="22" fillId="35" borderId="12" xfId="43" applyFont="1" applyFill="1" applyBorder="1" applyAlignment="1">
      <alignment horizontal="right"/>
    </xf>
    <xf numFmtId="0" fontId="22" fillId="35" borderId="40" xfId="43" applyFont="1" applyFill="1" applyBorder="1" applyAlignment="1">
      <alignment horizontal="right"/>
    </xf>
    <xf numFmtId="0" fontId="22" fillId="35" borderId="40" xfId="43" applyFont="1" applyFill="1" applyBorder="1" applyAlignment="1">
      <alignment horizontal="center" vertical="center"/>
    </xf>
    <xf numFmtId="0" fontId="1" fillId="35" borderId="21" xfId="43" applyFont="1" applyFill="1" applyBorder="1" applyAlignment="1">
      <alignment horizontal="right"/>
    </xf>
    <xf numFmtId="0" fontId="1" fillId="35" borderId="39" xfId="43" applyFont="1" applyFill="1" applyBorder="1" applyAlignment="1">
      <alignment horizontal="right"/>
    </xf>
    <xf numFmtId="0" fontId="1" fillId="35" borderId="12" xfId="43" applyFont="1" applyFill="1" applyBorder="1" applyAlignment="1">
      <alignment horizontal="right"/>
    </xf>
    <xf numFmtId="0" fontId="1" fillId="35" borderId="40" xfId="43" applyFont="1" applyFill="1" applyBorder="1" applyAlignment="1">
      <alignment horizontal="right"/>
    </xf>
    <xf numFmtId="0" fontId="1" fillId="35" borderId="40" xfId="43" applyFont="1" applyFill="1" applyBorder="1" applyAlignment="1">
      <alignment horizontal="center" vertical="center"/>
    </xf>
    <xf numFmtId="9" fontId="35" fillId="35" borderId="41" xfId="44" applyFont="1" applyFill="1" applyBorder="1" applyAlignment="1">
      <alignment horizontal="center" vertical="center"/>
    </xf>
    <xf numFmtId="9" fontId="35" fillId="35" borderId="40" xfId="44" applyFont="1" applyFill="1" applyBorder="1" applyAlignment="1">
      <alignment horizontal="center" vertical="center"/>
    </xf>
    <xf numFmtId="9" fontId="35" fillId="35" borderId="13" xfId="44" applyFont="1" applyFill="1" applyBorder="1" applyAlignment="1">
      <alignment horizontal="center" vertical="center"/>
    </xf>
    <xf numFmtId="0" fontId="31" fillId="35" borderId="40" xfId="43" applyFont="1" applyFill="1" applyBorder="1" applyAlignment="1">
      <alignment horizontal="center" vertical="center"/>
    </xf>
    <xf numFmtId="0" fontId="31" fillId="0" borderId="35" xfId="43" applyFont="1" applyBorder="1"/>
    <xf numFmtId="167" fontId="29" fillId="35" borderId="11" xfId="45" applyNumberFormat="1" applyFont="1" applyFill="1" applyBorder="1" applyAlignment="1">
      <alignment horizontal="center" vertical="center"/>
    </xf>
    <xf numFmtId="167" fontId="29" fillId="35" borderId="36" xfId="45" applyNumberFormat="1" applyFont="1" applyFill="1" applyBorder="1" applyAlignment="1">
      <alignment horizontal="center" vertical="center"/>
    </xf>
    <xf numFmtId="167" fontId="29" fillId="35" borderId="42" xfId="45" applyNumberFormat="1" applyFont="1" applyFill="1" applyBorder="1" applyAlignment="1">
      <alignment horizontal="center" vertical="center"/>
    </xf>
    <xf numFmtId="0" fontId="1" fillId="35" borderId="40" xfId="43" applyFill="1" applyBorder="1" applyAlignment="1">
      <alignment horizontal="center" vertical="center"/>
    </xf>
    <xf numFmtId="0" fontId="1" fillId="35" borderId="12" xfId="43" applyFill="1" applyBorder="1" applyAlignment="1">
      <alignment horizontal="center" vertical="center"/>
    </xf>
    <xf numFmtId="0" fontId="1" fillId="35" borderId="0" xfId="43" applyFill="1" applyBorder="1"/>
    <xf numFmtId="164" fontId="1" fillId="35" borderId="0" xfId="43" applyNumberFormat="1" applyFill="1" applyBorder="1" applyAlignment="1">
      <alignment horizontal="left"/>
    </xf>
    <xf numFmtId="165" fontId="1" fillId="35" borderId="0" xfId="43" applyNumberFormat="1" applyFill="1" applyBorder="1"/>
    <xf numFmtId="0" fontId="22" fillId="35" borderId="21" xfId="43" applyFont="1" applyFill="1" applyBorder="1" applyAlignment="1">
      <alignment horizontal="right"/>
    </xf>
    <xf numFmtId="0" fontId="22" fillId="35" borderId="0" xfId="43" applyFont="1" applyFill="1" applyBorder="1" applyAlignment="1">
      <alignment horizontal="right"/>
    </xf>
    <xf numFmtId="0" fontId="22" fillId="35" borderId="19" xfId="43" applyFont="1" applyFill="1" applyBorder="1" applyAlignment="1">
      <alignment horizontal="right"/>
    </xf>
    <xf numFmtId="0" fontId="22" fillId="35" borderId="19" xfId="43" applyFont="1" applyFill="1" applyBorder="1" applyAlignment="1">
      <alignment horizontal="center" vertical="center"/>
    </xf>
    <xf numFmtId="0" fontId="1" fillId="35" borderId="0" xfId="43" applyFont="1" applyFill="1" applyBorder="1" applyAlignment="1">
      <alignment horizontal="right"/>
    </xf>
    <xf numFmtId="0" fontId="1" fillId="35" borderId="19" xfId="43" applyFont="1" applyFill="1" applyBorder="1" applyAlignment="1">
      <alignment horizontal="right"/>
    </xf>
    <xf numFmtId="0" fontId="1" fillId="35" borderId="19" xfId="43" applyFont="1" applyFill="1" applyBorder="1" applyAlignment="1">
      <alignment horizontal="center" vertical="center"/>
    </xf>
    <xf numFmtId="9" fontId="35" fillId="35" borderId="34" xfId="44" applyFont="1" applyFill="1" applyBorder="1" applyAlignment="1">
      <alignment horizontal="center" vertical="center"/>
    </xf>
    <xf numFmtId="9" fontId="35" fillId="35" borderId="19" xfId="44" applyFont="1" applyFill="1" applyBorder="1" applyAlignment="1">
      <alignment horizontal="center" vertical="center"/>
    </xf>
    <xf numFmtId="9" fontId="35" fillId="35" borderId="15" xfId="44" applyFont="1" applyFill="1" applyBorder="1" applyAlignment="1">
      <alignment horizontal="center" vertical="center"/>
    </xf>
    <xf numFmtId="0" fontId="31" fillId="35" borderId="19" xfId="43" applyFont="1" applyFill="1" applyBorder="1" applyAlignment="1">
      <alignment horizontal="center" vertical="center"/>
    </xf>
    <xf numFmtId="167" fontId="29" fillId="35" borderId="14" xfId="45" applyNumberFormat="1" applyFont="1" applyFill="1" applyBorder="1" applyAlignment="1">
      <alignment horizontal="center" vertical="center"/>
    </xf>
    <xf numFmtId="167" fontId="29" fillId="35" borderId="33" xfId="45" applyNumberFormat="1" applyFont="1" applyFill="1" applyBorder="1" applyAlignment="1">
      <alignment horizontal="center" vertical="center"/>
    </xf>
    <xf numFmtId="167" fontId="29" fillId="35" borderId="35" xfId="45" applyNumberFormat="1" applyFont="1" applyFill="1" applyBorder="1" applyAlignment="1">
      <alignment horizontal="center" vertical="center"/>
    </xf>
    <xf numFmtId="0" fontId="1" fillId="35" borderId="19" xfId="43" applyFill="1" applyBorder="1" applyAlignment="1">
      <alignment horizontal="center" vertical="center"/>
    </xf>
    <xf numFmtId="0" fontId="1" fillId="35" borderId="0" xfId="43" applyFill="1" applyBorder="1" applyAlignment="1">
      <alignment horizontal="center" vertical="center"/>
    </xf>
    <xf numFmtId="0" fontId="31" fillId="27" borderId="14" xfId="43" applyFont="1" applyFill="1" applyBorder="1" applyAlignment="1">
      <alignment horizontal="left" vertical="top"/>
    </xf>
    <xf numFmtId="0" fontId="31" fillId="27" borderId="0" xfId="43" applyFont="1" applyFill="1" applyBorder="1" applyAlignment="1">
      <alignment horizontal="left" vertical="top"/>
    </xf>
    <xf numFmtId="0" fontId="31" fillId="27" borderId="15" xfId="43" applyFont="1" applyFill="1" applyBorder="1" applyAlignment="1">
      <alignment horizontal="left" vertical="top"/>
    </xf>
    <xf numFmtId="0" fontId="31" fillId="27" borderId="44" xfId="43" applyFont="1" applyFill="1" applyBorder="1" applyAlignment="1">
      <alignment horizontal="left" vertical="top"/>
    </xf>
    <xf numFmtId="0" fontId="31" fillId="27" borderId="25" xfId="43" applyFont="1" applyFill="1" applyBorder="1" applyAlignment="1">
      <alignment horizontal="left" vertical="top"/>
    </xf>
    <xf numFmtId="9" fontId="35" fillId="27" borderId="45" xfId="44" applyFont="1" applyFill="1" applyBorder="1"/>
    <xf numFmtId="0" fontId="31" fillId="27" borderId="14" xfId="43" applyFont="1" applyFill="1" applyBorder="1"/>
    <xf numFmtId="0" fontId="31" fillId="27" borderId="0" xfId="43" applyFont="1" applyFill="1" applyBorder="1"/>
    <xf numFmtId="0" fontId="31" fillId="27" borderId="15" xfId="43" applyFont="1" applyFill="1" applyBorder="1"/>
    <xf numFmtId="9" fontId="35" fillId="27" borderId="9" xfId="44" applyFont="1" applyFill="1" applyBorder="1"/>
    <xf numFmtId="0" fontId="29" fillId="27" borderId="15" xfId="43" applyFont="1" applyFill="1" applyBorder="1"/>
    <xf numFmtId="9" fontId="35" fillId="27" borderId="48" xfId="44" applyFont="1" applyFill="1" applyBorder="1"/>
    <xf numFmtId="0" fontId="29" fillId="27" borderId="28" xfId="43" applyFont="1" applyFill="1" applyBorder="1"/>
    <xf numFmtId="0" fontId="1" fillId="32" borderId="0" xfId="43" applyFill="1" applyBorder="1"/>
    <xf numFmtId="164" fontId="1" fillId="32" borderId="0" xfId="43" applyNumberFormat="1" applyFill="1" applyAlignment="1">
      <alignment horizontal="left"/>
    </xf>
    <xf numFmtId="165" fontId="1" fillId="32" borderId="0" xfId="43" applyNumberFormat="1" applyFill="1" applyBorder="1"/>
    <xf numFmtId="0" fontId="22" fillId="32" borderId="21" xfId="43" applyFont="1" applyFill="1" applyBorder="1" applyAlignment="1">
      <alignment horizontal="right"/>
    </xf>
    <xf numFmtId="0" fontId="22" fillId="32" borderId="0" xfId="43" applyFont="1" applyFill="1" applyBorder="1" applyAlignment="1">
      <alignment horizontal="right"/>
    </xf>
    <xf numFmtId="0" fontId="22" fillId="32" borderId="0" xfId="43" quotePrefix="1" applyFont="1" applyFill="1" applyBorder="1" applyAlignment="1">
      <alignment horizontal="right"/>
    </xf>
    <xf numFmtId="0" fontId="22" fillId="32" borderId="19" xfId="43" applyFont="1" applyFill="1" applyBorder="1" applyAlignment="1">
      <alignment horizontal="right"/>
    </xf>
    <xf numFmtId="0" fontId="22" fillId="32" borderId="19" xfId="43" applyFont="1" applyFill="1" applyBorder="1" applyAlignment="1">
      <alignment horizontal="center" vertical="center"/>
    </xf>
    <xf numFmtId="0" fontId="1" fillId="32" borderId="21" xfId="43" applyFont="1" applyFill="1" applyBorder="1" applyAlignment="1">
      <alignment horizontal="right"/>
    </xf>
    <xf numFmtId="0" fontId="1" fillId="32" borderId="0" xfId="43" quotePrefix="1" applyFont="1" applyFill="1" applyBorder="1" applyAlignment="1">
      <alignment horizontal="right"/>
    </xf>
    <xf numFmtId="0" fontId="1" fillId="32" borderId="0" xfId="43" applyFont="1" applyFill="1" applyBorder="1" applyAlignment="1">
      <alignment horizontal="right"/>
    </xf>
    <xf numFmtId="0" fontId="1" fillId="32" borderId="19" xfId="43" applyFont="1" applyFill="1" applyBorder="1" applyAlignment="1">
      <alignment horizontal="right"/>
    </xf>
    <xf numFmtId="0" fontId="1" fillId="32" borderId="19" xfId="43" applyFont="1" applyFill="1" applyBorder="1" applyAlignment="1">
      <alignment horizontal="center" vertical="center"/>
    </xf>
    <xf numFmtId="9" fontId="35" fillId="32" borderId="34" xfId="44" applyFont="1" applyFill="1" applyBorder="1" applyAlignment="1">
      <alignment horizontal="center" vertical="center"/>
    </xf>
    <xf numFmtId="9" fontId="35" fillId="32" borderId="19" xfId="44" applyFont="1" applyFill="1" applyBorder="1" applyAlignment="1">
      <alignment horizontal="center" vertical="center"/>
    </xf>
    <xf numFmtId="9" fontId="35" fillId="32" borderId="15" xfId="44" applyFont="1" applyFill="1" applyBorder="1" applyAlignment="1">
      <alignment horizontal="center" vertical="center"/>
    </xf>
    <xf numFmtId="0" fontId="31" fillId="32" borderId="19" xfId="43" applyFont="1" applyFill="1" applyBorder="1" applyAlignment="1">
      <alignment horizontal="center" vertical="center"/>
    </xf>
    <xf numFmtId="167" fontId="29" fillId="32" borderId="14" xfId="45" applyNumberFormat="1" applyFont="1" applyFill="1" applyBorder="1" applyAlignment="1">
      <alignment horizontal="center" vertical="center"/>
    </xf>
    <xf numFmtId="167" fontId="29" fillId="32" borderId="33" xfId="45" applyNumberFormat="1" applyFont="1" applyFill="1" applyBorder="1" applyAlignment="1">
      <alignment horizontal="center" vertical="center"/>
    </xf>
    <xf numFmtId="167" fontId="29" fillId="32" borderId="35" xfId="45" applyNumberFormat="1" applyFont="1" applyFill="1" applyBorder="1" applyAlignment="1">
      <alignment horizontal="center" vertical="center"/>
    </xf>
    <xf numFmtId="0" fontId="1" fillId="32" borderId="19" xfId="43" applyFill="1" applyBorder="1" applyAlignment="1">
      <alignment horizontal="center" vertical="center"/>
    </xf>
    <xf numFmtId="9" fontId="1" fillId="0" borderId="0" xfId="43" applyNumberFormat="1"/>
    <xf numFmtId="164" fontId="1" fillId="32" borderId="0" xfId="43" applyNumberFormat="1" applyFill="1" applyBorder="1" applyAlignment="1">
      <alignment horizontal="left"/>
    </xf>
    <xf numFmtId="0" fontId="1" fillId="0" borderId="0" xfId="43" applyFill="1"/>
    <xf numFmtId="0" fontId="1" fillId="0" borderId="19" xfId="43" applyFill="1" applyBorder="1"/>
    <xf numFmtId="0" fontId="22" fillId="26" borderId="0" xfId="43" applyFont="1" applyFill="1"/>
    <xf numFmtId="0" fontId="1" fillId="0" borderId="0" xfId="43" applyFont="1" applyFill="1"/>
    <xf numFmtId="0" fontId="37" fillId="32" borderId="0" xfId="43" applyFont="1" applyFill="1" applyBorder="1" applyAlignment="1">
      <alignment horizontal="left" indent="1"/>
    </xf>
    <xf numFmtId="164" fontId="37" fillId="32" borderId="0" xfId="43" applyNumberFormat="1" applyFont="1" applyFill="1" applyBorder="1" applyAlignment="1">
      <alignment horizontal="left"/>
    </xf>
    <xf numFmtId="0" fontId="22" fillId="32" borderId="21" xfId="43" quotePrefix="1" applyFont="1" applyFill="1" applyBorder="1" applyAlignment="1">
      <alignment horizontal="right"/>
    </xf>
    <xf numFmtId="0" fontId="22" fillId="32" borderId="19" xfId="43" quotePrefix="1" applyFont="1" applyFill="1" applyBorder="1" applyAlignment="1">
      <alignment horizontal="right"/>
    </xf>
    <xf numFmtId="0" fontId="1" fillId="32" borderId="21" xfId="43" quotePrefix="1" applyFont="1" applyFill="1" applyBorder="1" applyAlignment="1">
      <alignment horizontal="right"/>
    </xf>
    <xf numFmtId="0" fontId="1" fillId="32" borderId="19" xfId="43" quotePrefix="1" applyFont="1" applyFill="1" applyBorder="1" applyAlignment="1">
      <alignment horizontal="right"/>
    </xf>
    <xf numFmtId="0" fontId="1" fillId="36" borderId="0" xfId="43" applyFill="1" applyBorder="1"/>
    <xf numFmtId="164" fontId="1" fillId="36" borderId="0" xfId="43" applyNumberFormat="1" applyFill="1" applyBorder="1" applyAlignment="1">
      <alignment horizontal="left"/>
    </xf>
    <xf numFmtId="165" fontId="1" fillId="36" borderId="0" xfId="43" applyNumberFormat="1" applyFill="1" applyBorder="1"/>
    <xf numFmtId="0" fontId="22" fillId="36" borderId="21" xfId="43" applyFont="1" applyFill="1" applyBorder="1" applyAlignment="1">
      <alignment horizontal="right"/>
    </xf>
    <xf numFmtId="0" fontId="22" fillId="36" borderId="0" xfId="43" quotePrefix="1" applyFont="1" applyFill="1" applyBorder="1" applyAlignment="1">
      <alignment horizontal="right"/>
    </xf>
    <xf numFmtId="0" fontId="22" fillId="36" borderId="0" xfId="43" applyFont="1" applyFill="1" applyBorder="1" applyAlignment="1">
      <alignment horizontal="right"/>
    </xf>
    <xf numFmtId="0" fontId="22" fillId="36" borderId="19" xfId="43" applyFont="1" applyFill="1" applyBorder="1" applyAlignment="1">
      <alignment horizontal="right"/>
    </xf>
    <xf numFmtId="0" fontId="22" fillId="0" borderId="0" xfId="43" applyFont="1" applyFill="1"/>
    <xf numFmtId="0" fontId="22" fillId="36" borderId="19" xfId="43" applyFont="1" applyFill="1" applyBorder="1" applyAlignment="1">
      <alignment horizontal="center" vertical="center"/>
    </xf>
    <xf numFmtId="0" fontId="1" fillId="36" borderId="21" xfId="43" applyFont="1" applyFill="1" applyBorder="1" applyAlignment="1">
      <alignment horizontal="right"/>
    </xf>
    <xf numFmtId="0" fontId="1" fillId="36" borderId="0" xfId="43" applyFont="1" applyFill="1" applyBorder="1" applyAlignment="1">
      <alignment horizontal="right"/>
    </xf>
    <xf numFmtId="0" fontId="1" fillId="36" borderId="19" xfId="43" applyFont="1" applyFill="1" applyBorder="1" applyAlignment="1">
      <alignment horizontal="right"/>
    </xf>
    <xf numFmtId="0" fontId="1" fillId="36" borderId="19" xfId="43" applyFont="1" applyFill="1" applyBorder="1" applyAlignment="1">
      <alignment horizontal="center" vertical="center"/>
    </xf>
    <xf numFmtId="9" fontId="35" fillId="36" borderId="34" xfId="44" applyFont="1" applyFill="1" applyBorder="1" applyAlignment="1">
      <alignment horizontal="center" vertical="center"/>
    </xf>
    <xf numFmtId="9" fontId="35" fillId="36" borderId="19" xfId="44" applyFont="1" applyFill="1" applyBorder="1" applyAlignment="1">
      <alignment horizontal="center" vertical="center"/>
    </xf>
    <xf numFmtId="9" fontId="35" fillId="36" borderId="15" xfId="44" applyFont="1" applyFill="1" applyBorder="1" applyAlignment="1">
      <alignment horizontal="center" vertical="center"/>
    </xf>
    <xf numFmtId="0" fontId="31" fillId="36" borderId="19" xfId="43" applyFont="1" applyFill="1" applyBorder="1" applyAlignment="1">
      <alignment horizontal="center" vertical="center"/>
    </xf>
    <xf numFmtId="167" fontId="29" fillId="36" borderId="14" xfId="45" applyNumberFormat="1" applyFont="1" applyFill="1" applyBorder="1" applyAlignment="1">
      <alignment horizontal="center" vertical="center"/>
    </xf>
    <xf numFmtId="167" fontId="29" fillId="36" borderId="33" xfId="45" applyNumberFormat="1" applyFont="1" applyFill="1" applyBorder="1" applyAlignment="1">
      <alignment horizontal="center" vertical="center"/>
    </xf>
    <xf numFmtId="167" fontId="29" fillId="36" borderId="35" xfId="45" applyNumberFormat="1" applyFont="1" applyFill="1" applyBorder="1" applyAlignment="1">
      <alignment horizontal="center" vertical="center"/>
    </xf>
    <xf numFmtId="0" fontId="1" fillId="36" borderId="19" xfId="43" applyFill="1" applyBorder="1" applyAlignment="1">
      <alignment horizontal="center" vertical="center"/>
    </xf>
    <xf numFmtId="0" fontId="22" fillId="36" borderId="21" xfId="43" quotePrefix="1" applyFont="1" applyFill="1" applyBorder="1" applyAlignment="1">
      <alignment horizontal="right"/>
    </xf>
    <xf numFmtId="0" fontId="37" fillId="36" borderId="0" xfId="43" applyFont="1" applyFill="1" applyBorder="1" applyAlignment="1">
      <alignment horizontal="left" indent="1"/>
    </xf>
    <xf numFmtId="0" fontId="1" fillId="36" borderId="0" xfId="43" quotePrefix="1" applyFont="1" applyFill="1" applyBorder="1" applyAlignment="1">
      <alignment horizontal="right"/>
    </xf>
    <xf numFmtId="0" fontId="1" fillId="36" borderId="21" xfId="43" quotePrefix="1" applyFont="1" applyFill="1" applyBorder="1" applyAlignment="1">
      <alignment horizontal="right"/>
    </xf>
    <xf numFmtId="166" fontId="1" fillId="0" borderId="0" xfId="43" applyNumberFormat="1"/>
    <xf numFmtId="0" fontId="38" fillId="0" borderId="27" xfId="43" applyFont="1" applyFill="1" applyBorder="1"/>
    <xf numFmtId="164" fontId="38" fillId="0" borderId="27" xfId="43" applyNumberFormat="1" applyFont="1" applyFill="1" applyBorder="1" applyAlignment="1">
      <alignment horizontal="left"/>
    </xf>
    <xf numFmtId="165" fontId="38" fillId="0" borderId="27" xfId="43" applyNumberFormat="1" applyFont="1" applyFill="1" applyBorder="1"/>
    <xf numFmtId="0" fontId="1" fillId="26" borderId="38" xfId="43" applyFont="1" applyFill="1" applyBorder="1" applyAlignment="1">
      <alignment horizontal="right"/>
    </xf>
    <xf numFmtId="0" fontId="1" fillId="26" borderId="27" xfId="43" quotePrefix="1" applyFont="1" applyFill="1" applyBorder="1" applyAlignment="1">
      <alignment horizontal="right"/>
    </xf>
    <xf numFmtId="0" fontId="1" fillId="26" borderId="30" xfId="43" applyFont="1" applyFill="1" applyBorder="1" applyAlignment="1">
      <alignment horizontal="right"/>
    </xf>
    <xf numFmtId="0" fontId="1" fillId="0" borderId="27" xfId="43" applyFont="1" applyFill="1" applyBorder="1" applyAlignment="1">
      <alignment horizontal="right"/>
    </xf>
    <xf numFmtId="0" fontId="1" fillId="26" borderId="30" xfId="43" applyFont="1" applyFill="1" applyBorder="1" applyAlignment="1">
      <alignment horizontal="center" vertical="center"/>
    </xf>
    <xf numFmtId="0" fontId="1" fillId="26" borderId="27" xfId="43" applyFill="1" applyBorder="1" applyAlignment="1">
      <alignment horizontal="right"/>
    </xf>
    <xf numFmtId="0" fontId="1" fillId="26" borderId="30" xfId="43" applyFill="1" applyBorder="1"/>
    <xf numFmtId="0" fontId="1" fillId="26" borderId="27" xfId="43" applyFill="1" applyBorder="1"/>
    <xf numFmtId="0" fontId="1" fillId="26" borderId="19" xfId="43" applyFill="1" applyBorder="1"/>
    <xf numFmtId="0" fontId="22" fillId="26" borderId="27" xfId="43" quotePrefix="1" applyFont="1" applyFill="1" applyBorder="1" applyAlignment="1">
      <alignment horizontal="right"/>
    </xf>
    <xf numFmtId="0" fontId="22" fillId="26" borderId="38" xfId="43" applyFont="1" applyFill="1" applyBorder="1" applyAlignment="1">
      <alignment horizontal="right"/>
    </xf>
    <xf numFmtId="0" fontId="22" fillId="26" borderId="30" xfId="43" applyFont="1" applyFill="1" applyBorder="1" applyAlignment="1">
      <alignment horizontal="right"/>
    </xf>
    <xf numFmtId="0" fontId="22" fillId="0" borderId="27" xfId="43" applyFont="1" applyFill="1" applyBorder="1" applyAlignment="1">
      <alignment horizontal="right"/>
    </xf>
    <xf numFmtId="0" fontId="22" fillId="26" borderId="30" xfId="43" applyFont="1" applyFill="1" applyBorder="1" applyAlignment="1">
      <alignment horizontal="center" vertical="center"/>
    </xf>
    <xf numFmtId="0" fontId="1" fillId="26" borderId="27" xfId="43" applyFont="1" applyFill="1" applyBorder="1" applyAlignment="1">
      <alignment horizontal="right"/>
    </xf>
    <xf numFmtId="9" fontId="35" fillId="26" borderId="37" xfId="44" applyFont="1" applyFill="1" applyBorder="1" applyAlignment="1">
      <alignment horizontal="center" vertical="center"/>
    </xf>
    <xf numFmtId="9" fontId="35" fillId="26" borderId="30" xfId="44" applyFont="1" applyFill="1" applyBorder="1" applyAlignment="1">
      <alignment horizontal="center" vertical="center"/>
    </xf>
    <xf numFmtId="9" fontId="35" fillId="26" borderId="28" xfId="44" applyFont="1" applyFill="1" applyBorder="1" applyAlignment="1">
      <alignment horizontal="center" vertical="center"/>
    </xf>
    <xf numFmtId="0" fontId="31" fillId="26" borderId="0" xfId="43" applyFont="1" applyFill="1"/>
    <xf numFmtId="0" fontId="31" fillId="26" borderId="30" xfId="43" applyFont="1" applyFill="1" applyBorder="1" applyAlignment="1">
      <alignment horizontal="center" vertical="center"/>
    </xf>
    <xf numFmtId="167" fontId="29" fillId="26" borderId="26" xfId="45" applyNumberFormat="1" applyFont="1" applyFill="1" applyBorder="1" applyAlignment="1">
      <alignment horizontal="center" vertical="center"/>
    </xf>
    <xf numFmtId="167" fontId="29" fillId="26" borderId="29" xfId="45" applyNumberFormat="1" applyFont="1" applyFill="1" applyBorder="1" applyAlignment="1">
      <alignment horizontal="center" vertical="center"/>
    </xf>
    <xf numFmtId="167" fontId="29" fillId="26" borderId="43" xfId="45" applyNumberFormat="1" applyFont="1" applyFill="1" applyBorder="1" applyAlignment="1">
      <alignment horizontal="center" vertical="center"/>
    </xf>
    <xf numFmtId="0" fontId="1" fillId="36" borderId="30" xfId="43" applyFill="1" applyBorder="1" applyAlignment="1">
      <alignment horizontal="center" vertical="center"/>
    </xf>
    <xf numFmtId="0" fontId="1" fillId="0" borderId="0" xfId="43" applyFill="1" applyBorder="1"/>
    <xf numFmtId="165" fontId="1" fillId="0" borderId="0" xfId="43" applyNumberFormat="1" applyBorder="1" applyAlignment="1">
      <alignment horizontal="center" vertical="center"/>
    </xf>
    <xf numFmtId="0" fontId="1" fillId="0" borderId="21" xfId="43" applyFont="1" applyFill="1" applyBorder="1" applyAlignment="1">
      <alignment horizontal="right"/>
    </xf>
    <xf numFmtId="0" fontId="1" fillId="0" borderId="0" xfId="43" applyFont="1" applyFill="1" applyBorder="1" applyAlignment="1">
      <alignment horizontal="right"/>
    </xf>
    <xf numFmtId="0" fontId="22" fillId="0" borderId="0" xfId="43" applyFont="1" applyFill="1" applyBorder="1" applyAlignment="1">
      <alignment horizontal="right"/>
    </xf>
    <xf numFmtId="167" fontId="29" fillId="0" borderId="14" xfId="45" applyNumberFormat="1" applyFont="1" applyBorder="1"/>
    <xf numFmtId="167" fontId="29" fillId="0" borderId="33" xfId="45" applyNumberFormat="1" applyFont="1" applyBorder="1"/>
    <xf numFmtId="167" fontId="29" fillId="0" borderId="19" xfId="45" applyNumberFormat="1" applyFont="1" applyBorder="1"/>
    <xf numFmtId="167" fontId="29" fillId="0" borderId="0" xfId="45" applyNumberFormat="1" applyFont="1" applyBorder="1"/>
    <xf numFmtId="167" fontId="29" fillId="0" borderId="35" xfId="45" applyNumberFormat="1" applyFont="1" applyBorder="1"/>
    <xf numFmtId="0" fontId="1" fillId="30" borderId="30" xfId="43" applyFill="1" applyBorder="1"/>
    <xf numFmtId="0" fontId="22" fillId="0" borderId="30" xfId="43" applyFont="1" applyBorder="1"/>
    <xf numFmtId="167" fontId="29" fillId="0" borderId="26" xfId="45" applyNumberFormat="1" applyFont="1" applyBorder="1" applyAlignment="1">
      <alignment horizontal="right"/>
    </xf>
    <xf numFmtId="167" fontId="29" fillId="0" borderId="29" xfId="45" applyNumberFormat="1" applyFont="1" applyBorder="1" applyAlignment="1">
      <alignment horizontal="right"/>
    </xf>
    <xf numFmtId="167" fontId="29" fillId="0" borderId="30" xfId="45" applyNumberFormat="1" applyFont="1" applyBorder="1" applyAlignment="1">
      <alignment horizontal="right"/>
    </xf>
    <xf numFmtId="167" fontId="29" fillId="0" borderId="27" xfId="45" applyNumberFormat="1" applyFont="1" applyBorder="1" applyAlignment="1">
      <alignment horizontal="right"/>
    </xf>
    <xf numFmtId="167" fontId="29" fillId="0" borderId="43" xfId="45" applyNumberFormat="1" applyFont="1" applyBorder="1" applyAlignment="1">
      <alignment horizontal="right"/>
    </xf>
    <xf numFmtId="0" fontId="22" fillId="37" borderId="12" xfId="43" applyFont="1" applyFill="1" applyBorder="1"/>
    <xf numFmtId="164" fontId="22" fillId="37" borderId="12" xfId="43" applyNumberFormat="1" applyFont="1" applyFill="1" applyBorder="1" applyAlignment="1">
      <alignment horizontal="left"/>
    </xf>
    <xf numFmtId="165" fontId="22" fillId="37" borderId="12" xfId="43" applyNumberFormat="1" applyFont="1" applyFill="1" applyBorder="1" applyAlignment="1">
      <alignment horizontal="right"/>
    </xf>
    <xf numFmtId="0" fontId="22" fillId="37" borderId="39" xfId="43" applyFont="1" applyFill="1" applyBorder="1" applyAlignment="1">
      <alignment horizontal="right"/>
    </xf>
    <xf numFmtId="0" fontId="22" fillId="37" borderId="0" xfId="43" applyFont="1" applyFill="1" applyBorder="1" applyAlignment="1">
      <alignment horizontal="right"/>
    </xf>
    <xf numFmtId="0" fontId="22" fillId="37" borderId="12" xfId="43" applyFont="1" applyFill="1" applyBorder="1" applyAlignment="1">
      <alignment horizontal="right"/>
    </xf>
    <xf numFmtId="0" fontId="22" fillId="37" borderId="40" xfId="43" applyFont="1" applyFill="1" applyBorder="1" applyAlignment="1">
      <alignment horizontal="right"/>
    </xf>
    <xf numFmtId="0" fontId="22" fillId="37" borderId="40" xfId="43" applyFont="1" applyFill="1" applyBorder="1" applyAlignment="1">
      <alignment horizontal="center" vertical="center"/>
    </xf>
    <xf numFmtId="0" fontId="22" fillId="37" borderId="12" xfId="43" applyFont="1" applyFill="1" applyBorder="1" applyAlignment="1"/>
    <xf numFmtId="9" fontId="35" fillId="37" borderId="41" xfId="44" applyFont="1" applyFill="1" applyBorder="1" applyAlignment="1">
      <alignment horizontal="center" vertical="center"/>
    </xf>
    <xf numFmtId="9" fontId="35" fillId="37" borderId="40" xfId="44" applyFont="1" applyFill="1" applyBorder="1" applyAlignment="1">
      <alignment horizontal="center" vertical="center"/>
    </xf>
    <xf numFmtId="9" fontId="34" fillId="37" borderId="13" xfId="44" applyFont="1" applyFill="1" applyBorder="1" applyAlignment="1">
      <alignment horizontal="center" vertical="center"/>
    </xf>
    <xf numFmtId="0" fontId="31" fillId="37" borderId="40" xfId="43" applyFont="1" applyFill="1" applyBorder="1" applyAlignment="1">
      <alignment horizontal="center" vertical="center"/>
    </xf>
    <xf numFmtId="167" fontId="33" fillId="37" borderId="11" xfId="45" applyNumberFormat="1" applyFont="1" applyFill="1" applyBorder="1" applyAlignment="1">
      <alignment horizontal="center" vertical="center"/>
    </xf>
    <xf numFmtId="167" fontId="33" fillId="37" borderId="36" xfId="45" applyNumberFormat="1" applyFont="1" applyFill="1" applyBorder="1" applyAlignment="1">
      <alignment horizontal="center" vertical="center"/>
    </xf>
    <xf numFmtId="167" fontId="33" fillId="37" borderId="42" xfId="45" applyNumberFormat="1" applyFont="1" applyFill="1" applyBorder="1" applyAlignment="1">
      <alignment horizontal="center" vertical="center"/>
    </xf>
    <xf numFmtId="0" fontId="1" fillId="37" borderId="40" xfId="43" applyFill="1" applyBorder="1" applyAlignment="1">
      <alignment horizontal="center" vertical="center"/>
    </xf>
    <xf numFmtId="0" fontId="22" fillId="37" borderId="0" xfId="43" applyFont="1" applyFill="1" applyBorder="1"/>
    <xf numFmtId="164" fontId="22" fillId="37" borderId="0" xfId="43" applyNumberFormat="1" applyFont="1" applyFill="1" applyBorder="1" applyAlignment="1">
      <alignment horizontal="left"/>
    </xf>
    <xf numFmtId="165" fontId="22" fillId="37" borderId="0" xfId="43" applyNumberFormat="1" applyFont="1" applyFill="1" applyBorder="1" applyAlignment="1">
      <alignment horizontal="right"/>
    </xf>
    <xf numFmtId="0" fontId="22" fillId="37" borderId="21" xfId="43" applyFont="1" applyFill="1" applyBorder="1" applyAlignment="1">
      <alignment horizontal="right"/>
    </xf>
    <xf numFmtId="0" fontId="22" fillId="37" borderId="19" xfId="43" applyFont="1" applyFill="1" applyBorder="1" applyAlignment="1">
      <alignment horizontal="right"/>
    </xf>
    <xf numFmtId="0" fontId="22" fillId="37" borderId="19" xfId="43" applyFont="1" applyFill="1" applyBorder="1" applyAlignment="1">
      <alignment horizontal="center" vertical="center"/>
    </xf>
    <xf numFmtId="0" fontId="22" fillId="37" borderId="33" xfId="43" applyFont="1" applyFill="1" applyBorder="1" applyAlignment="1">
      <alignment horizontal="right"/>
    </xf>
    <xf numFmtId="0" fontId="22" fillId="37" borderId="0" xfId="43" applyFont="1" applyFill="1" applyBorder="1" applyAlignment="1"/>
    <xf numFmtId="9" fontId="35" fillId="37" borderId="34" xfId="44" applyFont="1" applyFill="1" applyBorder="1" applyAlignment="1">
      <alignment horizontal="center" vertical="center"/>
    </xf>
    <xf numFmtId="9" fontId="35" fillId="37" borderId="19" xfId="44" applyFont="1" applyFill="1" applyBorder="1" applyAlignment="1">
      <alignment horizontal="center" vertical="center"/>
    </xf>
    <xf numFmtId="9" fontId="34" fillId="37" borderId="15" xfId="44" applyFont="1" applyFill="1" applyBorder="1" applyAlignment="1">
      <alignment horizontal="center" vertical="center"/>
    </xf>
    <xf numFmtId="0" fontId="31" fillId="37" borderId="19" xfId="43" applyFont="1" applyFill="1" applyBorder="1" applyAlignment="1">
      <alignment horizontal="center" vertical="center"/>
    </xf>
    <xf numFmtId="167" fontId="33" fillId="37" borderId="14" xfId="45" applyNumberFormat="1" applyFont="1" applyFill="1" applyBorder="1" applyAlignment="1">
      <alignment horizontal="center" vertical="center"/>
    </xf>
    <xf numFmtId="167" fontId="33" fillId="37" borderId="33" xfId="45" applyNumberFormat="1" applyFont="1" applyFill="1" applyBorder="1" applyAlignment="1">
      <alignment horizontal="center" vertical="center"/>
    </xf>
    <xf numFmtId="167" fontId="33" fillId="37" borderId="35" xfId="45" applyNumberFormat="1" applyFont="1" applyFill="1" applyBorder="1" applyAlignment="1">
      <alignment horizontal="center" vertical="center"/>
    </xf>
    <xf numFmtId="0" fontId="1" fillId="37" borderId="19" xfId="43" applyFill="1" applyBorder="1" applyAlignment="1">
      <alignment horizontal="center" vertical="center"/>
    </xf>
    <xf numFmtId="165" fontId="21" fillId="37" borderId="0" xfId="43" applyNumberFormat="1" applyFont="1" applyFill="1" applyBorder="1" applyAlignment="1">
      <alignment horizontal="right"/>
    </xf>
    <xf numFmtId="0" fontId="27" fillId="0" borderId="0" xfId="43" applyFont="1" applyFill="1"/>
    <xf numFmtId="0" fontId="27" fillId="0" borderId="19" xfId="43" applyFont="1" applyFill="1" applyBorder="1"/>
    <xf numFmtId="0" fontId="27" fillId="0" borderId="0" xfId="43" applyFont="1"/>
    <xf numFmtId="0" fontId="27" fillId="0" borderId="19" xfId="43" applyFont="1" applyBorder="1"/>
    <xf numFmtId="0" fontId="29" fillId="0" borderId="0" xfId="43" applyFont="1"/>
    <xf numFmtId="0" fontId="22" fillId="23" borderId="0" xfId="43" applyFont="1" applyFill="1" applyBorder="1"/>
    <xf numFmtId="164" fontId="22" fillId="23" borderId="0" xfId="43" applyNumberFormat="1" applyFont="1" applyFill="1" applyBorder="1" applyAlignment="1">
      <alignment horizontal="left"/>
    </xf>
    <xf numFmtId="165" fontId="21" fillId="23" borderId="0" xfId="43" applyNumberFormat="1" applyFont="1" applyFill="1" applyBorder="1" applyAlignment="1">
      <alignment horizontal="right"/>
    </xf>
    <xf numFmtId="0" fontId="22" fillId="23" borderId="21" xfId="43" quotePrefix="1" applyFont="1" applyFill="1" applyBorder="1" applyAlignment="1">
      <alignment horizontal="right"/>
    </xf>
    <xf numFmtId="0" fontId="22" fillId="23" borderId="0" xfId="43" applyFont="1" applyFill="1" applyBorder="1" applyAlignment="1">
      <alignment horizontal="right"/>
    </xf>
    <xf numFmtId="0" fontId="22" fillId="23" borderId="21" xfId="43" applyFont="1" applyFill="1" applyBorder="1" applyAlignment="1">
      <alignment horizontal="right"/>
    </xf>
    <xf numFmtId="0" fontId="22" fillId="23" borderId="19" xfId="43" applyFont="1" applyFill="1" applyBorder="1" applyAlignment="1">
      <alignment horizontal="right"/>
    </xf>
    <xf numFmtId="0" fontId="22" fillId="23" borderId="19" xfId="43" applyFont="1" applyFill="1" applyBorder="1" applyAlignment="1">
      <alignment horizontal="center" vertical="center"/>
    </xf>
    <xf numFmtId="0" fontId="21" fillId="0" borderId="0" xfId="43" applyFont="1" applyFill="1" applyBorder="1" applyAlignment="1">
      <alignment horizontal="left"/>
    </xf>
    <xf numFmtId="9" fontId="35" fillId="23" borderId="34" xfId="44" applyFont="1" applyFill="1" applyBorder="1" applyAlignment="1">
      <alignment horizontal="center" vertical="center"/>
    </xf>
    <xf numFmtId="9" fontId="35" fillId="23" borderId="19" xfId="44" applyFont="1" applyFill="1" applyBorder="1" applyAlignment="1">
      <alignment horizontal="center" vertical="center"/>
    </xf>
    <xf numFmtId="9" fontId="35" fillId="23" borderId="15" xfId="44" applyFont="1" applyFill="1" applyBorder="1" applyAlignment="1">
      <alignment horizontal="center" vertical="center"/>
    </xf>
    <xf numFmtId="0" fontId="29" fillId="23" borderId="19" xfId="43" applyFont="1" applyFill="1" applyBorder="1" applyAlignment="1">
      <alignment horizontal="center" vertical="center"/>
    </xf>
    <xf numFmtId="167" fontId="33" fillId="23" borderId="14" xfId="45" applyNumberFormat="1" applyFont="1" applyFill="1" applyBorder="1" applyAlignment="1">
      <alignment horizontal="center" vertical="center"/>
    </xf>
    <xf numFmtId="167" fontId="33" fillId="23" borderId="33" xfId="45" applyNumberFormat="1" applyFont="1" applyFill="1" applyBorder="1" applyAlignment="1">
      <alignment horizontal="center" vertical="center"/>
    </xf>
    <xf numFmtId="167" fontId="33" fillId="23" borderId="0" xfId="45" applyNumberFormat="1" applyFont="1" applyFill="1" applyBorder="1" applyAlignment="1">
      <alignment horizontal="center" vertical="center"/>
    </xf>
    <xf numFmtId="167" fontId="33" fillId="23" borderId="35" xfId="45" applyNumberFormat="1" applyFont="1" applyFill="1" applyBorder="1" applyAlignment="1">
      <alignment horizontal="center" vertical="center"/>
    </xf>
    <xf numFmtId="0" fontId="27" fillId="23" borderId="19" xfId="43" applyFont="1" applyFill="1" applyBorder="1" applyAlignment="1">
      <alignment horizontal="center" vertical="center"/>
    </xf>
    <xf numFmtId="165" fontId="22" fillId="23" borderId="0" xfId="43" applyNumberFormat="1" applyFont="1" applyFill="1" applyBorder="1" applyAlignment="1">
      <alignment horizontal="right"/>
    </xf>
    <xf numFmtId="0" fontId="22" fillId="23" borderId="0" xfId="43" applyFont="1" applyFill="1" applyBorder="1" applyAlignment="1"/>
    <xf numFmtId="0" fontId="31" fillId="23" borderId="19" xfId="43" applyFont="1" applyFill="1" applyBorder="1" applyAlignment="1">
      <alignment horizontal="center" vertical="center"/>
    </xf>
    <xf numFmtId="167" fontId="33" fillId="23" borderId="19" xfId="45" applyNumberFormat="1" applyFont="1" applyFill="1" applyBorder="1" applyAlignment="1">
      <alignment horizontal="center" vertical="center"/>
    </xf>
    <xf numFmtId="0" fontId="1" fillId="23" borderId="19" xfId="43" applyFill="1" applyBorder="1" applyAlignment="1">
      <alignment horizontal="center" vertical="center"/>
    </xf>
    <xf numFmtId="165" fontId="21" fillId="23" borderId="0" xfId="43" quotePrefix="1" applyNumberFormat="1" applyFont="1" applyFill="1" applyBorder="1" applyAlignment="1">
      <alignment horizontal="right"/>
    </xf>
    <xf numFmtId="0" fontId="22" fillId="23" borderId="0" xfId="43" quotePrefix="1" applyFont="1" applyFill="1" applyBorder="1" applyAlignment="1">
      <alignment horizontal="right"/>
    </xf>
    <xf numFmtId="0" fontId="22" fillId="23" borderId="19" xfId="43" quotePrefix="1" applyFont="1" applyFill="1" applyBorder="1" applyAlignment="1">
      <alignment horizontal="right"/>
    </xf>
    <xf numFmtId="0" fontId="22" fillId="38" borderId="0" xfId="43" applyFont="1" applyFill="1" applyBorder="1"/>
    <xf numFmtId="164" fontId="22" fillId="38" borderId="0" xfId="43" applyNumberFormat="1" applyFont="1" applyFill="1" applyBorder="1" applyAlignment="1">
      <alignment horizontal="left"/>
    </xf>
    <xf numFmtId="165" fontId="22" fillId="38" borderId="0" xfId="43" applyNumberFormat="1" applyFont="1" applyFill="1" applyBorder="1" applyAlignment="1">
      <alignment horizontal="right"/>
    </xf>
    <xf numFmtId="0" fontId="22" fillId="38" borderId="21" xfId="43" applyFont="1" applyFill="1" applyBorder="1" applyAlignment="1">
      <alignment horizontal="right"/>
    </xf>
    <xf numFmtId="0" fontId="22" fillId="38" borderId="0" xfId="43" applyFont="1" applyFill="1" applyBorder="1" applyAlignment="1">
      <alignment horizontal="right"/>
    </xf>
    <xf numFmtId="0" fontId="22" fillId="38" borderId="19" xfId="43" applyFont="1" applyFill="1" applyBorder="1" applyAlignment="1">
      <alignment horizontal="right"/>
    </xf>
    <xf numFmtId="0" fontId="22" fillId="38" borderId="19" xfId="43" applyFont="1" applyFill="1" applyBorder="1" applyAlignment="1">
      <alignment horizontal="center" vertical="center"/>
    </xf>
    <xf numFmtId="9" fontId="35" fillId="38" borderId="34" xfId="44" applyFont="1" applyFill="1" applyBorder="1" applyAlignment="1">
      <alignment horizontal="center" vertical="center"/>
    </xf>
    <xf numFmtId="9" fontId="35" fillId="38" borderId="19" xfId="44" applyFont="1" applyFill="1" applyBorder="1" applyAlignment="1">
      <alignment horizontal="center" vertical="center"/>
    </xf>
    <xf numFmtId="9" fontId="35" fillId="38" borderId="15" xfId="44" applyFont="1" applyFill="1" applyBorder="1" applyAlignment="1">
      <alignment horizontal="center" vertical="center"/>
    </xf>
    <xf numFmtId="0" fontId="31" fillId="38" borderId="19" xfId="43" applyFont="1" applyFill="1" applyBorder="1" applyAlignment="1">
      <alignment horizontal="center" vertical="center"/>
    </xf>
    <xf numFmtId="167" fontId="33" fillId="38" borderId="14" xfId="45" applyNumberFormat="1" applyFont="1" applyFill="1" applyBorder="1" applyAlignment="1">
      <alignment horizontal="center" vertical="center"/>
    </xf>
    <xf numFmtId="167" fontId="33" fillId="38" borderId="33" xfId="45" applyNumberFormat="1" applyFont="1" applyFill="1" applyBorder="1" applyAlignment="1">
      <alignment horizontal="center" vertical="center"/>
    </xf>
    <xf numFmtId="167" fontId="33" fillId="38" borderId="35" xfId="45" applyNumberFormat="1" applyFont="1" applyFill="1" applyBorder="1" applyAlignment="1">
      <alignment horizontal="center" vertical="center"/>
    </xf>
    <xf numFmtId="0" fontId="1" fillId="38" borderId="19" xfId="43" applyFill="1" applyBorder="1" applyAlignment="1">
      <alignment horizontal="center" vertical="center"/>
    </xf>
    <xf numFmtId="0" fontId="22" fillId="38" borderId="0" xfId="43" quotePrefix="1" applyFont="1" applyFill="1" applyBorder="1" applyAlignment="1">
      <alignment horizontal="right"/>
    </xf>
    <xf numFmtId="165" fontId="21" fillId="38" borderId="0" xfId="43" quotePrefix="1" applyNumberFormat="1" applyFont="1" applyFill="1" applyBorder="1" applyAlignment="1">
      <alignment horizontal="right"/>
    </xf>
    <xf numFmtId="0" fontId="29" fillId="38" borderId="19" xfId="43" applyFont="1" applyFill="1" applyBorder="1" applyAlignment="1">
      <alignment horizontal="center" vertical="center"/>
    </xf>
    <xf numFmtId="0" fontId="27" fillId="38" borderId="19" xfId="43" applyFont="1" applyFill="1" applyBorder="1" applyAlignment="1">
      <alignment horizontal="center" vertical="center"/>
    </xf>
    <xf numFmtId="0" fontId="39" fillId="26" borderId="0" xfId="43" applyFont="1" applyFill="1" applyBorder="1" applyAlignment="1">
      <alignment horizontal="left" indent="1"/>
    </xf>
    <xf numFmtId="164" fontId="39" fillId="26" borderId="0" xfId="43" applyNumberFormat="1" applyFont="1" applyFill="1" applyBorder="1" applyAlignment="1">
      <alignment horizontal="left"/>
    </xf>
    <xf numFmtId="165" fontId="22" fillId="26" borderId="0" xfId="43" applyNumberFormat="1" applyFont="1" applyFill="1" applyBorder="1" applyAlignment="1">
      <alignment horizontal="right"/>
    </xf>
    <xf numFmtId="0" fontId="22" fillId="26" borderId="21" xfId="43" applyFont="1" applyFill="1" applyBorder="1" applyAlignment="1">
      <alignment horizontal="right"/>
    </xf>
    <xf numFmtId="0" fontId="22" fillId="26" borderId="0" xfId="43" quotePrefix="1" applyFont="1" applyFill="1" applyBorder="1" applyAlignment="1">
      <alignment horizontal="right"/>
    </xf>
    <xf numFmtId="0" fontId="22" fillId="26" borderId="19" xfId="43" quotePrefix="1" applyFont="1" applyFill="1" applyBorder="1" applyAlignment="1">
      <alignment horizontal="right"/>
    </xf>
    <xf numFmtId="0" fontId="22" fillId="0" borderId="19" xfId="43" applyFont="1" applyBorder="1" applyAlignment="1">
      <alignment horizontal="center"/>
    </xf>
    <xf numFmtId="0" fontId="22" fillId="26" borderId="0" xfId="43" applyFont="1" applyFill="1" applyBorder="1" applyAlignment="1">
      <alignment horizontal="right"/>
    </xf>
    <xf numFmtId="9" fontId="35" fillId="0" borderId="34" xfId="44" applyFont="1" applyBorder="1" applyAlignment="1">
      <alignment horizontal="center"/>
    </xf>
    <xf numFmtId="167" fontId="33" fillId="26" borderId="14" xfId="45" applyNumberFormat="1" applyFont="1" applyFill="1" applyBorder="1" applyAlignment="1">
      <alignment horizontal="center" vertical="center"/>
    </xf>
    <xf numFmtId="167" fontId="33" fillId="26" borderId="33" xfId="45" applyNumberFormat="1" applyFont="1" applyFill="1" applyBorder="1" applyAlignment="1">
      <alignment horizontal="center" vertical="center"/>
    </xf>
    <xf numFmtId="167" fontId="33" fillId="26" borderId="19" xfId="45" applyNumberFormat="1" applyFont="1" applyFill="1" applyBorder="1" applyAlignment="1">
      <alignment horizontal="center" vertical="center"/>
    </xf>
    <xf numFmtId="167" fontId="33" fillId="26" borderId="35" xfId="45" applyNumberFormat="1" applyFont="1" applyFill="1" applyBorder="1" applyAlignment="1">
      <alignment horizontal="center" vertical="center"/>
    </xf>
    <xf numFmtId="0" fontId="22" fillId="39" borderId="0" xfId="43" applyFont="1" applyFill="1" applyBorder="1"/>
    <xf numFmtId="164" fontId="22" fillId="39" borderId="0" xfId="43" applyNumberFormat="1" applyFont="1" applyFill="1" applyBorder="1" applyAlignment="1">
      <alignment horizontal="left"/>
    </xf>
    <xf numFmtId="165" fontId="21" fillId="39" borderId="0" xfId="43" quotePrefix="1" applyNumberFormat="1" applyFont="1" applyFill="1" applyBorder="1" applyAlignment="1">
      <alignment horizontal="right"/>
    </xf>
    <xf numFmtId="0" fontId="22" fillId="39" borderId="21" xfId="43" applyFont="1" applyFill="1" applyBorder="1" applyAlignment="1">
      <alignment horizontal="right"/>
    </xf>
    <xf numFmtId="0" fontId="22" fillId="39" borderId="0" xfId="43" applyFont="1" applyFill="1" applyBorder="1" applyAlignment="1">
      <alignment horizontal="right"/>
    </xf>
    <xf numFmtId="0" fontId="22" fillId="39" borderId="19" xfId="43" applyFont="1" applyFill="1" applyBorder="1" applyAlignment="1">
      <alignment horizontal="right"/>
    </xf>
    <xf numFmtId="0" fontId="22" fillId="39" borderId="19" xfId="43" applyFont="1" applyFill="1" applyBorder="1" applyAlignment="1">
      <alignment horizontal="center" vertical="center"/>
    </xf>
    <xf numFmtId="0" fontId="22" fillId="39" borderId="0" xfId="43" quotePrefix="1" applyFont="1" applyFill="1" applyBorder="1" applyAlignment="1">
      <alignment horizontal="right"/>
    </xf>
    <xf numFmtId="9" fontId="35" fillId="39" borderId="34" xfId="44" applyFont="1" applyFill="1" applyBorder="1" applyAlignment="1">
      <alignment horizontal="center" vertical="center"/>
    </xf>
    <xf numFmtId="9" fontId="35" fillId="39" borderId="19" xfId="44" applyFont="1" applyFill="1" applyBorder="1" applyAlignment="1">
      <alignment horizontal="center" vertical="center"/>
    </xf>
    <xf numFmtId="9" fontId="35" fillId="39" borderId="15" xfId="44" applyFont="1" applyFill="1" applyBorder="1" applyAlignment="1">
      <alignment horizontal="center" vertical="center"/>
    </xf>
    <xf numFmtId="0" fontId="29" fillId="39" borderId="19" xfId="43" applyFont="1" applyFill="1" applyBorder="1" applyAlignment="1">
      <alignment horizontal="center" vertical="center"/>
    </xf>
    <xf numFmtId="167" fontId="33" fillId="39" borderId="14" xfId="45" applyNumberFormat="1" applyFont="1" applyFill="1" applyBorder="1" applyAlignment="1">
      <alignment horizontal="center" vertical="center"/>
    </xf>
    <xf numFmtId="167" fontId="33" fillId="39" borderId="33" xfId="45" applyNumberFormat="1" applyFont="1" applyFill="1" applyBorder="1" applyAlignment="1">
      <alignment horizontal="center" vertical="center"/>
    </xf>
    <xf numFmtId="167" fontId="33" fillId="39" borderId="19" xfId="45" applyNumberFormat="1" applyFont="1" applyFill="1" applyBorder="1" applyAlignment="1">
      <alignment horizontal="center" vertical="center"/>
    </xf>
    <xf numFmtId="167" fontId="33" fillId="39" borderId="35" xfId="45" applyNumberFormat="1" applyFont="1" applyFill="1" applyBorder="1" applyAlignment="1">
      <alignment horizontal="center" vertical="center"/>
    </xf>
    <xf numFmtId="0" fontId="27" fillId="39" borderId="19" xfId="43" applyFont="1" applyFill="1" applyBorder="1" applyAlignment="1">
      <alignment horizontal="center" vertical="center"/>
    </xf>
    <xf numFmtId="165" fontId="22" fillId="39" borderId="0" xfId="43" applyNumberFormat="1" applyFont="1" applyFill="1" applyBorder="1" applyAlignment="1">
      <alignment horizontal="right"/>
    </xf>
    <xf numFmtId="0" fontId="31" fillId="39" borderId="19" xfId="43" applyFont="1" applyFill="1" applyBorder="1" applyAlignment="1">
      <alignment horizontal="center" vertical="center"/>
    </xf>
    <xf numFmtId="0" fontId="1" fillId="39" borderId="19" xfId="43" applyFill="1" applyBorder="1" applyAlignment="1">
      <alignment horizontal="center" vertical="center"/>
    </xf>
    <xf numFmtId="0" fontId="22" fillId="40" borderId="27" xfId="43" applyFont="1" applyFill="1" applyBorder="1"/>
    <xf numFmtId="164" fontId="22" fillId="40" borderId="27" xfId="43" applyNumberFormat="1" applyFont="1" applyFill="1" applyBorder="1" applyAlignment="1">
      <alignment horizontal="left"/>
    </xf>
    <xf numFmtId="165" fontId="22" fillId="40" borderId="27" xfId="43" applyNumberFormat="1" applyFont="1" applyFill="1" applyBorder="1"/>
    <xf numFmtId="0" fontId="22" fillId="40" borderId="38" xfId="43" applyFont="1" applyFill="1" applyBorder="1" applyAlignment="1">
      <alignment horizontal="right"/>
    </xf>
    <xf numFmtId="0" fontId="22" fillId="40" borderId="27" xfId="43" quotePrefix="1" applyFont="1" applyFill="1" applyBorder="1" applyAlignment="1">
      <alignment horizontal="right"/>
    </xf>
    <xf numFmtId="0" fontId="22" fillId="40" borderId="27" xfId="43" applyFont="1" applyFill="1" applyBorder="1" applyAlignment="1"/>
    <xf numFmtId="0" fontId="22" fillId="40" borderId="27" xfId="43" applyFont="1" applyFill="1" applyBorder="1" applyAlignment="1">
      <alignment horizontal="right"/>
    </xf>
    <xf numFmtId="0" fontId="22" fillId="40" borderId="30" xfId="43" applyFont="1" applyFill="1" applyBorder="1" applyAlignment="1">
      <alignment horizontal="right"/>
    </xf>
    <xf numFmtId="0" fontId="22" fillId="40" borderId="30" xfId="43" applyFont="1" applyFill="1" applyBorder="1" applyAlignment="1">
      <alignment horizontal="center" vertical="center"/>
    </xf>
    <xf numFmtId="0" fontId="1" fillId="40" borderId="38" xfId="43" applyFont="1" applyFill="1" applyBorder="1" applyAlignment="1">
      <alignment horizontal="right"/>
    </xf>
    <xf numFmtId="0" fontId="1" fillId="40" borderId="27" xfId="43" applyFont="1" applyFill="1" applyBorder="1" applyAlignment="1"/>
    <xf numFmtId="0" fontId="1" fillId="40" borderId="27" xfId="43" applyFont="1" applyFill="1" applyBorder="1" applyAlignment="1">
      <alignment horizontal="right"/>
    </xf>
    <xf numFmtId="0" fontId="1" fillId="40" borderId="30" xfId="43" applyFont="1" applyFill="1" applyBorder="1" applyAlignment="1">
      <alignment horizontal="right"/>
    </xf>
    <xf numFmtId="0" fontId="1" fillId="40" borderId="30" xfId="43" applyFont="1" applyFill="1" applyBorder="1" applyAlignment="1">
      <alignment horizontal="center" vertical="center"/>
    </xf>
    <xf numFmtId="9" fontId="33" fillId="40" borderId="37" xfId="44" applyFont="1" applyFill="1" applyBorder="1" applyAlignment="1">
      <alignment horizontal="center" vertical="center"/>
    </xf>
    <xf numFmtId="9" fontId="34" fillId="40" borderId="30" xfId="44" applyFont="1" applyFill="1" applyBorder="1" applyAlignment="1">
      <alignment horizontal="center" vertical="center"/>
    </xf>
    <xf numFmtId="9" fontId="34" fillId="40" borderId="28" xfId="44" applyFont="1" applyFill="1" applyBorder="1" applyAlignment="1">
      <alignment horizontal="center" vertical="center"/>
    </xf>
    <xf numFmtId="0" fontId="31" fillId="40" borderId="30" xfId="43" applyFont="1" applyFill="1" applyBorder="1" applyAlignment="1">
      <alignment horizontal="center" vertical="center"/>
    </xf>
    <xf numFmtId="167" fontId="29" fillId="40" borderId="26" xfId="45" applyNumberFormat="1" applyFont="1" applyFill="1" applyBorder="1" applyAlignment="1">
      <alignment horizontal="center" vertical="center"/>
    </xf>
    <xf numFmtId="167" fontId="29" fillId="40" borderId="29" xfId="45" applyNumberFormat="1" applyFont="1" applyFill="1" applyBorder="1" applyAlignment="1">
      <alignment horizontal="center" vertical="center"/>
    </xf>
    <xf numFmtId="167" fontId="29" fillId="40" borderId="30" xfId="45" applyNumberFormat="1" applyFont="1" applyFill="1" applyBorder="1" applyAlignment="1">
      <alignment horizontal="center" vertical="center"/>
    </xf>
    <xf numFmtId="167" fontId="29" fillId="40" borderId="43" xfId="45" applyNumberFormat="1" applyFont="1" applyFill="1" applyBorder="1" applyAlignment="1">
      <alignment horizontal="center" vertical="center"/>
    </xf>
    <xf numFmtId="0" fontId="1" fillId="40" borderId="30" xfId="43" applyFill="1" applyBorder="1" applyAlignment="1">
      <alignment horizontal="center" vertical="center"/>
    </xf>
    <xf numFmtId="0" fontId="22" fillId="0" borderId="21" xfId="43" applyFont="1" applyFill="1" applyBorder="1" applyAlignment="1">
      <alignment horizontal="right"/>
    </xf>
    <xf numFmtId="0" fontId="22" fillId="0" borderId="38" xfId="43" applyFont="1" applyFill="1" applyBorder="1" applyAlignment="1">
      <alignment horizontal="right"/>
    </xf>
    <xf numFmtId="0" fontId="1" fillId="0" borderId="38" xfId="43" applyFont="1" applyFill="1" applyBorder="1" applyAlignment="1">
      <alignment horizontal="right"/>
    </xf>
    <xf numFmtId="167" fontId="33" fillId="0" borderId="26" xfId="45" applyNumberFormat="1" applyFont="1" applyBorder="1" applyAlignment="1">
      <alignment horizontal="right"/>
    </xf>
    <xf numFmtId="167" fontId="33" fillId="0" borderId="29" xfId="45" applyNumberFormat="1" applyFont="1" applyBorder="1" applyAlignment="1">
      <alignment horizontal="right"/>
    </xf>
    <xf numFmtId="167" fontId="33" fillId="0" borderId="30" xfId="45" applyNumberFormat="1" applyFont="1" applyBorder="1" applyAlignment="1">
      <alignment horizontal="right"/>
    </xf>
    <xf numFmtId="167" fontId="33" fillId="0" borderId="27" xfId="45" applyNumberFormat="1" applyFont="1" applyBorder="1" applyAlignment="1">
      <alignment horizontal="right"/>
    </xf>
    <xf numFmtId="167" fontId="33" fillId="0" borderId="43" xfId="45" applyNumberFormat="1" applyFont="1" applyBorder="1" applyAlignment="1">
      <alignment horizontal="right"/>
    </xf>
    <xf numFmtId="0" fontId="1" fillId="25" borderId="12" xfId="43" applyFill="1" applyBorder="1"/>
    <xf numFmtId="164" fontId="1" fillId="25" borderId="12" xfId="43" applyNumberFormat="1" applyFill="1" applyBorder="1" applyAlignment="1">
      <alignment horizontal="left"/>
    </xf>
    <xf numFmtId="165" fontId="1" fillId="25" borderId="12" xfId="43" applyNumberFormat="1" applyFill="1" applyBorder="1"/>
    <xf numFmtId="0" fontId="22" fillId="25" borderId="39" xfId="43" applyFont="1" applyFill="1" applyBorder="1" applyAlignment="1">
      <alignment horizontal="right"/>
    </xf>
    <xf numFmtId="0" fontId="22" fillId="25" borderId="12" xfId="43" applyFont="1" applyFill="1" applyBorder="1" applyAlignment="1">
      <alignment horizontal="right"/>
    </xf>
    <xf numFmtId="0" fontId="22" fillId="25" borderId="40" xfId="43" applyFont="1" applyFill="1" applyBorder="1" applyAlignment="1">
      <alignment horizontal="right"/>
    </xf>
    <xf numFmtId="0" fontId="22" fillId="25" borderId="40" xfId="43" applyFont="1" applyFill="1" applyBorder="1" applyAlignment="1">
      <alignment horizontal="center" vertical="center"/>
    </xf>
    <xf numFmtId="0" fontId="1" fillId="25" borderId="39" xfId="43" applyFont="1" applyFill="1" applyBorder="1" applyAlignment="1">
      <alignment horizontal="right"/>
    </xf>
    <xf numFmtId="0" fontId="1" fillId="25" borderId="12" xfId="43" applyFont="1" applyFill="1" applyBorder="1" applyAlignment="1">
      <alignment horizontal="right"/>
    </xf>
    <xf numFmtId="0" fontId="1" fillId="25" borderId="40" xfId="43" applyFont="1" applyFill="1" applyBorder="1" applyAlignment="1">
      <alignment horizontal="right"/>
    </xf>
    <xf numFmtId="0" fontId="1" fillId="25" borderId="40" xfId="43" applyFont="1" applyFill="1" applyBorder="1" applyAlignment="1">
      <alignment horizontal="center" vertical="center"/>
    </xf>
    <xf numFmtId="9" fontId="35" fillId="25" borderId="41" xfId="44" applyFont="1" applyFill="1" applyBorder="1" applyAlignment="1">
      <alignment horizontal="center" vertical="center"/>
    </xf>
    <xf numFmtId="9" fontId="35" fillId="25" borderId="40" xfId="44" applyFont="1" applyFill="1" applyBorder="1" applyAlignment="1">
      <alignment horizontal="center" vertical="center"/>
    </xf>
    <xf numFmtId="9" fontId="35" fillId="25" borderId="13" xfId="44" applyFont="1" applyFill="1" applyBorder="1" applyAlignment="1">
      <alignment horizontal="center" vertical="center"/>
    </xf>
    <xf numFmtId="0" fontId="31" fillId="25" borderId="40" xfId="43" applyFont="1" applyFill="1" applyBorder="1" applyAlignment="1">
      <alignment horizontal="center" vertical="center"/>
    </xf>
    <xf numFmtId="167" fontId="33" fillId="25" borderId="11" xfId="45" applyNumberFormat="1" applyFont="1" applyFill="1" applyBorder="1" applyAlignment="1">
      <alignment horizontal="center" vertical="center"/>
    </xf>
    <xf numFmtId="167" fontId="33" fillId="25" borderId="36" xfId="45" applyNumberFormat="1" applyFont="1" applyFill="1" applyBorder="1" applyAlignment="1">
      <alignment horizontal="center" vertical="center"/>
    </xf>
    <xf numFmtId="167" fontId="33" fillId="25" borderId="40" xfId="45" applyNumberFormat="1" applyFont="1" applyFill="1" applyBorder="1" applyAlignment="1">
      <alignment horizontal="center" vertical="center"/>
    </xf>
    <xf numFmtId="167" fontId="33" fillId="25" borderId="42" xfId="45" applyNumberFormat="1" applyFont="1" applyFill="1" applyBorder="1" applyAlignment="1">
      <alignment horizontal="center" vertical="center"/>
    </xf>
    <xf numFmtId="0" fontId="1" fillId="25" borderId="40" xfId="43" applyFill="1" applyBorder="1" applyAlignment="1">
      <alignment horizontal="center" vertical="center"/>
    </xf>
    <xf numFmtId="0" fontId="1" fillId="25" borderId="12" xfId="43" applyFill="1" applyBorder="1" applyAlignment="1">
      <alignment horizontal="center" vertical="center"/>
    </xf>
    <xf numFmtId="167" fontId="29" fillId="0" borderId="0" xfId="45" applyNumberFormat="1" applyFont="1" applyFill="1" applyBorder="1" applyAlignment="1">
      <alignment horizontal="center" vertical="center"/>
    </xf>
    <xf numFmtId="0" fontId="1" fillId="25" borderId="0" xfId="43" applyFill="1" applyBorder="1"/>
    <xf numFmtId="164" fontId="1" fillId="25" borderId="0" xfId="43" applyNumberFormat="1" applyFill="1" applyBorder="1" applyAlignment="1">
      <alignment horizontal="left"/>
    </xf>
    <xf numFmtId="165" fontId="1" fillId="25" borderId="0" xfId="43" applyNumberFormat="1" applyFill="1" applyBorder="1"/>
    <xf numFmtId="0" fontId="22" fillId="25" borderId="21" xfId="43" applyFont="1" applyFill="1" applyBorder="1" applyAlignment="1">
      <alignment horizontal="right"/>
    </xf>
    <xf numFmtId="0" fontId="22" fillId="25" borderId="0" xfId="43" applyFont="1" applyFill="1" applyBorder="1" applyAlignment="1">
      <alignment horizontal="right"/>
    </xf>
    <xf numFmtId="0" fontId="22" fillId="25" borderId="19" xfId="43" applyFont="1" applyFill="1" applyBorder="1" applyAlignment="1">
      <alignment horizontal="right"/>
    </xf>
    <xf numFmtId="0" fontId="22" fillId="25" borderId="19" xfId="43" applyFont="1" applyFill="1" applyBorder="1" applyAlignment="1">
      <alignment horizontal="center" vertical="center"/>
    </xf>
    <xf numFmtId="0" fontId="1" fillId="25" borderId="21" xfId="43" applyFont="1" applyFill="1" applyBorder="1" applyAlignment="1">
      <alignment horizontal="right"/>
    </xf>
    <xf numFmtId="0" fontId="1" fillId="25" borderId="0" xfId="43" applyFont="1" applyFill="1" applyBorder="1" applyAlignment="1">
      <alignment horizontal="right"/>
    </xf>
    <xf numFmtId="0" fontId="1" fillId="25" borderId="19" xfId="43" applyFont="1" applyFill="1" applyBorder="1" applyAlignment="1">
      <alignment horizontal="right"/>
    </xf>
    <xf numFmtId="0" fontId="1" fillId="25" borderId="19" xfId="43" applyFont="1" applyFill="1" applyBorder="1" applyAlignment="1">
      <alignment horizontal="center" vertical="center"/>
    </xf>
    <xf numFmtId="9" fontId="35" fillId="25" borderId="34" xfId="44" applyFont="1" applyFill="1" applyBorder="1" applyAlignment="1">
      <alignment horizontal="center" vertical="center"/>
    </xf>
    <xf numFmtId="9" fontId="35" fillId="25" borderId="19" xfId="44" applyFont="1" applyFill="1" applyBorder="1" applyAlignment="1">
      <alignment horizontal="center" vertical="center"/>
    </xf>
    <xf numFmtId="9" fontId="35" fillId="25" borderId="15" xfId="44" applyFont="1" applyFill="1" applyBorder="1" applyAlignment="1">
      <alignment horizontal="center" vertical="center"/>
    </xf>
    <xf numFmtId="0" fontId="31" fillId="25" borderId="19" xfId="43" applyFont="1" applyFill="1" applyBorder="1" applyAlignment="1">
      <alignment horizontal="center" vertical="center"/>
    </xf>
    <xf numFmtId="167" fontId="33" fillId="25" borderId="14" xfId="45" applyNumberFormat="1" applyFont="1" applyFill="1" applyBorder="1" applyAlignment="1">
      <alignment horizontal="center" vertical="center"/>
    </xf>
    <xf numFmtId="167" fontId="33" fillId="25" borderId="33" xfId="45" applyNumberFormat="1" applyFont="1" applyFill="1" applyBorder="1" applyAlignment="1">
      <alignment horizontal="center" vertical="center"/>
    </xf>
    <xf numFmtId="167" fontId="33" fillId="25" borderId="19" xfId="45" applyNumberFormat="1" applyFont="1" applyFill="1" applyBorder="1" applyAlignment="1">
      <alignment horizontal="center" vertical="center"/>
    </xf>
    <xf numFmtId="167" fontId="33" fillId="25" borderId="35" xfId="45" applyNumberFormat="1" applyFont="1" applyFill="1" applyBorder="1" applyAlignment="1">
      <alignment horizontal="center" vertical="center"/>
    </xf>
    <xf numFmtId="0" fontId="1" fillId="25" borderId="19" xfId="43" applyFill="1" applyBorder="1" applyAlignment="1">
      <alignment horizontal="center" vertical="center"/>
    </xf>
    <xf numFmtId="0" fontId="1" fillId="25" borderId="0" xfId="43" applyFill="1" applyBorder="1" applyAlignment="1">
      <alignment horizontal="center" vertical="center"/>
    </xf>
    <xf numFmtId="165" fontId="1" fillId="25" borderId="0" xfId="43" quotePrefix="1" applyNumberFormat="1" applyFill="1" applyBorder="1"/>
    <xf numFmtId="0" fontId="1" fillId="27" borderId="49" xfId="43" applyFill="1" applyBorder="1"/>
    <xf numFmtId="164" fontId="1" fillId="27" borderId="49" xfId="43" applyNumberFormat="1" applyFill="1" applyBorder="1" applyAlignment="1">
      <alignment horizontal="left"/>
    </xf>
    <xf numFmtId="165" fontId="1" fillId="27" borderId="49" xfId="43" applyNumberFormat="1" applyFill="1" applyBorder="1"/>
    <xf numFmtId="0" fontId="22" fillId="27" borderId="50" xfId="43" applyFont="1" applyFill="1" applyBorder="1" applyAlignment="1">
      <alignment horizontal="right"/>
    </xf>
    <xf numFmtId="0" fontId="22" fillId="27" borderId="49" xfId="43" applyFont="1" applyFill="1" applyBorder="1" applyAlignment="1">
      <alignment horizontal="right"/>
    </xf>
    <xf numFmtId="0" fontId="22" fillId="27" borderId="47" xfId="43" applyFont="1" applyFill="1" applyBorder="1" applyAlignment="1">
      <alignment horizontal="right"/>
    </xf>
    <xf numFmtId="0" fontId="22" fillId="0" borderId="49" xfId="43" applyFont="1" applyBorder="1"/>
    <xf numFmtId="0" fontId="22" fillId="27" borderId="47" xfId="43" applyFont="1" applyFill="1" applyBorder="1" applyAlignment="1">
      <alignment horizontal="center" vertical="center"/>
    </xf>
    <xf numFmtId="0" fontId="1" fillId="0" borderId="49" xfId="43" applyBorder="1"/>
    <xf numFmtId="0" fontId="1" fillId="0" borderId="47" xfId="43" applyBorder="1"/>
    <xf numFmtId="0" fontId="1" fillId="27" borderId="50" xfId="43" applyFont="1" applyFill="1" applyBorder="1" applyAlignment="1">
      <alignment horizontal="right"/>
    </xf>
    <xf numFmtId="0" fontId="1" fillId="27" borderId="49" xfId="43" applyFont="1" applyFill="1" applyBorder="1" applyAlignment="1">
      <alignment horizontal="right"/>
    </xf>
    <xf numFmtId="0" fontId="1" fillId="27" borderId="47" xfId="43" applyFont="1" applyFill="1" applyBorder="1" applyAlignment="1">
      <alignment horizontal="right"/>
    </xf>
    <xf numFmtId="0" fontId="1" fillId="0" borderId="49" xfId="43" applyFont="1" applyBorder="1"/>
    <xf numFmtId="0" fontId="1" fillId="27" borderId="49" xfId="43" applyFont="1" applyFill="1" applyBorder="1" applyAlignment="1">
      <alignment horizontal="center" vertical="center"/>
    </xf>
    <xf numFmtId="9" fontId="35" fillId="27" borderId="51" xfId="44" applyFont="1" applyFill="1" applyBorder="1" applyAlignment="1">
      <alignment horizontal="center" vertical="center"/>
    </xf>
    <xf numFmtId="9" fontId="35" fillId="27" borderId="48" xfId="44" applyFont="1" applyFill="1" applyBorder="1" applyAlignment="1">
      <alignment horizontal="center" vertical="center"/>
    </xf>
    <xf numFmtId="9" fontId="35" fillId="27" borderId="52" xfId="44" applyFont="1" applyFill="1" applyBorder="1" applyAlignment="1">
      <alignment horizontal="center" vertical="center"/>
    </xf>
    <xf numFmtId="0" fontId="31" fillId="27" borderId="51" xfId="43" applyFont="1" applyFill="1" applyBorder="1" applyAlignment="1">
      <alignment horizontal="center" vertical="center"/>
    </xf>
    <xf numFmtId="0" fontId="31" fillId="27" borderId="48" xfId="43" applyFont="1" applyFill="1" applyBorder="1" applyAlignment="1">
      <alignment horizontal="center" vertical="center"/>
    </xf>
    <xf numFmtId="0" fontId="31" fillId="27" borderId="52" xfId="43" applyFont="1" applyFill="1" applyBorder="1" applyAlignment="1">
      <alignment horizontal="center" vertical="center"/>
    </xf>
    <xf numFmtId="167" fontId="29" fillId="27" borderId="46" xfId="45" applyNumberFormat="1" applyFont="1" applyFill="1" applyBorder="1" applyAlignment="1">
      <alignment horizontal="center" vertical="center"/>
    </xf>
    <xf numFmtId="167" fontId="29" fillId="27" borderId="48" xfId="45" applyNumberFormat="1" applyFont="1" applyFill="1" applyBorder="1" applyAlignment="1">
      <alignment horizontal="center" vertical="center"/>
    </xf>
    <xf numFmtId="167" fontId="29" fillId="27" borderId="52" xfId="45" applyNumberFormat="1" applyFont="1" applyFill="1" applyBorder="1" applyAlignment="1">
      <alignment horizontal="center" vertical="center"/>
    </xf>
    <xf numFmtId="0" fontId="1" fillId="27" borderId="51" xfId="43" applyFill="1" applyBorder="1" applyAlignment="1">
      <alignment horizontal="center" vertical="center"/>
    </xf>
    <xf numFmtId="0" fontId="1" fillId="27" borderId="48" xfId="43" applyFill="1" applyBorder="1" applyAlignment="1">
      <alignment horizontal="center" vertical="center"/>
    </xf>
    <xf numFmtId="0" fontId="1" fillId="27" borderId="50" xfId="43" applyFill="1" applyBorder="1" applyAlignment="1">
      <alignment horizontal="center" vertical="center"/>
    </xf>
    <xf numFmtId="0" fontId="1" fillId="0" borderId="0" xfId="43" applyAlignment="1">
      <alignment horizontal="right"/>
    </xf>
    <xf numFmtId="0" fontId="1" fillId="30" borderId="0" xfId="43" applyFill="1"/>
    <xf numFmtId="9" fontId="0" fillId="0" borderId="0" xfId="44" applyFont="1"/>
    <xf numFmtId="0" fontId="1" fillId="0" borderId="0" xfId="43" applyBorder="1" applyAlignment="1">
      <alignment horizontal="right" wrapText="1"/>
    </xf>
    <xf numFmtId="167" fontId="18" fillId="26" borderId="0" xfId="41" applyNumberFormat="1" applyFont="1" applyFill="1"/>
    <xf numFmtId="167" fontId="19" fillId="29" borderId="22" xfId="41" applyNumberFormat="1" applyFont="1" applyFill="1" applyBorder="1" applyAlignment="1">
      <alignment horizontal="center" vertical="center" wrapText="1"/>
    </xf>
    <xf numFmtId="167" fontId="19" fillId="29" borderId="18" xfId="41" applyNumberFormat="1" applyFont="1" applyFill="1" applyBorder="1" applyAlignment="1">
      <alignment horizontal="center" vertical="center" wrapText="1"/>
    </xf>
    <xf numFmtId="167" fontId="18" fillId="0" borderId="23" xfId="41" applyNumberFormat="1" applyFont="1" applyFill="1" applyBorder="1"/>
    <xf numFmtId="167" fontId="18" fillId="0" borderId="19" xfId="41" applyNumberFormat="1" applyFont="1" applyFill="1" applyBorder="1"/>
    <xf numFmtId="167" fontId="18" fillId="0" borderId="22" xfId="41" applyNumberFormat="1" applyFont="1" applyFill="1" applyBorder="1"/>
    <xf numFmtId="167" fontId="18" fillId="0" borderId="18" xfId="41" applyNumberFormat="1" applyFont="1" applyFill="1" applyBorder="1"/>
    <xf numFmtId="167" fontId="18" fillId="0" borderId="0" xfId="41" applyNumberFormat="1" applyFont="1" applyFill="1"/>
    <xf numFmtId="167" fontId="18" fillId="0" borderId="16" xfId="41" applyNumberFormat="1" applyFont="1" applyFill="1" applyBorder="1"/>
    <xf numFmtId="167" fontId="18" fillId="0" borderId="0" xfId="41" applyNumberFormat="1" applyFont="1" applyFill="1" applyBorder="1"/>
    <xf numFmtId="167" fontId="18" fillId="28" borderId="22" xfId="41" applyNumberFormat="1" applyFont="1" applyFill="1" applyBorder="1"/>
    <xf numFmtId="167" fontId="19" fillId="32" borderId="22" xfId="41" applyNumberFormat="1" applyFont="1" applyFill="1" applyBorder="1" applyAlignment="1">
      <alignment horizontal="center" vertical="center" wrapText="1"/>
    </xf>
    <xf numFmtId="167" fontId="19" fillId="32" borderId="18" xfId="41" applyNumberFormat="1" applyFont="1" applyFill="1" applyBorder="1" applyAlignment="1">
      <alignment horizontal="center" vertical="center" wrapText="1"/>
    </xf>
    <xf numFmtId="0" fontId="19" fillId="32" borderId="22" xfId="0" applyFont="1" applyFill="1" applyBorder="1" applyAlignment="1">
      <alignment horizontal="center" vertical="center" wrapText="1"/>
    </xf>
    <xf numFmtId="0" fontId="19" fillId="32" borderId="18" xfId="0" applyFont="1" applyFill="1" applyBorder="1" applyAlignment="1">
      <alignment horizontal="center" vertical="center" wrapText="1"/>
    </xf>
    <xf numFmtId="43" fontId="18" fillId="0" borderId="18" xfId="41" applyNumberFormat="1" applyFont="1" applyFill="1" applyBorder="1"/>
    <xf numFmtId="167" fontId="23" fillId="32" borderId="22" xfId="41" applyNumberFormat="1" applyFont="1" applyFill="1" applyBorder="1"/>
    <xf numFmtId="167" fontId="23" fillId="32" borderId="18" xfId="41" applyNumberFormat="1" applyFont="1" applyFill="1" applyBorder="1"/>
    <xf numFmtId="43" fontId="23" fillId="32" borderId="18" xfId="41" applyNumberFormat="1" applyFont="1" applyFill="1" applyBorder="1"/>
    <xf numFmtId="9" fontId="18" fillId="0" borderId="0" xfId="42" applyFont="1" applyFill="1"/>
    <xf numFmtId="0" fontId="23" fillId="0" borderId="0" xfId="0" applyFont="1" applyFill="1"/>
    <xf numFmtId="167" fontId="19" fillId="32" borderId="10" xfId="41" applyNumberFormat="1" applyFont="1" applyFill="1" applyBorder="1" applyAlignment="1">
      <alignment horizontal="center"/>
    </xf>
    <xf numFmtId="167" fontId="19" fillId="32" borderId="17" xfId="41" applyNumberFormat="1" applyFont="1" applyFill="1" applyBorder="1" applyAlignment="1">
      <alignment horizontal="center"/>
    </xf>
    <xf numFmtId="0" fontId="19" fillId="32" borderId="20" xfId="0" applyFont="1" applyFill="1" applyBorder="1" applyAlignment="1">
      <alignment horizontal="center"/>
    </xf>
    <xf numFmtId="0" fontId="19" fillId="32" borderId="17" xfId="0" applyFont="1" applyFill="1" applyBorder="1" applyAlignment="1">
      <alignment horizontal="center"/>
    </xf>
    <xf numFmtId="167" fontId="19" fillId="0" borderId="10" xfId="41" applyNumberFormat="1" applyFont="1" applyFill="1" applyBorder="1" applyAlignment="1">
      <alignment horizontal="center"/>
    </xf>
    <xf numFmtId="167" fontId="19" fillId="0" borderId="17" xfId="41" applyNumberFormat="1" applyFont="1" applyFill="1" applyBorder="1" applyAlignment="1">
      <alignment horizontal="center"/>
    </xf>
    <xf numFmtId="0" fontId="19" fillId="0" borderId="20" xfId="0" applyFont="1" applyFill="1" applyBorder="1" applyAlignment="1">
      <alignment horizontal="center"/>
    </xf>
    <xf numFmtId="0" fontId="19" fillId="0" borderId="17" xfId="0" applyFont="1" applyFill="1" applyBorder="1" applyAlignment="1">
      <alignment horizontal="center"/>
    </xf>
    <xf numFmtId="4" fontId="18" fillId="0" borderId="0" xfId="0" applyNumberFormat="1" applyFont="1" applyAlignment="1">
      <alignment horizontal="center"/>
    </xf>
    <xf numFmtId="4" fontId="18" fillId="24" borderId="16" xfId="0" applyNumberFormat="1" applyFont="1" applyFill="1" applyBorder="1" applyAlignment="1">
      <alignment horizontal="center"/>
    </xf>
    <xf numFmtId="0" fontId="27" fillId="0" borderId="12" xfId="43" applyFont="1" applyBorder="1" applyAlignment="1">
      <alignment horizontal="center" vertical="center" textRotation="90"/>
    </xf>
    <xf numFmtId="0" fontId="27" fillId="0" borderId="0" xfId="43" applyFont="1" applyBorder="1" applyAlignment="1">
      <alignment horizontal="center" vertical="center" textRotation="90"/>
    </xf>
    <xf numFmtId="0" fontId="27" fillId="0" borderId="27" xfId="43" applyFont="1" applyBorder="1" applyAlignment="1">
      <alignment horizontal="center" vertical="center" textRotation="90"/>
    </xf>
    <xf numFmtId="165" fontId="1" fillId="0" borderId="40" xfId="43" applyNumberFormat="1" applyBorder="1" applyAlignment="1">
      <alignment horizontal="center" vertical="center"/>
    </xf>
    <xf numFmtId="165" fontId="1" fillId="0" borderId="19" xfId="43" applyNumberFormat="1" applyBorder="1" applyAlignment="1">
      <alignment horizontal="center" vertical="center"/>
    </xf>
    <xf numFmtId="165" fontId="1" fillId="0" borderId="30" xfId="43" applyNumberFormat="1" applyBorder="1" applyAlignment="1">
      <alignment horizontal="center" vertical="center"/>
    </xf>
    <xf numFmtId="1" fontId="1" fillId="0" borderId="53" xfId="43" applyNumberFormat="1" applyBorder="1" applyAlignment="1">
      <alignment horizontal="center"/>
    </xf>
    <xf numFmtId="0" fontId="1" fillId="0" borderId="54" xfId="43" applyBorder="1" applyAlignment="1">
      <alignment horizontal="center"/>
    </xf>
    <xf numFmtId="0" fontId="1" fillId="0" borderId="55" xfId="43" applyBorder="1" applyAlignment="1">
      <alignment horizontal="center"/>
    </xf>
    <xf numFmtId="0" fontId="31" fillId="27" borderId="11" xfId="43" applyFont="1" applyFill="1" applyBorder="1" applyAlignment="1">
      <alignment horizontal="left" vertical="top" wrapText="1"/>
    </xf>
    <xf numFmtId="0" fontId="31" fillId="27" borderId="12" xfId="43" applyFont="1" applyFill="1" applyBorder="1" applyAlignment="1">
      <alignment horizontal="left" vertical="top" wrapText="1"/>
    </xf>
    <xf numFmtId="0" fontId="31" fillId="27" borderId="13" xfId="43" applyFont="1" applyFill="1" applyBorder="1" applyAlignment="1">
      <alignment horizontal="left" vertical="top" wrapText="1"/>
    </xf>
    <xf numFmtId="0" fontId="31" fillId="27" borderId="14" xfId="43" applyFont="1" applyFill="1" applyBorder="1" applyAlignment="1">
      <alignment horizontal="left" vertical="top" wrapText="1"/>
    </xf>
    <xf numFmtId="0" fontId="31" fillId="27" borderId="0" xfId="43" applyFont="1" applyFill="1" applyBorder="1" applyAlignment="1">
      <alignment horizontal="left" vertical="top" wrapText="1"/>
    </xf>
    <xf numFmtId="0" fontId="31" fillId="27" borderId="15" xfId="43" applyFont="1" applyFill="1" applyBorder="1" applyAlignment="1">
      <alignment horizontal="left" vertical="top" wrapText="1"/>
    </xf>
    <xf numFmtId="165" fontId="1" fillId="0" borderId="12" xfId="43" applyNumberFormat="1" applyBorder="1" applyAlignment="1">
      <alignment horizontal="center" vertical="center"/>
    </xf>
    <xf numFmtId="165" fontId="1" fillId="0" borderId="0" xfId="43" applyNumberFormat="1" applyBorder="1" applyAlignment="1">
      <alignment horizontal="center" vertical="center"/>
    </xf>
    <xf numFmtId="165" fontId="1" fillId="0" borderId="27" xfId="43" applyNumberFormat="1" applyBorder="1" applyAlignment="1">
      <alignment horizontal="center" vertical="center"/>
    </xf>
    <xf numFmtId="0" fontId="35" fillId="27" borderId="44" xfId="43" applyFont="1" applyFill="1" applyBorder="1" applyAlignment="1">
      <alignment horizontal="right"/>
    </xf>
    <xf numFmtId="0" fontId="35" fillId="27" borderId="18" xfId="43" applyFont="1" applyFill="1" applyBorder="1" applyAlignment="1">
      <alignment horizontal="right"/>
    </xf>
    <xf numFmtId="0" fontId="35" fillId="27" borderId="46" xfId="43" applyFont="1" applyFill="1" applyBorder="1" applyAlignment="1">
      <alignment horizontal="right"/>
    </xf>
    <xf numFmtId="0" fontId="35" fillId="27" borderId="47" xfId="43" applyFont="1" applyFill="1" applyBorder="1" applyAlignment="1">
      <alignment horizontal="right"/>
    </xf>
    <xf numFmtId="165" fontId="22" fillId="0" borderId="12" xfId="43" applyNumberFormat="1" applyFont="1" applyBorder="1" applyAlignment="1">
      <alignment horizontal="center" vertical="center"/>
    </xf>
    <xf numFmtId="165" fontId="22" fillId="0" borderId="0" xfId="43" applyNumberFormat="1" applyFont="1" applyBorder="1" applyAlignment="1">
      <alignment horizontal="center" vertical="center"/>
    </xf>
    <xf numFmtId="165" fontId="21" fillId="0" borderId="0" xfId="43" applyNumberFormat="1" applyFont="1" applyBorder="1" applyAlignment="1">
      <alignment horizontal="center" vertical="center"/>
    </xf>
    <xf numFmtId="165" fontId="22" fillId="0" borderId="27" xfId="43" applyNumberFormat="1" applyFont="1" applyBorder="1" applyAlignment="1">
      <alignment horizontal="center" vertical="center"/>
    </xf>
    <xf numFmtId="9" fontId="29" fillId="30" borderId="26" xfId="44" applyFont="1" applyFill="1" applyBorder="1" applyAlignment="1">
      <alignment horizontal="center"/>
    </xf>
    <xf numFmtId="9" fontId="29" fillId="30" borderId="30" xfId="44" applyFont="1" applyFill="1" applyBorder="1" applyAlignment="1">
      <alignment horizontal="center"/>
    </xf>
    <xf numFmtId="9" fontId="29" fillId="30" borderId="38" xfId="44" applyFont="1" applyFill="1" applyBorder="1" applyAlignment="1">
      <alignment horizontal="center"/>
    </xf>
    <xf numFmtId="9" fontId="29" fillId="30" borderId="27" xfId="44" applyFont="1" applyFill="1" applyBorder="1" applyAlignment="1">
      <alignment horizontal="center"/>
    </xf>
    <xf numFmtId="9" fontId="29" fillId="30" borderId="28" xfId="44" applyFont="1" applyFill="1" applyBorder="1" applyAlignment="1">
      <alignment horizontal="center"/>
    </xf>
    <xf numFmtId="165" fontId="1" fillId="0" borderId="12" xfId="43" applyNumberFormat="1" applyBorder="1" applyAlignment="1">
      <alignment horizontal="center"/>
    </xf>
    <xf numFmtId="165" fontId="1" fillId="0" borderId="0" xfId="43" applyNumberFormat="1" applyBorder="1" applyAlignment="1">
      <alignment horizontal="center"/>
    </xf>
    <xf numFmtId="0" fontId="1" fillId="0" borderId="21" xfId="43" applyBorder="1" applyAlignment="1">
      <alignment horizontal="center"/>
    </xf>
    <xf numFmtId="0" fontId="1" fillId="0" borderId="0" xfId="43" applyBorder="1" applyAlignment="1">
      <alignment horizontal="center"/>
    </xf>
    <xf numFmtId="0" fontId="1" fillId="0" borderId="19" xfId="43" applyBorder="1" applyAlignment="1">
      <alignment horizontal="center"/>
    </xf>
    <xf numFmtId="49" fontId="1" fillId="0" borderId="33" xfId="43" applyNumberFormat="1" applyBorder="1" applyAlignment="1">
      <alignment horizontal="right" vertical="top" wrapText="1"/>
    </xf>
    <xf numFmtId="166" fontId="29" fillId="30" borderId="14" xfId="43" applyNumberFormat="1" applyFont="1" applyFill="1" applyBorder="1" applyAlignment="1">
      <alignment horizontal="center"/>
    </xf>
    <xf numFmtId="0" fontId="29" fillId="30" borderId="19" xfId="43" applyFont="1" applyFill="1" applyBorder="1" applyAlignment="1">
      <alignment horizontal="center"/>
    </xf>
    <xf numFmtId="166" fontId="29" fillId="30" borderId="21" xfId="43" applyNumberFormat="1" applyFont="1" applyFill="1" applyBorder="1" applyAlignment="1">
      <alignment horizontal="center"/>
    </xf>
    <xf numFmtId="166" fontId="29" fillId="30" borderId="0" xfId="43" applyNumberFormat="1" applyFont="1" applyFill="1" applyBorder="1" applyAlignment="1">
      <alignment horizontal="center"/>
    </xf>
    <xf numFmtId="166" fontId="29" fillId="30" borderId="15" xfId="43" applyNumberFormat="1" applyFont="1" applyFill="1" applyBorder="1" applyAlignment="1">
      <alignment horizontal="center"/>
    </xf>
    <xf numFmtId="0" fontId="27" fillId="32" borderId="24" xfId="43" applyFont="1" applyFill="1" applyBorder="1" applyAlignment="1">
      <alignment horizontal="center"/>
    </xf>
    <xf numFmtId="0" fontId="27" fillId="32" borderId="25" xfId="43" applyFont="1" applyFill="1" applyBorder="1" applyAlignment="1">
      <alignment horizontal="center"/>
    </xf>
    <xf numFmtId="0" fontId="27" fillId="32" borderId="18" xfId="43" applyFont="1" applyFill="1" applyBorder="1" applyAlignment="1">
      <alignment horizontal="center"/>
    </xf>
    <xf numFmtId="0" fontId="28" fillId="30" borderId="11" xfId="43" applyFont="1" applyFill="1" applyBorder="1" applyAlignment="1">
      <alignment horizontal="center" wrapText="1"/>
    </xf>
    <xf numFmtId="0" fontId="28" fillId="30" borderId="12" xfId="43" applyFont="1" applyFill="1" applyBorder="1" applyAlignment="1">
      <alignment horizontal="center" wrapText="1"/>
    </xf>
    <xf numFmtId="0" fontId="28" fillId="30" borderId="13" xfId="43" applyFont="1" applyFill="1" applyBorder="1" applyAlignment="1">
      <alignment horizontal="center" wrapText="1"/>
    </xf>
    <xf numFmtId="0" fontId="28" fillId="30" borderId="26" xfId="43" applyFont="1" applyFill="1" applyBorder="1" applyAlignment="1">
      <alignment horizontal="center" wrapText="1"/>
    </xf>
    <xf numFmtId="0" fontId="28" fillId="30" borderId="27" xfId="43" applyFont="1" applyFill="1" applyBorder="1" applyAlignment="1">
      <alignment horizontal="center" wrapText="1"/>
    </xf>
    <xf numFmtId="0" fontId="28" fillId="30" borderId="28" xfId="43" applyFont="1" applyFill="1" applyBorder="1" applyAlignment="1">
      <alignment horizontal="center" wrapText="1"/>
    </xf>
  </cellXfs>
  <cellStyles count="46"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40% - Akzent1" xfId="7"/>
    <cellStyle name="40% - Akzent2" xfId="8"/>
    <cellStyle name="40% - Akzent3" xfId="9"/>
    <cellStyle name="40% - Akzent4" xfId="10"/>
    <cellStyle name="40% - Akzent5" xfId="11"/>
    <cellStyle name="40% - Akzent6" xfId="12"/>
    <cellStyle name="60% - Akzent1" xfId="13"/>
    <cellStyle name="60% - Akzent2" xfId="14"/>
    <cellStyle name="60% - Akzent3" xfId="15"/>
    <cellStyle name="60% - Akzent4" xfId="16"/>
    <cellStyle name="60% - Akzent5" xfId="17"/>
    <cellStyle name="60% - Akzent6" xfId="18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Komma" xfId="41" builtinId="3"/>
    <cellStyle name="Komma 2" xfId="45"/>
    <cellStyle name="Neutral" xfId="31" builtinId="28" customBuiltin="1"/>
    <cellStyle name="Prozent" xfId="42" builtinId="5"/>
    <cellStyle name="Prozent 2" xfId="44"/>
    <cellStyle name="Schlecht" xfId="32" builtinId="27" customBuiltin="1"/>
    <cellStyle name="Standard" xfId="0" builtinId="0"/>
    <cellStyle name="Standard 2" xfId="33"/>
    <cellStyle name="Standard 3" xfId="43"/>
    <cellStyle name="Überschrift 1" xfId="34" builtinId="16" customBuiltin="1"/>
    <cellStyle name="Überschrift 2" xfId="35" builtinId="17" customBuiltin="1"/>
    <cellStyle name="Überschrift 3" xfId="36" builtinId="18" customBuiltin="1"/>
    <cellStyle name="Überschrift 4" xfId="37" builtinId="19" customBuiltin="1"/>
    <cellStyle name="Verknüpfte Zelle" xfId="38" builtinId="24" customBuiltin="1"/>
    <cellStyle name="Warnender Text" xfId="39" builtinId="11" customBuiltin="1"/>
    <cellStyle name="Zelle überprüfen" xfId="40" builtinId="23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FF"/>
      <color rgb="FFFFFF99"/>
      <color rgb="FFFFCC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43</xdr:row>
      <xdr:rowOff>142875</xdr:rowOff>
    </xdr:from>
    <xdr:to>
      <xdr:col>12</xdr:col>
      <xdr:colOff>444500</xdr:colOff>
      <xdr:row>45</xdr:row>
      <xdr:rowOff>0</xdr:rowOff>
    </xdr:to>
    <xdr:sp macro="" textlink="">
      <xdr:nvSpPr>
        <xdr:cNvPr id="2" name="Textfeld 1"/>
        <xdr:cNvSpPr txBox="1"/>
      </xdr:nvSpPr>
      <xdr:spPr>
        <a:xfrm>
          <a:off x="7953375" y="9067800"/>
          <a:ext cx="2778125" cy="21907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MK extern</a:t>
          </a:r>
        </a:p>
      </xdr:txBody>
    </xdr:sp>
    <xdr:clientData/>
  </xdr:twoCellAnchor>
  <xdr:twoCellAnchor>
    <xdr:from>
      <xdr:col>21</xdr:col>
      <xdr:colOff>1200150</xdr:colOff>
      <xdr:row>44</xdr:row>
      <xdr:rowOff>9525</xdr:rowOff>
    </xdr:from>
    <xdr:to>
      <xdr:col>27</xdr:col>
      <xdr:colOff>438150</xdr:colOff>
      <xdr:row>45</xdr:row>
      <xdr:rowOff>41275</xdr:rowOff>
    </xdr:to>
    <xdr:sp macro="" textlink="">
      <xdr:nvSpPr>
        <xdr:cNvPr id="3" name="Textfeld 2"/>
        <xdr:cNvSpPr txBox="1"/>
      </xdr:nvSpPr>
      <xdr:spPr>
        <a:xfrm>
          <a:off x="14963775" y="9115425"/>
          <a:ext cx="2781300" cy="212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MP extern ?</a:t>
          </a:r>
        </a:p>
      </xdr:txBody>
    </xdr:sp>
    <xdr:clientData/>
  </xdr:twoCellAnchor>
  <xdr:twoCellAnchor>
    <xdr:from>
      <xdr:col>39</xdr:col>
      <xdr:colOff>146050</xdr:colOff>
      <xdr:row>43</xdr:row>
      <xdr:rowOff>146050</xdr:rowOff>
    </xdr:from>
    <xdr:to>
      <xdr:col>40</xdr:col>
      <xdr:colOff>317500</xdr:colOff>
      <xdr:row>45</xdr:row>
      <xdr:rowOff>31750</xdr:rowOff>
    </xdr:to>
    <xdr:sp macro="" textlink="">
      <xdr:nvSpPr>
        <xdr:cNvPr id="4" name="Textfeld 3"/>
        <xdr:cNvSpPr txBox="1"/>
      </xdr:nvSpPr>
      <xdr:spPr>
        <a:xfrm>
          <a:off x="24406225" y="9070975"/>
          <a:ext cx="638175" cy="2476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  <xdr:twoCellAnchor>
    <xdr:from>
      <xdr:col>49</xdr:col>
      <xdr:colOff>250825</xdr:colOff>
      <xdr:row>43</xdr:row>
      <xdr:rowOff>171450</xdr:rowOff>
    </xdr:from>
    <xdr:to>
      <xdr:col>50</xdr:col>
      <xdr:colOff>422275</xdr:colOff>
      <xdr:row>45</xdr:row>
      <xdr:rowOff>57150</xdr:rowOff>
    </xdr:to>
    <xdr:sp macro="" textlink="">
      <xdr:nvSpPr>
        <xdr:cNvPr id="5" name="Textfeld 4"/>
        <xdr:cNvSpPr txBox="1"/>
      </xdr:nvSpPr>
      <xdr:spPr>
        <a:xfrm>
          <a:off x="30045025" y="9096375"/>
          <a:ext cx="638175" cy="2476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  <xdr:twoCellAnchor>
    <xdr:from>
      <xdr:col>49</xdr:col>
      <xdr:colOff>260350</xdr:colOff>
      <xdr:row>42</xdr:row>
      <xdr:rowOff>38100</xdr:rowOff>
    </xdr:from>
    <xdr:to>
      <xdr:col>50</xdr:col>
      <xdr:colOff>431800</xdr:colOff>
      <xdr:row>43</xdr:row>
      <xdr:rowOff>98425</xdr:rowOff>
    </xdr:to>
    <xdr:sp macro="" textlink="">
      <xdr:nvSpPr>
        <xdr:cNvPr id="6" name="Textfeld 5"/>
        <xdr:cNvSpPr txBox="1"/>
      </xdr:nvSpPr>
      <xdr:spPr>
        <a:xfrm>
          <a:off x="30054550" y="8782050"/>
          <a:ext cx="638175" cy="24130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  <xdr:twoCellAnchor>
    <xdr:from>
      <xdr:col>39</xdr:col>
      <xdr:colOff>142875</xdr:colOff>
      <xdr:row>42</xdr:row>
      <xdr:rowOff>0</xdr:rowOff>
    </xdr:from>
    <xdr:to>
      <xdr:col>40</xdr:col>
      <xdr:colOff>314325</xdr:colOff>
      <xdr:row>43</xdr:row>
      <xdr:rowOff>60325</xdr:rowOff>
    </xdr:to>
    <xdr:sp macro="" textlink="">
      <xdr:nvSpPr>
        <xdr:cNvPr id="7" name="Textfeld 6"/>
        <xdr:cNvSpPr txBox="1"/>
      </xdr:nvSpPr>
      <xdr:spPr>
        <a:xfrm>
          <a:off x="24403050" y="8743950"/>
          <a:ext cx="638175" cy="24130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  <xdr:twoCellAnchor>
    <xdr:from>
      <xdr:col>23</xdr:col>
      <xdr:colOff>428625</xdr:colOff>
      <xdr:row>42</xdr:row>
      <xdr:rowOff>15875</xdr:rowOff>
    </xdr:from>
    <xdr:to>
      <xdr:col>25</xdr:col>
      <xdr:colOff>139700</xdr:colOff>
      <xdr:row>43</xdr:row>
      <xdr:rowOff>76200</xdr:rowOff>
    </xdr:to>
    <xdr:sp macro="" textlink="">
      <xdr:nvSpPr>
        <xdr:cNvPr id="8" name="Textfeld 7"/>
        <xdr:cNvSpPr txBox="1"/>
      </xdr:nvSpPr>
      <xdr:spPr>
        <a:xfrm>
          <a:off x="15868650" y="8759825"/>
          <a:ext cx="644525" cy="24130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  <xdr:twoCellAnchor>
    <xdr:from>
      <xdr:col>8</xdr:col>
      <xdr:colOff>358775</xdr:colOff>
      <xdr:row>41</xdr:row>
      <xdr:rowOff>168275</xdr:rowOff>
    </xdr:from>
    <xdr:to>
      <xdr:col>10</xdr:col>
      <xdr:colOff>69850</xdr:colOff>
      <xdr:row>43</xdr:row>
      <xdr:rowOff>53975</xdr:rowOff>
    </xdr:to>
    <xdr:sp macro="" textlink="">
      <xdr:nvSpPr>
        <xdr:cNvPr id="9" name="Textfeld 8"/>
        <xdr:cNvSpPr txBox="1"/>
      </xdr:nvSpPr>
      <xdr:spPr>
        <a:xfrm>
          <a:off x="8778875" y="8731250"/>
          <a:ext cx="644525" cy="24765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100" b="1">
              <a:latin typeface="Arial" pitchFamily="34" charset="0"/>
              <a:cs typeface="Arial" pitchFamily="34" charset="0"/>
            </a:rPr>
            <a:t>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A214"/>
  <sheetViews>
    <sheetView showGridLines="0" showZeros="0" tabSelected="1" topLeftCell="A10" zoomScale="75" zoomScaleNormal="75" zoomScaleSheetLayoutView="85" workbookViewId="0">
      <selection activeCell="A55" sqref="A55"/>
    </sheetView>
  </sheetViews>
  <sheetFormatPr baseColWidth="10" defaultRowHeight="12" x14ac:dyDescent="0.2"/>
  <cols>
    <col min="1" max="1" width="11.42578125" style="1"/>
    <col min="2" max="2" width="23.85546875" style="1" customWidth="1"/>
    <col min="3" max="3" width="15.85546875" style="1" customWidth="1"/>
    <col min="4" max="4" width="5.42578125" style="1" customWidth="1"/>
    <col min="5" max="5" width="8.5703125" style="1" customWidth="1"/>
    <col min="6" max="6" width="8.42578125" style="1" customWidth="1"/>
    <col min="7" max="7" width="12" style="1" customWidth="1"/>
    <col min="8" max="8" width="11.28515625" style="1" customWidth="1"/>
    <col min="9" max="9" width="12" style="1" customWidth="1"/>
    <col min="10" max="10" width="8.28515625" style="1" customWidth="1"/>
    <col min="11" max="11" width="9.28515625" style="1" customWidth="1"/>
    <col min="12" max="12" width="8.140625" style="1" customWidth="1"/>
    <col min="13" max="13" width="9.5703125" style="1" bestFit="1" customWidth="1"/>
    <col min="14" max="14" width="7.7109375" style="1" customWidth="1"/>
    <col min="15" max="15" width="9.7109375" style="3" customWidth="1"/>
    <col min="16" max="16" width="9" style="1" customWidth="1"/>
    <col min="17" max="17" width="10.42578125" style="1" customWidth="1"/>
    <col min="18" max="18" width="9" style="1" customWidth="1"/>
    <col min="19" max="19" width="10.42578125" style="1" customWidth="1"/>
    <col min="20" max="20" width="8.85546875" style="1" customWidth="1"/>
    <col min="21" max="21" width="10" style="1" customWidth="1"/>
    <col min="22" max="22" width="9" style="1" customWidth="1"/>
    <col min="23" max="23" width="9.5703125" style="1" bestFit="1" customWidth="1"/>
    <col min="24" max="24" width="10.28515625" style="1" bestFit="1" customWidth="1"/>
    <col min="25" max="25" width="12.85546875" style="1" bestFit="1" customWidth="1"/>
    <col min="26" max="26" width="11.5703125" style="611" bestFit="1" customWidth="1"/>
    <col min="27" max="27" width="11.42578125" style="611" bestFit="1" customWidth="1"/>
    <col min="28" max="28" width="11.5703125" style="611" bestFit="1" customWidth="1"/>
    <col min="29" max="29" width="11.42578125" style="611" bestFit="1" customWidth="1"/>
    <col min="30" max="30" width="11.42578125" style="15"/>
    <col min="31" max="31" width="11.85546875" style="15" bestFit="1" customWidth="1"/>
    <col min="32" max="32" width="11.5703125" style="15" customWidth="1"/>
    <col min="33" max="33" width="10.5703125" style="15" bestFit="1" customWidth="1"/>
    <col min="34" max="34" width="14.5703125" style="15" bestFit="1" customWidth="1"/>
    <col min="35" max="82" width="11.42578125" style="15"/>
    <col min="83" max="157" width="11.42578125" style="3"/>
    <col min="158" max="16384" width="11.42578125" style="1"/>
  </cols>
  <sheetData>
    <row r="2" spans="2:34" x14ac:dyDescent="0.2">
      <c r="B2" s="1" t="s">
        <v>98</v>
      </c>
      <c r="C2" s="13">
        <v>41881</v>
      </c>
    </row>
    <row r="3" spans="2:34" x14ac:dyDescent="0.2">
      <c r="O3" s="4"/>
      <c r="P3" s="2"/>
      <c r="Q3" s="2"/>
      <c r="R3" s="2"/>
      <c r="S3" s="2"/>
      <c r="T3" s="2"/>
      <c r="U3" s="2"/>
      <c r="V3" s="2"/>
      <c r="W3" s="2"/>
      <c r="Y3" s="2"/>
      <c r="Z3" s="611">
        <v>86.45</v>
      </c>
      <c r="AA3" s="611" t="s">
        <v>153</v>
      </c>
      <c r="AB3" s="611">
        <v>86.45</v>
      </c>
      <c r="AC3" s="611" t="s">
        <v>153</v>
      </c>
      <c r="AD3" s="611">
        <v>86.45</v>
      </c>
      <c r="AE3" s="15" t="s">
        <v>153</v>
      </c>
      <c r="AF3" s="611">
        <v>86.45</v>
      </c>
      <c r="AG3" s="15" t="s">
        <v>153</v>
      </c>
    </row>
    <row r="4" spans="2:34" s="3" customFormat="1" ht="12.75" x14ac:dyDescent="0.2">
      <c r="B4" s="25" t="s">
        <v>50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632" t="s">
        <v>310</v>
      </c>
      <c r="AA4" s="633"/>
      <c r="AB4" s="632" t="s">
        <v>311</v>
      </c>
      <c r="AC4" s="633"/>
      <c r="AD4" s="634" t="s">
        <v>154</v>
      </c>
      <c r="AE4" s="635"/>
      <c r="AF4" s="634" t="s">
        <v>152</v>
      </c>
      <c r="AG4" s="635"/>
      <c r="AH4" s="631">
        <v>89.33</v>
      </c>
    </row>
    <row r="5" spans="2:34" s="3" customFormat="1" ht="24" x14ac:dyDescent="0.2">
      <c r="B5" s="27" t="s">
        <v>0</v>
      </c>
      <c r="C5" s="27" t="s">
        <v>10</v>
      </c>
      <c r="D5" s="28" t="s">
        <v>1</v>
      </c>
      <c r="E5" s="28" t="s">
        <v>7</v>
      </c>
      <c r="F5" s="28" t="s">
        <v>121</v>
      </c>
      <c r="G5" s="28" t="s">
        <v>122</v>
      </c>
      <c r="H5" s="29" t="s">
        <v>34</v>
      </c>
      <c r="I5" s="29" t="s">
        <v>35</v>
      </c>
      <c r="J5" s="29" t="s">
        <v>36</v>
      </c>
      <c r="K5" s="29" t="s">
        <v>37</v>
      </c>
      <c r="L5" s="29" t="s">
        <v>38</v>
      </c>
      <c r="M5" s="29" t="s">
        <v>39</v>
      </c>
      <c r="N5" s="29" t="s">
        <v>40</v>
      </c>
      <c r="O5" s="29" t="s">
        <v>41</v>
      </c>
      <c r="P5" s="29" t="s">
        <v>42</v>
      </c>
      <c r="Q5" s="29" t="s">
        <v>43</v>
      </c>
      <c r="R5" s="29" t="s">
        <v>44</v>
      </c>
      <c r="S5" s="29" t="s">
        <v>45</v>
      </c>
      <c r="T5" s="29" t="s">
        <v>46</v>
      </c>
      <c r="U5" s="29" t="s">
        <v>47</v>
      </c>
      <c r="V5" s="29" t="s">
        <v>48</v>
      </c>
      <c r="W5" s="29" t="s">
        <v>49</v>
      </c>
      <c r="X5" s="30" t="s">
        <v>5</v>
      </c>
      <c r="Y5" s="30" t="s">
        <v>6</v>
      </c>
      <c r="Z5" s="622" t="s">
        <v>5</v>
      </c>
      <c r="AA5" s="623" t="s">
        <v>6</v>
      </c>
      <c r="AB5" s="622" t="s">
        <v>5</v>
      </c>
      <c r="AC5" s="623" t="s">
        <v>6</v>
      </c>
      <c r="AD5" s="624" t="s">
        <v>5</v>
      </c>
      <c r="AE5" s="625" t="s">
        <v>6</v>
      </c>
      <c r="AF5" s="624" t="s">
        <v>5</v>
      </c>
      <c r="AG5" s="625" t="s">
        <v>6</v>
      </c>
    </row>
    <row r="6" spans="2:34" s="3" customFormat="1" x14ac:dyDescent="0.2">
      <c r="B6" s="27" t="s">
        <v>21</v>
      </c>
      <c r="C6" s="27" t="s">
        <v>22</v>
      </c>
      <c r="D6" s="31" t="s">
        <v>2</v>
      </c>
      <c r="E6" s="32">
        <v>140</v>
      </c>
      <c r="F6" s="33">
        <v>10</v>
      </c>
      <c r="G6" s="33">
        <f>SUM(E6*F6)</f>
        <v>1400</v>
      </c>
      <c r="H6" s="34">
        <v>27.75</v>
      </c>
      <c r="I6" s="34">
        <f>SUM(E6*H6)</f>
        <v>3885</v>
      </c>
      <c r="J6" s="34">
        <v>7.5</v>
      </c>
      <c r="K6" s="34">
        <f t="shared" ref="K6:K25" si="0">SUM(E6*J6)</f>
        <v>1050</v>
      </c>
      <c r="L6" s="34">
        <v>7</v>
      </c>
      <c r="M6" s="34">
        <f t="shared" ref="M6:M17" si="1">SUM(E6*L6)</f>
        <v>980</v>
      </c>
      <c r="N6" s="34"/>
      <c r="O6" s="34">
        <f t="shared" ref="O6:O17" si="2">SUM(E6*N6)</f>
        <v>0</v>
      </c>
      <c r="P6" s="34"/>
      <c r="Q6" s="34">
        <f t="shared" ref="Q6:Q17" si="3">SUM(E6*P6)</f>
        <v>0</v>
      </c>
      <c r="R6" s="34">
        <v>4</v>
      </c>
      <c r="S6" s="34">
        <f t="shared" ref="S6:S25" si="4">SUM(E6*R6)</f>
        <v>560</v>
      </c>
      <c r="T6" s="34">
        <v>1</v>
      </c>
      <c r="U6" s="34">
        <f>SUM(E6*T6)</f>
        <v>140</v>
      </c>
      <c r="V6" s="34">
        <v>2.5</v>
      </c>
      <c r="W6" s="34">
        <f t="shared" ref="W6:W25" si="5">SUM(E6*V6)</f>
        <v>350</v>
      </c>
      <c r="X6" s="34">
        <f t="shared" ref="X6:X25" si="6">SUM(H6+J6+L6+N6+P6+R6+T6+V6+F6)</f>
        <v>59.75</v>
      </c>
      <c r="Y6" s="34">
        <f t="shared" ref="Y6:Y25" si="7">ROUND(X6*E6*2,1)/2</f>
        <v>8365</v>
      </c>
      <c r="Z6" s="614"/>
      <c r="AA6" s="615"/>
      <c r="AB6" s="614"/>
      <c r="AC6" s="615"/>
      <c r="AD6" s="68"/>
      <c r="AE6" s="66"/>
      <c r="AF6" s="68"/>
      <c r="AG6" s="66"/>
    </row>
    <row r="7" spans="2:34" s="3" customFormat="1" x14ac:dyDescent="0.2">
      <c r="B7" s="27" t="s">
        <v>51</v>
      </c>
      <c r="C7" s="27" t="s">
        <v>22</v>
      </c>
      <c r="D7" s="31" t="s">
        <v>2</v>
      </c>
      <c r="E7" s="32">
        <v>140</v>
      </c>
      <c r="F7" s="33"/>
      <c r="G7" s="33">
        <f t="shared" ref="G7:G25" si="8">SUM(E7*F7)</f>
        <v>0</v>
      </c>
      <c r="H7" s="34"/>
      <c r="I7" s="34">
        <f t="shared" ref="I7:I25" si="9">SUM(E7*H7)</f>
        <v>0</v>
      </c>
      <c r="J7" s="34"/>
      <c r="K7" s="34">
        <f t="shared" si="0"/>
        <v>0</v>
      </c>
      <c r="L7" s="34"/>
      <c r="M7" s="34">
        <f t="shared" si="1"/>
        <v>0</v>
      </c>
      <c r="N7" s="34"/>
      <c r="O7" s="34">
        <f t="shared" si="2"/>
        <v>0</v>
      </c>
      <c r="P7" s="34"/>
      <c r="Q7" s="34">
        <f t="shared" si="3"/>
        <v>0</v>
      </c>
      <c r="R7" s="34"/>
      <c r="S7" s="34">
        <f t="shared" si="4"/>
        <v>0</v>
      </c>
      <c r="T7" s="34"/>
      <c r="U7" s="34">
        <f t="shared" ref="U7:U17" si="10">SUM(E7*T7)</f>
        <v>0</v>
      </c>
      <c r="V7" s="34"/>
      <c r="W7" s="34">
        <f t="shared" si="5"/>
        <v>0</v>
      </c>
      <c r="X7" s="34">
        <f t="shared" si="6"/>
        <v>0</v>
      </c>
      <c r="Y7" s="34">
        <f t="shared" si="7"/>
        <v>0</v>
      </c>
      <c r="Z7" s="614"/>
      <c r="AA7" s="615"/>
      <c r="AB7" s="614"/>
      <c r="AC7" s="615"/>
      <c r="AD7" s="68"/>
      <c r="AE7" s="66"/>
      <c r="AF7" s="68"/>
      <c r="AG7" s="66"/>
    </row>
    <row r="8" spans="2:34" s="3" customFormat="1" x14ac:dyDescent="0.2">
      <c r="B8" s="27" t="s">
        <v>54</v>
      </c>
      <c r="C8" s="27" t="s">
        <v>22</v>
      </c>
      <c r="D8" s="31" t="s">
        <v>2</v>
      </c>
      <c r="E8" s="32">
        <v>140</v>
      </c>
      <c r="F8" s="33">
        <v>133</v>
      </c>
      <c r="G8" s="33">
        <f t="shared" si="8"/>
        <v>18620</v>
      </c>
      <c r="H8" s="34">
        <v>6</v>
      </c>
      <c r="I8" s="34">
        <f t="shared" si="9"/>
        <v>840</v>
      </c>
      <c r="J8" s="34">
        <v>7.5</v>
      </c>
      <c r="K8" s="34">
        <f t="shared" si="0"/>
        <v>1050</v>
      </c>
      <c r="L8" s="34">
        <v>10.75</v>
      </c>
      <c r="M8" s="34">
        <f t="shared" si="1"/>
        <v>1505</v>
      </c>
      <c r="N8" s="34">
        <v>9</v>
      </c>
      <c r="O8" s="34">
        <f t="shared" si="2"/>
        <v>1260</v>
      </c>
      <c r="P8" s="34">
        <v>7.75</v>
      </c>
      <c r="Q8" s="34">
        <f t="shared" si="3"/>
        <v>1085</v>
      </c>
      <c r="R8" s="34">
        <v>4.25</v>
      </c>
      <c r="S8" s="34">
        <f t="shared" si="4"/>
        <v>595</v>
      </c>
      <c r="T8" s="34">
        <v>4</v>
      </c>
      <c r="U8" s="34">
        <f t="shared" si="10"/>
        <v>560</v>
      </c>
      <c r="V8" s="34">
        <v>3.75</v>
      </c>
      <c r="W8" s="34">
        <f t="shared" si="5"/>
        <v>525</v>
      </c>
      <c r="X8" s="34">
        <f t="shared" si="6"/>
        <v>186</v>
      </c>
      <c r="Y8" s="34">
        <f t="shared" si="7"/>
        <v>26040</v>
      </c>
      <c r="Z8" s="614"/>
      <c r="AA8" s="615"/>
      <c r="AB8" s="614"/>
      <c r="AC8" s="615"/>
      <c r="AD8" s="68"/>
      <c r="AE8" s="66"/>
      <c r="AF8" s="68"/>
      <c r="AG8" s="66"/>
    </row>
    <row r="9" spans="2:34" s="3" customFormat="1" x14ac:dyDescent="0.2">
      <c r="B9" s="27" t="s">
        <v>94</v>
      </c>
      <c r="C9" s="27" t="s">
        <v>22</v>
      </c>
      <c r="D9" s="31" t="s">
        <v>8</v>
      </c>
      <c r="E9" s="32">
        <v>118</v>
      </c>
      <c r="F9" s="33"/>
      <c r="G9" s="33">
        <f t="shared" si="8"/>
        <v>0</v>
      </c>
      <c r="H9" s="34">
        <v>2</v>
      </c>
      <c r="I9" s="34">
        <f t="shared" si="9"/>
        <v>236</v>
      </c>
      <c r="J9" s="34">
        <v>51.25</v>
      </c>
      <c r="K9" s="34">
        <f t="shared" si="0"/>
        <v>6047.5</v>
      </c>
      <c r="L9" s="34">
        <v>2.75</v>
      </c>
      <c r="M9" s="34">
        <f t="shared" si="1"/>
        <v>324.5</v>
      </c>
      <c r="N9" s="34"/>
      <c r="O9" s="34">
        <f t="shared" si="2"/>
        <v>0</v>
      </c>
      <c r="P9" s="34"/>
      <c r="Q9" s="34">
        <f t="shared" si="3"/>
        <v>0</v>
      </c>
      <c r="R9" s="34"/>
      <c r="S9" s="34">
        <f t="shared" si="4"/>
        <v>0</v>
      </c>
      <c r="T9" s="34"/>
      <c r="U9" s="34">
        <f t="shared" si="10"/>
        <v>0</v>
      </c>
      <c r="V9" s="34">
        <v>31.25</v>
      </c>
      <c r="W9" s="34">
        <f t="shared" si="5"/>
        <v>3687.5</v>
      </c>
      <c r="X9" s="34">
        <f t="shared" si="6"/>
        <v>87.25</v>
      </c>
      <c r="Y9" s="34">
        <f t="shared" si="7"/>
        <v>10295.5</v>
      </c>
      <c r="Z9" s="614"/>
      <c r="AA9" s="615"/>
      <c r="AB9" s="614"/>
      <c r="AC9" s="615"/>
      <c r="AD9" s="68"/>
      <c r="AE9" s="66"/>
      <c r="AF9" s="68"/>
      <c r="AG9" s="66"/>
    </row>
    <row r="10" spans="2:34" s="3" customFormat="1" x14ac:dyDescent="0.2">
      <c r="B10" s="27" t="s">
        <v>28</v>
      </c>
      <c r="C10" s="27" t="s">
        <v>22</v>
      </c>
      <c r="D10" s="31" t="s">
        <v>8</v>
      </c>
      <c r="E10" s="32">
        <v>118</v>
      </c>
      <c r="F10" s="33">
        <v>0.5</v>
      </c>
      <c r="G10" s="33">
        <f t="shared" si="8"/>
        <v>59</v>
      </c>
      <c r="H10" s="34"/>
      <c r="I10" s="34">
        <f t="shared" si="9"/>
        <v>0</v>
      </c>
      <c r="J10" s="34"/>
      <c r="K10" s="34">
        <f t="shared" si="0"/>
        <v>0</v>
      </c>
      <c r="L10" s="34"/>
      <c r="M10" s="34">
        <f t="shared" si="1"/>
        <v>0</v>
      </c>
      <c r="N10" s="34"/>
      <c r="O10" s="34">
        <f t="shared" si="2"/>
        <v>0</v>
      </c>
      <c r="P10" s="34"/>
      <c r="Q10" s="34">
        <f t="shared" si="3"/>
        <v>0</v>
      </c>
      <c r="R10" s="34"/>
      <c r="S10" s="34">
        <f t="shared" si="4"/>
        <v>0</v>
      </c>
      <c r="T10" s="34"/>
      <c r="U10" s="34">
        <f t="shared" si="10"/>
        <v>0</v>
      </c>
      <c r="V10" s="34"/>
      <c r="W10" s="34">
        <f t="shared" si="5"/>
        <v>0</v>
      </c>
      <c r="X10" s="34">
        <f t="shared" si="6"/>
        <v>0.5</v>
      </c>
      <c r="Y10" s="34">
        <f t="shared" si="7"/>
        <v>59</v>
      </c>
      <c r="Z10" s="614"/>
      <c r="AA10" s="615"/>
      <c r="AB10" s="614"/>
      <c r="AC10" s="615"/>
      <c r="AD10" s="68"/>
      <c r="AE10" s="66"/>
      <c r="AF10" s="68"/>
      <c r="AG10" s="66"/>
    </row>
    <row r="11" spans="2:34" s="3" customFormat="1" x14ac:dyDescent="0.2">
      <c r="B11" s="27" t="s">
        <v>84</v>
      </c>
      <c r="C11" s="27" t="s">
        <v>22</v>
      </c>
      <c r="D11" s="31" t="s">
        <v>8</v>
      </c>
      <c r="E11" s="32">
        <v>118</v>
      </c>
      <c r="F11" s="33">
        <v>4.5</v>
      </c>
      <c r="G11" s="33">
        <f t="shared" si="8"/>
        <v>531</v>
      </c>
      <c r="H11" s="34"/>
      <c r="I11" s="34">
        <f t="shared" si="9"/>
        <v>0</v>
      </c>
      <c r="J11" s="34">
        <v>1.25</v>
      </c>
      <c r="K11" s="34">
        <f t="shared" si="0"/>
        <v>147.5</v>
      </c>
      <c r="L11" s="34"/>
      <c r="M11" s="34">
        <f t="shared" si="1"/>
        <v>0</v>
      </c>
      <c r="N11" s="34"/>
      <c r="O11" s="34">
        <f t="shared" si="2"/>
        <v>0</v>
      </c>
      <c r="P11" s="34"/>
      <c r="Q11" s="34">
        <f t="shared" si="3"/>
        <v>0</v>
      </c>
      <c r="R11" s="34"/>
      <c r="S11" s="34">
        <f t="shared" si="4"/>
        <v>0</v>
      </c>
      <c r="T11" s="34"/>
      <c r="U11" s="34">
        <f t="shared" si="10"/>
        <v>0</v>
      </c>
      <c r="V11" s="34"/>
      <c r="W11" s="34">
        <f t="shared" si="5"/>
        <v>0</v>
      </c>
      <c r="X11" s="34">
        <f t="shared" si="6"/>
        <v>5.75</v>
      </c>
      <c r="Y11" s="34">
        <f t="shared" si="7"/>
        <v>678.5</v>
      </c>
      <c r="Z11" s="614"/>
      <c r="AA11" s="615"/>
      <c r="AB11" s="614"/>
      <c r="AC11" s="615"/>
      <c r="AD11" s="68"/>
      <c r="AE11" s="66"/>
      <c r="AF11" s="68"/>
      <c r="AG11" s="66"/>
    </row>
    <row r="12" spans="2:34" s="3" customFormat="1" x14ac:dyDescent="0.2">
      <c r="B12" s="27" t="s">
        <v>11</v>
      </c>
      <c r="C12" s="27" t="s">
        <v>22</v>
      </c>
      <c r="D12" s="31" t="s">
        <v>8</v>
      </c>
      <c r="E12" s="32">
        <v>118</v>
      </c>
      <c r="F12" s="33">
        <v>5.5</v>
      </c>
      <c r="G12" s="33">
        <f t="shared" si="8"/>
        <v>649</v>
      </c>
      <c r="H12" s="34">
        <v>3</v>
      </c>
      <c r="I12" s="34">
        <f t="shared" si="9"/>
        <v>354</v>
      </c>
      <c r="J12" s="34"/>
      <c r="K12" s="34">
        <f t="shared" si="0"/>
        <v>0</v>
      </c>
      <c r="L12" s="34">
        <v>1.75</v>
      </c>
      <c r="M12" s="34">
        <f t="shared" si="1"/>
        <v>206.5</v>
      </c>
      <c r="N12" s="34">
        <v>0.5</v>
      </c>
      <c r="O12" s="34">
        <f t="shared" si="2"/>
        <v>59</v>
      </c>
      <c r="P12" s="34"/>
      <c r="Q12" s="34">
        <f t="shared" si="3"/>
        <v>0</v>
      </c>
      <c r="R12" s="34"/>
      <c r="S12" s="34">
        <f t="shared" si="4"/>
        <v>0</v>
      </c>
      <c r="T12" s="34"/>
      <c r="U12" s="34">
        <f t="shared" si="10"/>
        <v>0</v>
      </c>
      <c r="V12" s="34"/>
      <c r="W12" s="34">
        <f t="shared" si="5"/>
        <v>0</v>
      </c>
      <c r="X12" s="34">
        <f t="shared" si="6"/>
        <v>10.75</v>
      </c>
      <c r="Y12" s="34">
        <f t="shared" si="7"/>
        <v>1268.5</v>
      </c>
      <c r="Z12" s="614"/>
      <c r="AA12" s="615"/>
      <c r="AB12" s="614"/>
      <c r="AC12" s="615"/>
      <c r="AD12" s="68"/>
      <c r="AE12" s="66"/>
      <c r="AF12" s="68"/>
      <c r="AG12" s="66"/>
    </row>
    <row r="13" spans="2:34" s="3" customFormat="1" x14ac:dyDescent="0.2">
      <c r="B13" s="27" t="s">
        <v>58</v>
      </c>
      <c r="C13" s="27" t="s">
        <v>22</v>
      </c>
      <c r="D13" s="31" t="s">
        <v>3</v>
      </c>
      <c r="E13" s="32">
        <v>100</v>
      </c>
      <c r="F13" s="33">
        <v>98</v>
      </c>
      <c r="G13" s="33">
        <f t="shared" si="8"/>
        <v>9800</v>
      </c>
      <c r="H13" s="34">
        <v>23</v>
      </c>
      <c r="I13" s="34">
        <f t="shared" si="9"/>
        <v>2300</v>
      </c>
      <c r="J13" s="34">
        <v>26.5</v>
      </c>
      <c r="K13" s="34">
        <f t="shared" si="0"/>
        <v>2650</v>
      </c>
      <c r="L13" s="34">
        <v>14.5</v>
      </c>
      <c r="M13" s="34">
        <f t="shared" si="1"/>
        <v>1450</v>
      </c>
      <c r="N13" s="34">
        <v>4</v>
      </c>
      <c r="O13" s="34">
        <f t="shared" si="2"/>
        <v>400</v>
      </c>
      <c r="P13" s="34">
        <v>11.25</v>
      </c>
      <c r="Q13" s="34">
        <f t="shared" si="3"/>
        <v>1125</v>
      </c>
      <c r="R13" s="34">
        <v>12</v>
      </c>
      <c r="S13" s="34">
        <f t="shared" si="4"/>
        <v>1200</v>
      </c>
      <c r="T13" s="34">
        <v>38</v>
      </c>
      <c r="U13" s="34">
        <f t="shared" si="10"/>
        <v>3800</v>
      </c>
      <c r="V13" s="34">
        <v>14.75</v>
      </c>
      <c r="W13" s="34">
        <f t="shared" si="5"/>
        <v>1475</v>
      </c>
      <c r="X13" s="34">
        <f t="shared" si="6"/>
        <v>242</v>
      </c>
      <c r="Y13" s="34">
        <f t="shared" si="7"/>
        <v>24200</v>
      </c>
      <c r="Z13" s="614"/>
      <c r="AA13" s="615"/>
      <c r="AB13" s="614"/>
      <c r="AC13" s="615"/>
      <c r="AD13" s="68"/>
      <c r="AE13" s="66"/>
      <c r="AF13" s="68"/>
      <c r="AG13" s="66"/>
    </row>
    <row r="14" spans="2:34" s="3" customFormat="1" x14ac:dyDescent="0.2">
      <c r="B14" s="27" t="s">
        <v>60</v>
      </c>
      <c r="C14" s="27" t="s">
        <v>22</v>
      </c>
      <c r="D14" s="31" t="s">
        <v>3</v>
      </c>
      <c r="E14" s="32">
        <v>100</v>
      </c>
      <c r="F14" s="33">
        <v>45.5</v>
      </c>
      <c r="G14" s="33">
        <f t="shared" si="8"/>
        <v>4550</v>
      </c>
      <c r="H14" s="34">
        <v>4.5</v>
      </c>
      <c r="I14" s="34">
        <f t="shared" si="9"/>
        <v>450</v>
      </c>
      <c r="J14" s="34">
        <v>3</v>
      </c>
      <c r="K14" s="34">
        <f t="shared" si="0"/>
        <v>300</v>
      </c>
      <c r="L14" s="34">
        <v>2</v>
      </c>
      <c r="M14" s="34">
        <f t="shared" si="1"/>
        <v>200</v>
      </c>
      <c r="N14" s="34">
        <v>3.75</v>
      </c>
      <c r="O14" s="34">
        <f t="shared" si="2"/>
        <v>375</v>
      </c>
      <c r="P14" s="34">
        <v>1.75</v>
      </c>
      <c r="Q14" s="34">
        <f t="shared" si="3"/>
        <v>175</v>
      </c>
      <c r="R14" s="34">
        <v>1</v>
      </c>
      <c r="S14" s="34">
        <f t="shared" si="4"/>
        <v>100</v>
      </c>
      <c r="T14" s="34">
        <v>0.75</v>
      </c>
      <c r="U14" s="34">
        <f t="shared" si="10"/>
        <v>75</v>
      </c>
      <c r="V14" s="34">
        <v>3.25</v>
      </c>
      <c r="W14" s="34">
        <f t="shared" si="5"/>
        <v>325</v>
      </c>
      <c r="X14" s="34">
        <f t="shared" si="6"/>
        <v>65.5</v>
      </c>
      <c r="Y14" s="34">
        <f t="shared" si="7"/>
        <v>6550</v>
      </c>
      <c r="Z14" s="614"/>
      <c r="AA14" s="615"/>
      <c r="AB14" s="614"/>
      <c r="AC14" s="615"/>
      <c r="AD14" s="68"/>
      <c r="AE14" s="66"/>
      <c r="AF14" s="68"/>
      <c r="AG14" s="66"/>
    </row>
    <row r="15" spans="2:34" s="3" customFormat="1" x14ac:dyDescent="0.2">
      <c r="B15" s="27" t="s">
        <v>86</v>
      </c>
      <c r="C15" s="27" t="s">
        <v>22</v>
      </c>
      <c r="D15" s="31" t="s">
        <v>3</v>
      </c>
      <c r="E15" s="32">
        <v>100</v>
      </c>
      <c r="F15" s="33">
        <v>3</v>
      </c>
      <c r="G15" s="33">
        <f t="shared" si="8"/>
        <v>300</v>
      </c>
      <c r="H15" s="34"/>
      <c r="I15" s="34">
        <f t="shared" si="9"/>
        <v>0</v>
      </c>
      <c r="J15" s="34"/>
      <c r="K15" s="34">
        <f t="shared" si="0"/>
        <v>0</v>
      </c>
      <c r="L15" s="34"/>
      <c r="M15" s="34">
        <f t="shared" si="1"/>
        <v>0</v>
      </c>
      <c r="N15" s="34"/>
      <c r="O15" s="34">
        <f t="shared" si="2"/>
        <v>0</v>
      </c>
      <c r="P15" s="34"/>
      <c r="Q15" s="34">
        <f t="shared" si="3"/>
        <v>0</v>
      </c>
      <c r="R15" s="34"/>
      <c r="S15" s="34">
        <f t="shared" si="4"/>
        <v>0</v>
      </c>
      <c r="T15" s="34"/>
      <c r="U15" s="34">
        <f t="shared" si="10"/>
        <v>0</v>
      </c>
      <c r="V15" s="34"/>
      <c r="W15" s="34">
        <f t="shared" si="5"/>
        <v>0</v>
      </c>
      <c r="X15" s="34">
        <f t="shared" si="6"/>
        <v>3</v>
      </c>
      <c r="Y15" s="34">
        <f t="shared" si="7"/>
        <v>300</v>
      </c>
      <c r="Z15" s="614"/>
      <c r="AA15" s="615"/>
      <c r="AB15" s="614"/>
      <c r="AC15" s="615"/>
      <c r="AD15" s="68"/>
      <c r="AE15" s="66"/>
      <c r="AF15" s="68"/>
      <c r="AG15" s="66"/>
    </row>
    <row r="16" spans="2:34" s="3" customFormat="1" x14ac:dyDescent="0.2">
      <c r="B16" s="27" t="s">
        <v>93</v>
      </c>
      <c r="C16" s="27" t="s">
        <v>22</v>
      </c>
      <c r="D16" s="31" t="s">
        <v>3</v>
      </c>
      <c r="E16" s="32">
        <v>100</v>
      </c>
      <c r="F16" s="33">
        <v>1</v>
      </c>
      <c r="G16" s="33">
        <f t="shared" si="8"/>
        <v>100</v>
      </c>
      <c r="H16" s="34"/>
      <c r="I16" s="34">
        <f t="shared" si="9"/>
        <v>0</v>
      </c>
      <c r="J16" s="34"/>
      <c r="K16" s="34">
        <f t="shared" si="0"/>
        <v>0</v>
      </c>
      <c r="L16" s="34"/>
      <c r="M16" s="34">
        <f t="shared" si="1"/>
        <v>0</v>
      </c>
      <c r="N16" s="34"/>
      <c r="O16" s="34">
        <f t="shared" si="2"/>
        <v>0</v>
      </c>
      <c r="P16" s="34"/>
      <c r="Q16" s="34">
        <f t="shared" si="3"/>
        <v>0</v>
      </c>
      <c r="R16" s="34"/>
      <c r="S16" s="34">
        <f t="shared" si="4"/>
        <v>0</v>
      </c>
      <c r="T16" s="34"/>
      <c r="U16" s="34">
        <f t="shared" si="10"/>
        <v>0</v>
      </c>
      <c r="V16" s="34"/>
      <c r="W16" s="34">
        <f t="shared" si="5"/>
        <v>0</v>
      </c>
      <c r="X16" s="34">
        <f t="shared" si="6"/>
        <v>1</v>
      </c>
      <c r="Y16" s="34">
        <f t="shared" si="7"/>
        <v>100</v>
      </c>
      <c r="Z16" s="614"/>
      <c r="AA16" s="615"/>
      <c r="AB16" s="614"/>
      <c r="AC16" s="615"/>
      <c r="AD16" s="68"/>
      <c r="AE16" s="66"/>
      <c r="AF16" s="68"/>
      <c r="AG16" s="66"/>
    </row>
    <row r="17" spans="2:34" s="3" customFormat="1" x14ac:dyDescent="0.2">
      <c r="B17" s="27" t="s">
        <v>13</v>
      </c>
      <c r="C17" s="27" t="s">
        <v>22</v>
      </c>
      <c r="D17" s="31" t="s">
        <v>3</v>
      </c>
      <c r="E17" s="32">
        <v>100</v>
      </c>
      <c r="F17" s="33">
        <v>0.5</v>
      </c>
      <c r="G17" s="33">
        <f t="shared" si="8"/>
        <v>50</v>
      </c>
      <c r="H17" s="34"/>
      <c r="I17" s="34">
        <f t="shared" si="9"/>
        <v>0</v>
      </c>
      <c r="J17" s="34"/>
      <c r="K17" s="34">
        <f t="shared" si="0"/>
        <v>0</v>
      </c>
      <c r="L17" s="34"/>
      <c r="M17" s="34">
        <f t="shared" si="1"/>
        <v>0</v>
      </c>
      <c r="N17" s="34"/>
      <c r="O17" s="34">
        <f t="shared" si="2"/>
        <v>0</v>
      </c>
      <c r="P17" s="34"/>
      <c r="Q17" s="34">
        <f t="shared" si="3"/>
        <v>0</v>
      </c>
      <c r="R17" s="34"/>
      <c r="S17" s="34">
        <f t="shared" si="4"/>
        <v>0</v>
      </c>
      <c r="T17" s="34"/>
      <c r="U17" s="34">
        <f t="shared" si="10"/>
        <v>0</v>
      </c>
      <c r="V17" s="34"/>
      <c r="W17" s="34">
        <f t="shared" si="5"/>
        <v>0</v>
      </c>
      <c r="X17" s="34">
        <f t="shared" si="6"/>
        <v>0.5</v>
      </c>
      <c r="Y17" s="34">
        <f t="shared" si="7"/>
        <v>50</v>
      </c>
      <c r="Z17" s="614"/>
      <c r="AA17" s="615"/>
      <c r="AB17" s="614"/>
      <c r="AC17" s="615"/>
      <c r="AD17" s="68"/>
      <c r="AE17" s="66"/>
      <c r="AF17" s="68"/>
      <c r="AG17" s="66"/>
    </row>
    <row r="18" spans="2:34" s="3" customFormat="1" x14ac:dyDescent="0.2">
      <c r="B18" s="27" t="s">
        <v>101</v>
      </c>
      <c r="C18" s="27" t="s">
        <v>22</v>
      </c>
      <c r="D18" s="31" t="s">
        <v>9</v>
      </c>
      <c r="E18" s="32">
        <v>75</v>
      </c>
      <c r="F18" s="33">
        <v>0.75</v>
      </c>
      <c r="G18" s="33">
        <f t="shared" si="8"/>
        <v>56.25</v>
      </c>
      <c r="H18" s="34"/>
      <c r="I18" s="34">
        <f t="shared" si="9"/>
        <v>0</v>
      </c>
      <c r="J18" s="34"/>
      <c r="K18" s="34">
        <f t="shared" si="0"/>
        <v>0</v>
      </c>
      <c r="L18" s="34"/>
      <c r="M18" s="34"/>
      <c r="N18" s="34"/>
      <c r="O18" s="34"/>
      <c r="P18" s="34"/>
      <c r="Q18" s="34"/>
      <c r="R18" s="34"/>
      <c r="S18" s="34">
        <f t="shared" si="4"/>
        <v>0</v>
      </c>
      <c r="T18" s="34"/>
      <c r="U18" s="34"/>
      <c r="V18" s="34"/>
      <c r="W18" s="34">
        <f t="shared" si="5"/>
        <v>0</v>
      </c>
      <c r="X18" s="34">
        <f t="shared" si="6"/>
        <v>0.75</v>
      </c>
      <c r="Y18" s="34">
        <f t="shared" si="7"/>
        <v>56.25</v>
      </c>
      <c r="Z18" s="614"/>
      <c r="AA18" s="615"/>
      <c r="AB18" s="614"/>
      <c r="AC18" s="615"/>
      <c r="AD18" s="68"/>
      <c r="AE18" s="66"/>
      <c r="AF18" s="68"/>
      <c r="AG18" s="66"/>
    </row>
    <row r="19" spans="2:34" s="3" customFormat="1" x14ac:dyDescent="0.2">
      <c r="B19" s="27" t="s">
        <v>17</v>
      </c>
      <c r="C19" s="27" t="s">
        <v>22</v>
      </c>
      <c r="D19" s="31" t="s">
        <v>9</v>
      </c>
      <c r="E19" s="32">
        <v>75</v>
      </c>
      <c r="F19" s="33">
        <v>7.5</v>
      </c>
      <c r="G19" s="33">
        <f>SUM(E19*F19)</f>
        <v>562.5</v>
      </c>
      <c r="H19" s="34"/>
      <c r="I19" s="34">
        <f>SUM(E19*H19)</f>
        <v>0</v>
      </c>
      <c r="J19" s="34">
        <f>0.25+0.5</f>
        <v>0.75</v>
      </c>
      <c r="K19" s="34">
        <f>SUM(E19*J19)</f>
        <v>56.25</v>
      </c>
      <c r="L19" s="34"/>
      <c r="M19" s="34">
        <f t="shared" ref="M19:M25" si="11">SUM(E19*L19)</f>
        <v>0</v>
      </c>
      <c r="N19" s="34">
        <v>0.5</v>
      </c>
      <c r="O19" s="34">
        <f t="shared" ref="O19:O25" si="12">SUM(E19*N19)</f>
        <v>37.5</v>
      </c>
      <c r="P19" s="34"/>
      <c r="Q19" s="34">
        <f t="shared" ref="Q19:Q25" si="13">SUM(E19*P19)</f>
        <v>0</v>
      </c>
      <c r="R19" s="34"/>
      <c r="S19" s="34">
        <f t="shared" si="4"/>
        <v>0</v>
      </c>
      <c r="T19" s="34"/>
      <c r="U19" s="34">
        <f t="shared" ref="U19:U25" si="14">SUM(E19*T19)</f>
        <v>0</v>
      </c>
      <c r="V19" s="34"/>
      <c r="W19" s="34">
        <f t="shared" si="5"/>
        <v>0</v>
      </c>
      <c r="X19" s="34">
        <f t="shared" si="6"/>
        <v>8.75</v>
      </c>
      <c r="Y19" s="34">
        <f t="shared" si="7"/>
        <v>656.25</v>
      </c>
      <c r="Z19" s="614"/>
      <c r="AA19" s="615"/>
      <c r="AB19" s="614"/>
      <c r="AC19" s="615"/>
      <c r="AD19" s="68"/>
      <c r="AE19" s="66"/>
      <c r="AF19" s="68"/>
      <c r="AG19" s="66"/>
    </row>
    <row r="20" spans="2:34" s="3" customFormat="1" x14ac:dyDescent="0.2">
      <c r="B20" s="27" t="s">
        <v>15</v>
      </c>
      <c r="C20" s="27" t="s">
        <v>22</v>
      </c>
      <c r="D20" s="31" t="s">
        <v>9</v>
      </c>
      <c r="E20" s="32">
        <v>75</v>
      </c>
      <c r="F20" s="33"/>
      <c r="G20" s="33">
        <f t="shared" si="8"/>
        <v>0</v>
      </c>
      <c r="H20" s="34"/>
      <c r="I20" s="34">
        <f t="shared" si="9"/>
        <v>0</v>
      </c>
      <c r="J20" s="34"/>
      <c r="K20" s="34">
        <f t="shared" si="0"/>
        <v>0</v>
      </c>
      <c r="L20" s="34"/>
      <c r="M20" s="34">
        <f t="shared" si="11"/>
        <v>0</v>
      </c>
      <c r="N20" s="34"/>
      <c r="O20" s="34">
        <f t="shared" si="12"/>
        <v>0</v>
      </c>
      <c r="P20" s="34">
        <v>3.75</v>
      </c>
      <c r="Q20" s="34">
        <f t="shared" si="13"/>
        <v>281.25</v>
      </c>
      <c r="R20" s="34"/>
      <c r="S20" s="34">
        <f t="shared" si="4"/>
        <v>0</v>
      </c>
      <c r="T20" s="34"/>
      <c r="U20" s="34">
        <f t="shared" si="14"/>
        <v>0</v>
      </c>
      <c r="V20" s="34"/>
      <c r="W20" s="34">
        <f t="shared" si="5"/>
        <v>0</v>
      </c>
      <c r="X20" s="34">
        <f t="shared" si="6"/>
        <v>3.75</v>
      </c>
      <c r="Y20" s="34">
        <f t="shared" si="7"/>
        <v>281.25</v>
      </c>
      <c r="Z20" s="614"/>
      <c r="AA20" s="615"/>
      <c r="AB20" s="614"/>
      <c r="AC20" s="615"/>
      <c r="AD20" s="68"/>
      <c r="AE20" s="66"/>
      <c r="AF20" s="68"/>
      <c r="AG20" s="66"/>
    </row>
    <row r="21" spans="2:34" s="3" customFormat="1" x14ac:dyDescent="0.2">
      <c r="B21" s="27" t="s">
        <v>59</v>
      </c>
      <c r="C21" s="27" t="s">
        <v>22</v>
      </c>
      <c r="D21" s="31" t="s">
        <v>20</v>
      </c>
      <c r="E21" s="32">
        <v>35</v>
      </c>
      <c r="F21" s="33">
        <v>11.5</v>
      </c>
      <c r="G21" s="33">
        <f t="shared" si="8"/>
        <v>402.5</v>
      </c>
      <c r="H21" s="34"/>
      <c r="I21" s="34">
        <f t="shared" si="9"/>
        <v>0</v>
      </c>
      <c r="J21" s="34"/>
      <c r="K21" s="34">
        <f t="shared" si="0"/>
        <v>0</v>
      </c>
      <c r="L21" s="34"/>
      <c r="M21" s="34">
        <f t="shared" si="11"/>
        <v>0</v>
      </c>
      <c r="N21" s="34"/>
      <c r="O21" s="34">
        <f t="shared" si="12"/>
        <v>0</v>
      </c>
      <c r="P21" s="34"/>
      <c r="Q21" s="34">
        <f t="shared" si="13"/>
        <v>0</v>
      </c>
      <c r="R21" s="34"/>
      <c r="S21" s="34">
        <f t="shared" si="4"/>
        <v>0</v>
      </c>
      <c r="T21" s="34"/>
      <c r="U21" s="34">
        <f t="shared" si="14"/>
        <v>0</v>
      </c>
      <c r="V21" s="34"/>
      <c r="W21" s="34">
        <f t="shared" si="5"/>
        <v>0</v>
      </c>
      <c r="X21" s="34">
        <f t="shared" si="6"/>
        <v>11.5</v>
      </c>
      <c r="Y21" s="34">
        <f t="shared" si="7"/>
        <v>402.5</v>
      </c>
      <c r="Z21" s="614"/>
      <c r="AA21" s="615"/>
      <c r="AB21" s="614"/>
      <c r="AC21" s="615"/>
      <c r="AD21" s="68"/>
      <c r="AE21" s="66"/>
      <c r="AF21" s="68"/>
      <c r="AG21" s="66"/>
    </row>
    <row r="22" spans="2:34" s="3" customFormat="1" x14ac:dyDescent="0.2">
      <c r="B22" s="27" t="s">
        <v>68</v>
      </c>
      <c r="C22" s="27" t="s">
        <v>22</v>
      </c>
      <c r="D22" s="31" t="s">
        <v>20</v>
      </c>
      <c r="E22" s="32">
        <v>35</v>
      </c>
      <c r="F22" s="33">
        <v>8.5</v>
      </c>
      <c r="G22" s="33">
        <f t="shared" si="8"/>
        <v>297.5</v>
      </c>
      <c r="H22" s="34"/>
      <c r="I22" s="34">
        <f t="shared" si="9"/>
        <v>0</v>
      </c>
      <c r="J22" s="34"/>
      <c r="K22" s="34">
        <f t="shared" si="0"/>
        <v>0</v>
      </c>
      <c r="L22" s="34"/>
      <c r="M22" s="34">
        <f t="shared" si="11"/>
        <v>0</v>
      </c>
      <c r="N22" s="34"/>
      <c r="O22" s="34">
        <f t="shared" si="12"/>
        <v>0</v>
      </c>
      <c r="P22" s="34"/>
      <c r="Q22" s="34">
        <f t="shared" si="13"/>
        <v>0</v>
      </c>
      <c r="R22" s="34"/>
      <c r="S22" s="34">
        <f t="shared" si="4"/>
        <v>0</v>
      </c>
      <c r="T22" s="34"/>
      <c r="U22" s="34">
        <f t="shared" si="14"/>
        <v>0</v>
      </c>
      <c r="V22" s="34"/>
      <c r="W22" s="34">
        <f t="shared" si="5"/>
        <v>0</v>
      </c>
      <c r="X22" s="34">
        <f t="shared" si="6"/>
        <v>8.5</v>
      </c>
      <c r="Y22" s="34">
        <f t="shared" si="7"/>
        <v>297.5</v>
      </c>
      <c r="Z22" s="614"/>
      <c r="AA22" s="615"/>
      <c r="AB22" s="614"/>
      <c r="AC22" s="615"/>
      <c r="AD22" s="68"/>
      <c r="AE22" s="66"/>
      <c r="AF22" s="68"/>
      <c r="AG22" s="66"/>
    </row>
    <row r="23" spans="2:34" s="3" customFormat="1" x14ac:dyDescent="0.2">
      <c r="B23" s="27" t="s">
        <v>29</v>
      </c>
      <c r="C23" s="27" t="s">
        <v>22</v>
      </c>
      <c r="D23" s="28" t="s">
        <v>20</v>
      </c>
      <c r="E23" s="32">
        <v>35</v>
      </c>
      <c r="F23" s="33">
        <v>0</v>
      </c>
      <c r="G23" s="33">
        <f t="shared" si="8"/>
        <v>0</v>
      </c>
      <c r="H23" s="34"/>
      <c r="I23" s="34">
        <f t="shared" si="9"/>
        <v>0</v>
      </c>
      <c r="J23" s="34"/>
      <c r="K23" s="34">
        <f t="shared" si="0"/>
        <v>0</v>
      </c>
      <c r="L23" s="34"/>
      <c r="M23" s="34">
        <f t="shared" si="11"/>
        <v>0</v>
      </c>
      <c r="N23" s="34"/>
      <c r="O23" s="34">
        <f t="shared" si="12"/>
        <v>0</v>
      </c>
      <c r="P23" s="34"/>
      <c r="Q23" s="34">
        <f t="shared" si="13"/>
        <v>0</v>
      </c>
      <c r="R23" s="34"/>
      <c r="S23" s="34">
        <f t="shared" si="4"/>
        <v>0</v>
      </c>
      <c r="T23" s="34"/>
      <c r="U23" s="34">
        <f t="shared" si="14"/>
        <v>0</v>
      </c>
      <c r="V23" s="34"/>
      <c r="W23" s="34">
        <f t="shared" si="5"/>
        <v>0</v>
      </c>
      <c r="X23" s="34">
        <f t="shared" si="6"/>
        <v>0</v>
      </c>
      <c r="Y23" s="34">
        <f t="shared" si="7"/>
        <v>0</v>
      </c>
      <c r="Z23" s="614"/>
      <c r="AA23" s="615"/>
      <c r="AB23" s="614"/>
      <c r="AC23" s="615"/>
      <c r="AD23" s="68"/>
      <c r="AE23" s="66"/>
      <c r="AF23" s="68"/>
      <c r="AG23" s="66"/>
    </row>
    <row r="24" spans="2:34" s="3" customFormat="1" x14ac:dyDescent="0.2">
      <c r="B24" s="27" t="s">
        <v>145</v>
      </c>
      <c r="C24" s="27" t="s">
        <v>22</v>
      </c>
      <c r="D24" s="28" t="s">
        <v>20</v>
      </c>
      <c r="E24" s="32">
        <v>35</v>
      </c>
      <c r="F24" s="33">
        <v>0</v>
      </c>
      <c r="G24" s="33">
        <f t="shared" ref="G24" si="15">SUM(E24*F24)</f>
        <v>0</v>
      </c>
      <c r="H24" s="34"/>
      <c r="I24" s="34">
        <f t="shared" ref="I24" si="16">SUM(E24*H24)</f>
        <v>0</v>
      </c>
      <c r="J24" s="34"/>
      <c r="K24" s="34">
        <f t="shared" ref="K24" si="17">SUM(E24*J24)</f>
        <v>0</v>
      </c>
      <c r="L24" s="34"/>
      <c r="M24" s="34">
        <f t="shared" ref="M24" si="18">SUM(E24*L24)</f>
        <v>0</v>
      </c>
      <c r="N24" s="34"/>
      <c r="O24" s="34">
        <f t="shared" ref="O24" si="19">SUM(E24*N24)</f>
        <v>0</v>
      </c>
      <c r="P24" s="34"/>
      <c r="Q24" s="34">
        <f t="shared" ref="Q24" si="20">SUM(E24*P24)</f>
        <v>0</v>
      </c>
      <c r="R24" s="34"/>
      <c r="S24" s="34">
        <f t="shared" ref="S24" si="21">SUM(E24*R24)</f>
        <v>0</v>
      </c>
      <c r="T24" s="34">
        <v>1.5</v>
      </c>
      <c r="U24" s="34">
        <f t="shared" ref="U24" si="22">SUM(E24*T24)</f>
        <v>52.5</v>
      </c>
      <c r="V24" s="34"/>
      <c r="W24" s="34">
        <f t="shared" si="5"/>
        <v>0</v>
      </c>
      <c r="X24" s="34">
        <f t="shared" si="6"/>
        <v>1.5</v>
      </c>
      <c r="Y24" s="34">
        <f t="shared" si="7"/>
        <v>52.5</v>
      </c>
      <c r="Z24" s="614"/>
      <c r="AA24" s="615"/>
      <c r="AB24" s="614"/>
      <c r="AC24" s="615"/>
      <c r="AD24" s="68"/>
      <c r="AE24" s="66"/>
      <c r="AF24" s="68"/>
      <c r="AG24" s="66"/>
    </row>
    <row r="25" spans="2:34" s="3" customFormat="1" x14ac:dyDescent="0.2">
      <c r="B25" s="27" t="s">
        <v>129</v>
      </c>
      <c r="C25" s="27" t="s">
        <v>22</v>
      </c>
      <c r="D25" s="28" t="s">
        <v>20</v>
      </c>
      <c r="E25" s="32">
        <v>35</v>
      </c>
      <c r="F25" s="33">
        <v>0</v>
      </c>
      <c r="G25" s="33">
        <f t="shared" si="8"/>
        <v>0</v>
      </c>
      <c r="H25" s="34"/>
      <c r="I25" s="34">
        <f t="shared" si="9"/>
        <v>0</v>
      </c>
      <c r="J25" s="34"/>
      <c r="K25" s="34">
        <f t="shared" si="0"/>
        <v>0</v>
      </c>
      <c r="L25" s="34">
        <v>0.25</v>
      </c>
      <c r="M25" s="34">
        <f t="shared" si="11"/>
        <v>8.75</v>
      </c>
      <c r="N25" s="34"/>
      <c r="O25" s="34">
        <f t="shared" si="12"/>
        <v>0</v>
      </c>
      <c r="P25" s="34"/>
      <c r="Q25" s="34">
        <f t="shared" si="13"/>
        <v>0</v>
      </c>
      <c r="R25" s="34">
        <v>7.5</v>
      </c>
      <c r="S25" s="34">
        <f t="shared" si="4"/>
        <v>262.5</v>
      </c>
      <c r="T25" s="34">
        <v>71.75</v>
      </c>
      <c r="U25" s="34">
        <f t="shared" si="14"/>
        <v>2511.25</v>
      </c>
      <c r="V25" s="34">
        <v>5.5</v>
      </c>
      <c r="W25" s="34">
        <f t="shared" si="5"/>
        <v>192.5</v>
      </c>
      <c r="X25" s="34">
        <f t="shared" si="6"/>
        <v>85</v>
      </c>
      <c r="Y25" s="34">
        <f t="shared" si="7"/>
        <v>2975</v>
      </c>
      <c r="Z25" s="614"/>
      <c r="AA25" s="615"/>
      <c r="AB25" s="614"/>
      <c r="AC25" s="615"/>
      <c r="AD25" s="68"/>
      <c r="AE25" s="66"/>
      <c r="AF25" s="68"/>
      <c r="AG25" s="66"/>
    </row>
    <row r="26" spans="2:34" s="3" customFormat="1" x14ac:dyDescent="0.2">
      <c r="B26" s="20" t="s">
        <v>4</v>
      </c>
      <c r="C26" s="20" t="s">
        <v>22</v>
      </c>
      <c r="D26" s="18"/>
      <c r="E26" s="21"/>
      <c r="F26" s="19">
        <f t="shared" ref="F26:Y26" si="23">SUM(F6:F25)</f>
        <v>329.75</v>
      </c>
      <c r="G26" s="19">
        <f t="shared" si="23"/>
        <v>37377.75</v>
      </c>
      <c r="H26" s="19">
        <f t="shared" si="23"/>
        <v>66.25</v>
      </c>
      <c r="I26" s="19">
        <f t="shared" si="23"/>
        <v>8065</v>
      </c>
      <c r="J26" s="19">
        <f t="shared" si="23"/>
        <v>97.75</v>
      </c>
      <c r="K26" s="19">
        <f t="shared" si="23"/>
        <v>11301.25</v>
      </c>
      <c r="L26" s="19">
        <f t="shared" si="23"/>
        <v>39</v>
      </c>
      <c r="M26" s="19">
        <f t="shared" si="23"/>
        <v>4674.75</v>
      </c>
      <c r="N26" s="19">
        <f t="shared" si="23"/>
        <v>17.75</v>
      </c>
      <c r="O26" s="19">
        <f t="shared" si="23"/>
        <v>2131.5</v>
      </c>
      <c r="P26" s="19">
        <f t="shared" si="23"/>
        <v>24.5</v>
      </c>
      <c r="Q26" s="19">
        <f t="shared" si="23"/>
        <v>2666.25</v>
      </c>
      <c r="R26" s="19">
        <f t="shared" si="23"/>
        <v>28.75</v>
      </c>
      <c r="S26" s="19">
        <f t="shared" si="23"/>
        <v>2717.5</v>
      </c>
      <c r="T26" s="19">
        <f t="shared" si="23"/>
        <v>117</v>
      </c>
      <c r="U26" s="19">
        <f t="shared" si="23"/>
        <v>7138.75</v>
      </c>
      <c r="V26" s="19">
        <f t="shared" si="23"/>
        <v>61</v>
      </c>
      <c r="W26" s="19">
        <f t="shared" si="23"/>
        <v>6555</v>
      </c>
      <c r="X26" s="64">
        <f t="shared" si="23"/>
        <v>781.75</v>
      </c>
      <c r="Y26" s="64">
        <f t="shared" si="23"/>
        <v>82627.75</v>
      </c>
      <c r="Z26" s="621"/>
      <c r="AA26" s="617">
        <f>Z26*AH4</f>
        <v>0</v>
      </c>
      <c r="AB26" s="621"/>
      <c r="AC26" s="617">
        <f>AB26*AH4</f>
        <v>0</v>
      </c>
      <c r="AD26" s="616">
        <f>X26+Z26+AB26</f>
        <v>781.75</v>
      </c>
      <c r="AE26" s="626">
        <f>AD26*AH4</f>
        <v>69833.727499999994</v>
      </c>
      <c r="AF26" s="616">
        <v>1268</v>
      </c>
      <c r="AG26" s="626">
        <f>AF26*AH4</f>
        <v>113270.44</v>
      </c>
      <c r="AH26" s="630">
        <f>(1/AG26)*AE26</f>
        <v>0.61652208201892744</v>
      </c>
    </row>
    <row r="27" spans="2:34" s="3" customFormat="1" x14ac:dyDescent="0.2">
      <c r="B27" s="35"/>
      <c r="C27" s="35"/>
      <c r="D27" s="36"/>
      <c r="E27" s="37"/>
      <c r="F27" s="37"/>
      <c r="G27" s="37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9"/>
      <c r="Y27" s="39"/>
      <c r="Z27" s="618"/>
      <c r="AA27" s="618"/>
      <c r="AB27" s="618"/>
      <c r="AC27" s="618"/>
    </row>
    <row r="28" spans="2:34" s="3" customFormat="1" ht="12.75" x14ac:dyDescent="0.2">
      <c r="B28" s="25" t="s">
        <v>62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618"/>
      <c r="AA28" s="618"/>
      <c r="AB28" s="618"/>
      <c r="AC28" s="618"/>
    </row>
    <row r="29" spans="2:34" s="3" customFormat="1" ht="24" x14ac:dyDescent="0.2">
      <c r="B29" s="27" t="s">
        <v>0</v>
      </c>
      <c r="C29" s="27" t="s">
        <v>10</v>
      </c>
      <c r="D29" s="28" t="s">
        <v>1</v>
      </c>
      <c r="E29" s="28" t="s">
        <v>7</v>
      </c>
      <c r="F29" s="28" t="s">
        <v>121</v>
      </c>
      <c r="G29" s="28" t="s">
        <v>122</v>
      </c>
      <c r="H29" s="29" t="s">
        <v>34</v>
      </c>
      <c r="I29" s="29" t="s">
        <v>35</v>
      </c>
      <c r="J29" s="29" t="s">
        <v>36</v>
      </c>
      <c r="K29" s="29" t="s">
        <v>37</v>
      </c>
      <c r="L29" s="29" t="s">
        <v>38</v>
      </c>
      <c r="M29" s="29" t="s">
        <v>39</v>
      </c>
      <c r="N29" s="29" t="s">
        <v>40</v>
      </c>
      <c r="O29" s="29" t="s">
        <v>41</v>
      </c>
      <c r="P29" s="29" t="s">
        <v>42</v>
      </c>
      <c r="Q29" s="29" t="s">
        <v>43</v>
      </c>
      <c r="R29" s="29" t="s">
        <v>44</v>
      </c>
      <c r="S29" s="29" t="s">
        <v>45</v>
      </c>
      <c r="T29" s="29" t="s">
        <v>46</v>
      </c>
      <c r="U29" s="29" t="s">
        <v>47</v>
      </c>
      <c r="V29" s="29" t="s">
        <v>48</v>
      </c>
      <c r="W29" s="29" t="s">
        <v>49</v>
      </c>
      <c r="X29" s="30" t="s">
        <v>5</v>
      </c>
      <c r="Y29" s="30" t="s">
        <v>6</v>
      </c>
      <c r="Z29" s="632" t="s">
        <v>310</v>
      </c>
      <c r="AA29" s="633"/>
      <c r="AB29" s="632" t="s">
        <v>311</v>
      </c>
      <c r="AC29" s="633"/>
      <c r="AD29" s="634" t="s">
        <v>154</v>
      </c>
      <c r="AE29" s="635"/>
      <c r="AF29" s="634" t="s">
        <v>152</v>
      </c>
      <c r="AG29" s="635"/>
    </row>
    <row r="30" spans="2:34" s="3" customFormat="1" ht="24" x14ac:dyDescent="0.2">
      <c r="B30" s="27" t="s">
        <v>69</v>
      </c>
      <c r="C30" s="27" t="s">
        <v>25</v>
      </c>
      <c r="D30" s="28" t="s">
        <v>2</v>
      </c>
      <c r="E30" s="40">
        <v>140</v>
      </c>
      <c r="F30" s="41">
        <v>34</v>
      </c>
      <c r="G30" s="41">
        <f>SUM(E30*F30)</f>
        <v>4760</v>
      </c>
      <c r="H30" s="41">
        <v>42.5</v>
      </c>
      <c r="I30" s="41">
        <f>SUM(E30*H30)</f>
        <v>5950</v>
      </c>
      <c r="J30" s="41">
        <v>33</v>
      </c>
      <c r="K30" s="41">
        <f t="shared" ref="K30:K52" si="24">SUM(E30*J30)</f>
        <v>4620</v>
      </c>
      <c r="L30" s="41">
        <v>46.75</v>
      </c>
      <c r="M30" s="41">
        <f t="shared" ref="M30:M52" si="25">SUM(E30*L30)</f>
        <v>6545</v>
      </c>
      <c r="N30" s="41">
        <v>41.25</v>
      </c>
      <c r="O30" s="41">
        <f t="shared" ref="O30:O52" si="26">SUM(E30*N30)</f>
        <v>5775</v>
      </c>
      <c r="P30" s="41">
        <v>24</v>
      </c>
      <c r="Q30" s="41">
        <f t="shared" ref="Q30:Q41" si="27">SUM(E30*P30)</f>
        <v>3360</v>
      </c>
      <c r="R30" s="41">
        <v>141</v>
      </c>
      <c r="S30" s="41">
        <f t="shared" ref="S30:S52" si="28">SUM(E30*R30)</f>
        <v>19740</v>
      </c>
      <c r="T30" s="41">
        <v>104</v>
      </c>
      <c r="U30" s="41">
        <f t="shared" ref="U30:U41" si="29">SUM(E30*T30)</f>
        <v>14560</v>
      </c>
      <c r="V30" s="41">
        <v>102.25</v>
      </c>
      <c r="W30" s="41">
        <f t="shared" ref="W30:W52" si="30">SUM(E30*V30)</f>
        <v>14315</v>
      </c>
      <c r="X30" s="34">
        <f t="shared" ref="X30:X39" si="31">SUM(H30+J30+L30+N30+P30+R30+T30+V30+F30)</f>
        <v>568.75</v>
      </c>
      <c r="Y30" s="41">
        <f t="shared" ref="Y30:Y52" si="32">ROUND(X30*E30*2,1)/2</f>
        <v>79625</v>
      </c>
      <c r="Z30" s="622" t="s">
        <v>5</v>
      </c>
      <c r="AA30" s="623" t="s">
        <v>6</v>
      </c>
      <c r="AB30" s="622" t="s">
        <v>5</v>
      </c>
      <c r="AC30" s="623" t="s">
        <v>6</v>
      </c>
      <c r="AD30" s="624" t="s">
        <v>5</v>
      </c>
      <c r="AE30" s="625" t="s">
        <v>6</v>
      </c>
      <c r="AF30" s="624" t="s">
        <v>5</v>
      </c>
      <c r="AG30" s="625" t="s">
        <v>6</v>
      </c>
    </row>
    <row r="31" spans="2:34" s="3" customFormat="1" x14ac:dyDescent="0.2">
      <c r="B31" s="27" t="s">
        <v>95</v>
      </c>
      <c r="C31" s="27" t="s">
        <v>25</v>
      </c>
      <c r="D31" s="31" t="s">
        <v>2</v>
      </c>
      <c r="E31" s="32">
        <v>140</v>
      </c>
      <c r="F31" s="33"/>
      <c r="G31" s="41">
        <f t="shared" ref="G31" si="33">SUM(E31*F31)</f>
        <v>0</v>
      </c>
      <c r="H31" s="34">
        <v>3.5</v>
      </c>
      <c r="I31" s="41">
        <f t="shared" ref="I31" si="34">SUM(E31*H31)</f>
        <v>490</v>
      </c>
      <c r="J31" s="34">
        <v>1</v>
      </c>
      <c r="K31" s="41">
        <f t="shared" ref="K31" si="35">SUM(E31*J31)</f>
        <v>140</v>
      </c>
      <c r="L31" s="34"/>
      <c r="M31" s="41">
        <f t="shared" ref="M31" si="36">SUM(E31*L31)</f>
        <v>0</v>
      </c>
      <c r="N31" s="34">
        <v>4.5</v>
      </c>
      <c r="O31" s="41">
        <f t="shared" ref="O31" si="37">SUM(E31*N31)</f>
        <v>630</v>
      </c>
      <c r="P31" s="34"/>
      <c r="Q31" s="34">
        <f t="shared" ref="Q31" si="38">SUM(E31*P31)</f>
        <v>0</v>
      </c>
      <c r="R31" s="34"/>
      <c r="S31" s="41">
        <f t="shared" ref="S31" si="39">SUM(E31*R31)</f>
        <v>0</v>
      </c>
      <c r="T31" s="34"/>
      <c r="U31" s="34">
        <f t="shared" ref="U31" si="40">SUM(E31*T31)</f>
        <v>0</v>
      </c>
      <c r="V31" s="34"/>
      <c r="W31" s="41">
        <f t="shared" si="30"/>
        <v>0</v>
      </c>
      <c r="X31" s="34">
        <f t="shared" si="31"/>
        <v>9</v>
      </c>
      <c r="Y31" s="41">
        <f t="shared" si="32"/>
        <v>1260</v>
      </c>
      <c r="Z31" s="614"/>
      <c r="AA31" s="615"/>
      <c r="AB31" s="614"/>
      <c r="AC31" s="615"/>
      <c r="AD31" s="68"/>
      <c r="AE31" s="66"/>
      <c r="AF31" s="68"/>
      <c r="AG31" s="66"/>
    </row>
    <row r="32" spans="2:34" s="3" customFormat="1" x14ac:dyDescent="0.2">
      <c r="B32" s="27" t="s">
        <v>149</v>
      </c>
      <c r="C32" s="27" t="s">
        <v>25</v>
      </c>
      <c r="D32" s="31" t="s">
        <v>2</v>
      </c>
      <c r="E32" s="32">
        <v>140</v>
      </c>
      <c r="F32" s="33"/>
      <c r="G32" s="41">
        <f t="shared" ref="G32:G52" si="41">SUM(E32*F32)</f>
        <v>0</v>
      </c>
      <c r="H32" s="34"/>
      <c r="I32" s="41">
        <f t="shared" ref="I32:I52" si="42">SUM(E32*H32)</f>
        <v>0</v>
      </c>
      <c r="J32" s="34"/>
      <c r="K32" s="41">
        <f t="shared" si="24"/>
        <v>0</v>
      </c>
      <c r="L32" s="34"/>
      <c r="M32" s="41">
        <f t="shared" si="25"/>
        <v>0</v>
      </c>
      <c r="N32" s="34"/>
      <c r="O32" s="41">
        <f t="shared" si="26"/>
        <v>0</v>
      </c>
      <c r="P32" s="34"/>
      <c r="Q32" s="34">
        <f t="shared" si="27"/>
        <v>0</v>
      </c>
      <c r="R32" s="34"/>
      <c r="S32" s="41">
        <f t="shared" si="28"/>
        <v>0</v>
      </c>
      <c r="T32" s="34"/>
      <c r="U32" s="34">
        <f t="shared" si="29"/>
        <v>0</v>
      </c>
      <c r="V32" s="34">
        <v>1</v>
      </c>
      <c r="W32" s="41">
        <f t="shared" si="30"/>
        <v>140</v>
      </c>
      <c r="X32" s="34">
        <f t="shared" si="31"/>
        <v>1</v>
      </c>
      <c r="Y32" s="41">
        <f t="shared" si="32"/>
        <v>140</v>
      </c>
      <c r="Z32" s="614"/>
      <c r="AA32" s="615"/>
      <c r="AB32" s="614"/>
      <c r="AC32" s="615"/>
      <c r="AD32" s="68"/>
      <c r="AE32" s="66"/>
      <c r="AF32" s="68"/>
      <c r="AG32" s="66"/>
    </row>
    <row r="33" spans="2:33" s="3" customFormat="1" x14ac:dyDescent="0.2">
      <c r="B33" s="27" t="s">
        <v>55</v>
      </c>
      <c r="C33" s="27" t="s">
        <v>25</v>
      </c>
      <c r="D33" s="31" t="s">
        <v>2</v>
      </c>
      <c r="E33" s="32">
        <v>140</v>
      </c>
      <c r="F33" s="33">
        <v>51</v>
      </c>
      <c r="G33" s="41">
        <f t="shared" si="41"/>
        <v>7140</v>
      </c>
      <c r="H33" s="34">
        <v>5</v>
      </c>
      <c r="I33" s="41">
        <f t="shared" si="42"/>
        <v>700</v>
      </c>
      <c r="J33" s="34">
        <f>1.5+2.25</f>
        <v>3.75</v>
      </c>
      <c r="K33" s="41">
        <f t="shared" si="24"/>
        <v>525</v>
      </c>
      <c r="L33" s="34">
        <f>3+5.75</f>
        <v>8.75</v>
      </c>
      <c r="M33" s="41">
        <f t="shared" si="25"/>
        <v>1225</v>
      </c>
      <c r="N33" s="34">
        <v>1.5</v>
      </c>
      <c r="O33" s="41">
        <f t="shared" si="26"/>
        <v>210</v>
      </c>
      <c r="P33" s="34">
        <v>4.5</v>
      </c>
      <c r="Q33" s="34">
        <f t="shared" si="27"/>
        <v>630</v>
      </c>
      <c r="R33" s="34">
        <f>3+12.25</f>
        <v>15.25</v>
      </c>
      <c r="S33" s="41">
        <f t="shared" si="28"/>
        <v>2135</v>
      </c>
      <c r="T33" s="34">
        <v>2.75</v>
      </c>
      <c r="U33" s="34">
        <f t="shared" si="29"/>
        <v>385</v>
      </c>
      <c r="V33" s="34">
        <f>3.25+2</f>
        <v>5.25</v>
      </c>
      <c r="W33" s="41">
        <f t="shared" si="30"/>
        <v>735</v>
      </c>
      <c r="X33" s="34">
        <f t="shared" si="31"/>
        <v>97.75</v>
      </c>
      <c r="Y33" s="41">
        <f t="shared" si="32"/>
        <v>13685</v>
      </c>
      <c r="Z33" s="614"/>
      <c r="AA33" s="615"/>
      <c r="AB33" s="614"/>
      <c r="AC33" s="615"/>
      <c r="AD33" s="68"/>
      <c r="AE33" s="66"/>
      <c r="AF33" s="68"/>
      <c r="AG33" s="66"/>
    </row>
    <row r="34" spans="2:33" s="3" customFormat="1" x14ac:dyDescent="0.2">
      <c r="B34" s="27" t="s">
        <v>26</v>
      </c>
      <c r="C34" s="27" t="s">
        <v>25</v>
      </c>
      <c r="D34" s="31" t="s">
        <v>2</v>
      </c>
      <c r="E34" s="32">
        <v>140</v>
      </c>
      <c r="F34" s="33"/>
      <c r="G34" s="41">
        <f t="shared" si="41"/>
        <v>0</v>
      </c>
      <c r="H34" s="34">
        <v>2</v>
      </c>
      <c r="I34" s="41">
        <f t="shared" si="42"/>
        <v>280</v>
      </c>
      <c r="J34" s="34"/>
      <c r="K34" s="41">
        <f t="shared" si="24"/>
        <v>0</v>
      </c>
      <c r="L34" s="34"/>
      <c r="M34" s="41">
        <f t="shared" si="25"/>
        <v>0</v>
      </c>
      <c r="N34" s="34"/>
      <c r="O34" s="41">
        <f t="shared" si="26"/>
        <v>0</v>
      </c>
      <c r="P34" s="34"/>
      <c r="Q34" s="34">
        <f t="shared" si="27"/>
        <v>0</v>
      </c>
      <c r="R34" s="34"/>
      <c r="S34" s="41">
        <f t="shared" si="28"/>
        <v>0</v>
      </c>
      <c r="T34" s="34"/>
      <c r="U34" s="34">
        <f t="shared" si="29"/>
        <v>0</v>
      </c>
      <c r="V34" s="34"/>
      <c r="W34" s="41">
        <f t="shared" si="30"/>
        <v>0</v>
      </c>
      <c r="X34" s="34">
        <f t="shared" si="31"/>
        <v>2</v>
      </c>
      <c r="Y34" s="41">
        <f t="shared" si="32"/>
        <v>280</v>
      </c>
      <c r="Z34" s="614"/>
      <c r="AA34" s="615"/>
      <c r="AB34" s="614"/>
      <c r="AC34" s="615"/>
      <c r="AD34" s="68"/>
      <c r="AE34" s="66"/>
      <c r="AF34" s="68"/>
      <c r="AG34" s="66"/>
    </row>
    <row r="35" spans="2:33" s="3" customFormat="1" x14ac:dyDescent="0.2">
      <c r="B35" s="27" t="s">
        <v>117</v>
      </c>
      <c r="C35" s="27" t="s">
        <v>25</v>
      </c>
      <c r="D35" s="31" t="s">
        <v>8</v>
      </c>
      <c r="E35" s="32">
        <v>118</v>
      </c>
      <c r="F35" s="33">
        <v>3</v>
      </c>
      <c r="G35" s="41">
        <f t="shared" si="41"/>
        <v>354</v>
      </c>
      <c r="H35" s="34">
        <v>12.5</v>
      </c>
      <c r="I35" s="41">
        <f t="shared" si="42"/>
        <v>1475</v>
      </c>
      <c r="J35" s="34">
        <v>17</v>
      </c>
      <c r="K35" s="41">
        <f t="shared" si="24"/>
        <v>2006</v>
      </c>
      <c r="L35" s="34"/>
      <c r="M35" s="41">
        <f t="shared" si="25"/>
        <v>0</v>
      </c>
      <c r="N35" s="34">
        <v>0.5</v>
      </c>
      <c r="O35" s="41">
        <f t="shared" si="26"/>
        <v>59</v>
      </c>
      <c r="P35" s="34"/>
      <c r="Q35" s="34">
        <f t="shared" si="27"/>
        <v>0</v>
      </c>
      <c r="R35" s="34"/>
      <c r="S35" s="41">
        <f t="shared" si="28"/>
        <v>0</v>
      </c>
      <c r="T35" s="34"/>
      <c r="U35" s="34">
        <f t="shared" si="29"/>
        <v>0</v>
      </c>
      <c r="V35" s="34"/>
      <c r="W35" s="41">
        <f t="shared" si="30"/>
        <v>0</v>
      </c>
      <c r="X35" s="34">
        <f t="shared" si="31"/>
        <v>33</v>
      </c>
      <c r="Y35" s="41">
        <f t="shared" si="32"/>
        <v>3894</v>
      </c>
      <c r="Z35" s="614"/>
      <c r="AA35" s="615"/>
      <c r="AB35" s="614"/>
      <c r="AC35" s="615"/>
      <c r="AD35" s="68"/>
      <c r="AE35" s="66"/>
      <c r="AF35" s="68"/>
      <c r="AG35" s="66"/>
    </row>
    <row r="36" spans="2:33" s="3" customFormat="1" x14ac:dyDescent="0.2">
      <c r="B36" s="27" t="s">
        <v>56</v>
      </c>
      <c r="C36" s="27" t="s">
        <v>25</v>
      </c>
      <c r="D36" s="31" t="s">
        <v>8</v>
      </c>
      <c r="E36" s="32">
        <v>118</v>
      </c>
      <c r="F36" s="33">
        <v>16.5</v>
      </c>
      <c r="G36" s="41">
        <f t="shared" si="41"/>
        <v>1947</v>
      </c>
      <c r="H36" s="34"/>
      <c r="I36" s="41">
        <f t="shared" si="42"/>
        <v>0</v>
      </c>
      <c r="J36" s="34"/>
      <c r="K36" s="41">
        <f t="shared" si="24"/>
        <v>0</v>
      </c>
      <c r="L36" s="34"/>
      <c r="M36" s="41">
        <f t="shared" si="25"/>
        <v>0</v>
      </c>
      <c r="N36" s="34"/>
      <c r="O36" s="41">
        <f t="shared" si="26"/>
        <v>0</v>
      </c>
      <c r="P36" s="34"/>
      <c r="Q36" s="34">
        <f t="shared" si="27"/>
        <v>0</v>
      </c>
      <c r="R36" s="34"/>
      <c r="S36" s="41">
        <f t="shared" si="28"/>
        <v>0</v>
      </c>
      <c r="T36" s="34"/>
      <c r="U36" s="34">
        <f t="shared" si="29"/>
        <v>0</v>
      </c>
      <c r="V36" s="34"/>
      <c r="W36" s="41">
        <f t="shared" si="30"/>
        <v>0</v>
      </c>
      <c r="X36" s="34">
        <f t="shared" si="31"/>
        <v>16.5</v>
      </c>
      <c r="Y36" s="41">
        <f t="shared" si="32"/>
        <v>1947</v>
      </c>
      <c r="Z36" s="614"/>
      <c r="AA36" s="615"/>
      <c r="AB36" s="614"/>
      <c r="AC36" s="615"/>
      <c r="AD36" s="68"/>
      <c r="AE36" s="66"/>
      <c r="AF36" s="68"/>
      <c r="AG36" s="66"/>
    </row>
    <row r="37" spans="2:33" s="3" customFormat="1" x14ac:dyDescent="0.2">
      <c r="B37" s="27" t="s">
        <v>85</v>
      </c>
      <c r="C37" s="27" t="s">
        <v>25</v>
      </c>
      <c r="D37" s="31" t="s">
        <v>8</v>
      </c>
      <c r="E37" s="32">
        <v>118</v>
      </c>
      <c r="F37" s="33">
        <v>148</v>
      </c>
      <c r="G37" s="41">
        <f t="shared" si="41"/>
        <v>17464</v>
      </c>
      <c r="H37" s="34">
        <v>62.5</v>
      </c>
      <c r="I37" s="41">
        <f t="shared" si="42"/>
        <v>7375</v>
      </c>
      <c r="J37" s="34">
        <v>18</v>
      </c>
      <c r="K37" s="41">
        <f t="shared" si="24"/>
        <v>2124</v>
      </c>
      <c r="L37" s="34">
        <v>96.75</v>
      </c>
      <c r="M37" s="41">
        <f t="shared" si="25"/>
        <v>11416.5</v>
      </c>
      <c r="N37" s="34">
        <v>111.5</v>
      </c>
      <c r="O37" s="41">
        <f t="shared" si="26"/>
        <v>13157</v>
      </c>
      <c r="P37" s="34">
        <v>19.5</v>
      </c>
      <c r="Q37" s="34">
        <f t="shared" si="27"/>
        <v>2301</v>
      </c>
      <c r="R37" s="34">
        <v>23.25</v>
      </c>
      <c r="S37" s="41">
        <f t="shared" si="28"/>
        <v>2743.5</v>
      </c>
      <c r="T37" s="34">
        <v>29</v>
      </c>
      <c r="U37" s="34">
        <f t="shared" si="29"/>
        <v>3422</v>
      </c>
      <c r="V37" s="34">
        <v>0.5</v>
      </c>
      <c r="W37" s="41">
        <f t="shared" si="30"/>
        <v>59</v>
      </c>
      <c r="X37" s="34">
        <f t="shared" si="31"/>
        <v>509</v>
      </c>
      <c r="Y37" s="41">
        <f t="shared" si="32"/>
        <v>60062</v>
      </c>
      <c r="Z37" s="614"/>
      <c r="AA37" s="615"/>
      <c r="AB37" s="614"/>
      <c r="AC37" s="615"/>
      <c r="AD37" s="68"/>
      <c r="AE37" s="66"/>
      <c r="AF37" s="68"/>
      <c r="AG37" s="66"/>
    </row>
    <row r="38" spans="2:33" s="3" customFormat="1" x14ac:dyDescent="0.2">
      <c r="B38" s="27" t="s">
        <v>70</v>
      </c>
      <c r="C38" s="27" t="s">
        <v>25</v>
      </c>
      <c r="D38" s="31" t="s">
        <v>3</v>
      </c>
      <c r="E38" s="32">
        <v>100</v>
      </c>
      <c r="F38" s="33">
        <v>11</v>
      </c>
      <c r="G38" s="41">
        <f t="shared" si="41"/>
        <v>1100</v>
      </c>
      <c r="H38" s="34">
        <v>0.5</v>
      </c>
      <c r="I38" s="41">
        <f t="shared" si="42"/>
        <v>50</v>
      </c>
      <c r="J38" s="34">
        <v>1.25</v>
      </c>
      <c r="K38" s="41">
        <f t="shared" si="24"/>
        <v>125</v>
      </c>
      <c r="L38" s="34">
        <v>1</v>
      </c>
      <c r="M38" s="41">
        <f t="shared" si="25"/>
        <v>100</v>
      </c>
      <c r="N38" s="34">
        <v>2</v>
      </c>
      <c r="O38" s="41">
        <f t="shared" si="26"/>
        <v>200</v>
      </c>
      <c r="P38" s="34">
        <v>0.75</v>
      </c>
      <c r="Q38" s="34">
        <f t="shared" si="27"/>
        <v>75</v>
      </c>
      <c r="R38" s="34">
        <v>3</v>
      </c>
      <c r="S38" s="41">
        <f t="shared" si="28"/>
        <v>300</v>
      </c>
      <c r="T38" s="34">
        <v>0.75</v>
      </c>
      <c r="U38" s="34">
        <f t="shared" si="29"/>
        <v>75</v>
      </c>
      <c r="V38" s="34"/>
      <c r="W38" s="41">
        <f t="shared" si="30"/>
        <v>0</v>
      </c>
      <c r="X38" s="34">
        <f t="shared" si="31"/>
        <v>20.25</v>
      </c>
      <c r="Y38" s="41">
        <f t="shared" si="32"/>
        <v>2025</v>
      </c>
      <c r="Z38" s="614"/>
      <c r="AA38" s="615"/>
      <c r="AB38" s="614"/>
      <c r="AC38" s="615"/>
      <c r="AD38" s="68"/>
      <c r="AE38" s="66"/>
      <c r="AF38" s="68"/>
      <c r="AG38" s="66"/>
    </row>
    <row r="39" spans="2:33" s="3" customFormat="1" x14ac:dyDescent="0.2">
      <c r="B39" s="27" t="s">
        <v>118</v>
      </c>
      <c r="C39" s="27" t="s">
        <v>25</v>
      </c>
      <c r="D39" s="31" t="s">
        <v>3</v>
      </c>
      <c r="E39" s="32">
        <v>100</v>
      </c>
      <c r="F39" s="33">
        <v>14</v>
      </c>
      <c r="G39" s="41">
        <f t="shared" si="41"/>
        <v>1400</v>
      </c>
      <c r="H39" s="34">
        <v>94.75</v>
      </c>
      <c r="I39" s="41">
        <f t="shared" si="42"/>
        <v>9475</v>
      </c>
      <c r="J39" s="34"/>
      <c r="K39" s="41">
        <f t="shared" si="24"/>
        <v>0</v>
      </c>
      <c r="L39" s="34">
        <v>4</v>
      </c>
      <c r="M39" s="41">
        <f t="shared" si="25"/>
        <v>400</v>
      </c>
      <c r="N39" s="34">
        <v>108.5</v>
      </c>
      <c r="O39" s="41">
        <f t="shared" si="26"/>
        <v>10850</v>
      </c>
      <c r="P39" s="34">
        <v>54.5</v>
      </c>
      <c r="Q39" s="34">
        <f t="shared" si="27"/>
        <v>5450</v>
      </c>
      <c r="R39" s="34">
        <v>62</v>
      </c>
      <c r="S39" s="41">
        <f t="shared" si="28"/>
        <v>6200</v>
      </c>
      <c r="T39" s="34"/>
      <c r="U39" s="34">
        <f t="shared" si="29"/>
        <v>0</v>
      </c>
      <c r="V39" s="34"/>
      <c r="W39" s="41">
        <f t="shared" si="30"/>
        <v>0</v>
      </c>
      <c r="X39" s="34">
        <f t="shared" si="31"/>
        <v>337.75</v>
      </c>
      <c r="Y39" s="41">
        <f t="shared" si="32"/>
        <v>33775</v>
      </c>
      <c r="Z39" s="614"/>
      <c r="AA39" s="615"/>
      <c r="AB39" s="614"/>
      <c r="AC39" s="615"/>
      <c r="AD39" s="68"/>
      <c r="AE39" s="66"/>
      <c r="AF39" s="68"/>
      <c r="AG39" s="66"/>
    </row>
    <row r="40" spans="2:33" s="3" customFormat="1" x14ac:dyDescent="0.2">
      <c r="B40" s="27" t="s">
        <v>113</v>
      </c>
      <c r="C40" s="27" t="s">
        <v>25</v>
      </c>
      <c r="D40" s="31" t="s">
        <v>3</v>
      </c>
      <c r="E40" s="32">
        <v>100</v>
      </c>
      <c r="F40" s="33"/>
      <c r="G40" s="41">
        <f t="shared" ref="G40" si="43">SUM(E40*F40)</f>
        <v>0</v>
      </c>
      <c r="H40" s="34"/>
      <c r="I40" s="41">
        <f t="shared" ref="I40" si="44">SUM(E40*H40)</f>
        <v>0</v>
      </c>
      <c r="J40" s="34"/>
      <c r="K40" s="41">
        <f t="shared" ref="K40" si="45">SUM(E40*J40)</f>
        <v>0</v>
      </c>
      <c r="L40" s="34"/>
      <c r="M40" s="41">
        <f t="shared" ref="M40" si="46">SUM(E40*L40)</f>
        <v>0</v>
      </c>
      <c r="N40" s="34"/>
      <c r="O40" s="41">
        <f t="shared" ref="O40" si="47">SUM(E40*N40)</f>
        <v>0</v>
      </c>
      <c r="P40" s="34"/>
      <c r="Q40" s="34">
        <f t="shared" ref="Q40" si="48">SUM(E40*P40)</f>
        <v>0</v>
      </c>
      <c r="R40" s="34"/>
      <c r="S40" s="41">
        <f t="shared" si="28"/>
        <v>0</v>
      </c>
      <c r="T40" s="34"/>
      <c r="U40" s="34">
        <f t="shared" ref="U40" si="49">SUM(E40*T40)</f>
        <v>0</v>
      </c>
      <c r="V40" s="34"/>
      <c r="W40" s="41">
        <f t="shared" si="30"/>
        <v>0</v>
      </c>
      <c r="X40" s="34">
        <f t="shared" ref="X40:X52" si="50">SUM(H40+J40+L40+N40+P40+R40+T40+V40+F40)</f>
        <v>0</v>
      </c>
      <c r="Y40" s="41">
        <f t="shared" si="32"/>
        <v>0</v>
      </c>
      <c r="Z40" s="614"/>
      <c r="AA40" s="615"/>
      <c r="AB40" s="614"/>
      <c r="AC40" s="615"/>
      <c r="AD40" s="68"/>
      <c r="AE40" s="66"/>
      <c r="AF40" s="68"/>
      <c r="AG40" s="66"/>
    </row>
    <row r="41" spans="2:33" s="3" customFormat="1" x14ac:dyDescent="0.2">
      <c r="B41" s="27" t="s">
        <v>123</v>
      </c>
      <c r="C41" s="27" t="s">
        <v>25</v>
      </c>
      <c r="D41" s="31" t="s">
        <v>3</v>
      </c>
      <c r="E41" s="32">
        <v>100</v>
      </c>
      <c r="F41" s="33"/>
      <c r="G41" s="41">
        <f t="shared" si="41"/>
        <v>0</v>
      </c>
      <c r="H41" s="34">
        <v>2</v>
      </c>
      <c r="I41" s="41">
        <f t="shared" si="42"/>
        <v>200</v>
      </c>
      <c r="J41" s="34"/>
      <c r="K41" s="41">
        <f t="shared" si="24"/>
        <v>0</v>
      </c>
      <c r="L41" s="34">
        <v>0.75</v>
      </c>
      <c r="M41" s="41">
        <f t="shared" si="25"/>
        <v>75</v>
      </c>
      <c r="N41" s="34"/>
      <c r="O41" s="41">
        <f t="shared" si="26"/>
        <v>0</v>
      </c>
      <c r="P41" s="34"/>
      <c r="Q41" s="34">
        <f t="shared" si="27"/>
        <v>0</v>
      </c>
      <c r="R41" s="34"/>
      <c r="S41" s="41">
        <f t="shared" si="28"/>
        <v>0</v>
      </c>
      <c r="T41" s="34">
        <v>3.5</v>
      </c>
      <c r="U41" s="34">
        <f t="shared" si="29"/>
        <v>350</v>
      </c>
      <c r="V41" s="34">
        <v>3</v>
      </c>
      <c r="W41" s="41">
        <f t="shared" si="30"/>
        <v>300</v>
      </c>
      <c r="X41" s="34">
        <f t="shared" si="50"/>
        <v>9.25</v>
      </c>
      <c r="Y41" s="41">
        <f t="shared" si="32"/>
        <v>925</v>
      </c>
      <c r="Z41" s="614"/>
      <c r="AA41" s="615"/>
      <c r="AB41" s="614"/>
      <c r="AC41" s="615"/>
      <c r="AD41" s="68"/>
      <c r="AE41" s="66"/>
      <c r="AF41" s="68"/>
      <c r="AG41" s="66"/>
    </row>
    <row r="42" spans="2:33" s="3" customFormat="1" x14ac:dyDescent="0.2">
      <c r="B42" s="27" t="s">
        <v>124</v>
      </c>
      <c r="C42" s="27" t="s">
        <v>25</v>
      </c>
      <c r="D42" s="31" t="s">
        <v>3</v>
      </c>
      <c r="E42" s="32">
        <v>100</v>
      </c>
      <c r="F42" s="33"/>
      <c r="G42" s="41">
        <f>SUM(E42*F42)</f>
        <v>0</v>
      </c>
      <c r="H42" s="34">
        <v>6.5</v>
      </c>
      <c r="I42" s="41">
        <f>SUM(E42*H42)</f>
        <v>650</v>
      </c>
      <c r="J42" s="34"/>
      <c r="K42" s="41">
        <f t="shared" si="24"/>
        <v>0</v>
      </c>
      <c r="L42" s="34"/>
      <c r="M42" s="41">
        <f t="shared" si="25"/>
        <v>0</v>
      </c>
      <c r="N42" s="34"/>
      <c r="O42" s="41">
        <f t="shared" si="26"/>
        <v>0</v>
      </c>
      <c r="P42" s="34"/>
      <c r="Q42" s="34">
        <v>0</v>
      </c>
      <c r="R42" s="34">
        <v>1</v>
      </c>
      <c r="S42" s="41">
        <f t="shared" si="28"/>
        <v>100</v>
      </c>
      <c r="T42" s="34"/>
      <c r="U42" s="34">
        <v>0</v>
      </c>
      <c r="V42" s="34"/>
      <c r="W42" s="41">
        <f t="shared" si="30"/>
        <v>0</v>
      </c>
      <c r="X42" s="34">
        <f t="shared" si="50"/>
        <v>7.5</v>
      </c>
      <c r="Y42" s="41">
        <f t="shared" si="32"/>
        <v>750</v>
      </c>
      <c r="Z42" s="614"/>
      <c r="AA42" s="615"/>
      <c r="AB42" s="614"/>
      <c r="AC42" s="615"/>
      <c r="AD42" s="68"/>
      <c r="AE42" s="66"/>
      <c r="AF42" s="68"/>
      <c r="AG42" s="66"/>
    </row>
    <row r="43" spans="2:33" s="3" customFormat="1" x14ac:dyDescent="0.2">
      <c r="B43" s="27" t="s">
        <v>127</v>
      </c>
      <c r="C43" s="27" t="s">
        <v>25</v>
      </c>
      <c r="D43" s="31" t="s">
        <v>3</v>
      </c>
      <c r="E43" s="32">
        <v>100</v>
      </c>
      <c r="F43" s="33"/>
      <c r="G43" s="41">
        <f t="shared" si="41"/>
        <v>0</v>
      </c>
      <c r="H43" s="34"/>
      <c r="I43" s="41">
        <f t="shared" si="42"/>
        <v>0</v>
      </c>
      <c r="J43" s="34">
        <v>16.5</v>
      </c>
      <c r="K43" s="41">
        <f t="shared" si="24"/>
        <v>1650</v>
      </c>
      <c r="L43" s="34">
        <v>8.75</v>
      </c>
      <c r="M43" s="41">
        <f t="shared" si="25"/>
        <v>875</v>
      </c>
      <c r="N43" s="34">
        <v>110</v>
      </c>
      <c r="O43" s="41">
        <f t="shared" si="26"/>
        <v>11000</v>
      </c>
      <c r="P43" s="34"/>
      <c r="Q43" s="34">
        <v>0</v>
      </c>
      <c r="R43" s="34"/>
      <c r="S43" s="41">
        <f t="shared" si="28"/>
        <v>0</v>
      </c>
      <c r="T43" s="34"/>
      <c r="U43" s="34">
        <v>0</v>
      </c>
      <c r="V43" s="34">
        <v>9</v>
      </c>
      <c r="W43" s="41">
        <f t="shared" si="30"/>
        <v>900</v>
      </c>
      <c r="X43" s="34">
        <f t="shared" si="50"/>
        <v>144.25</v>
      </c>
      <c r="Y43" s="41">
        <f t="shared" si="32"/>
        <v>14425</v>
      </c>
      <c r="Z43" s="614"/>
      <c r="AA43" s="615"/>
      <c r="AB43" s="614"/>
      <c r="AC43" s="615"/>
      <c r="AD43" s="68"/>
      <c r="AE43" s="66"/>
      <c r="AF43" s="68"/>
      <c r="AG43" s="66"/>
    </row>
    <row r="44" spans="2:33" s="3" customFormat="1" x14ac:dyDescent="0.2">
      <c r="B44" s="27" t="s">
        <v>100</v>
      </c>
      <c r="C44" s="27" t="s">
        <v>25</v>
      </c>
      <c r="D44" s="31" t="s">
        <v>3</v>
      </c>
      <c r="E44" s="32">
        <v>100</v>
      </c>
      <c r="F44" s="33"/>
      <c r="G44" s="41">
        <f>SUM(E44*F44)</f>
        <v>0</v>
      </c>
      <c r="H44" s="34"/>
      <c r="I44" s="41">
        <f>SUM(E44*H44)</f>
        <v>0</v>
      </c>
      <c r="J44" s="34"/>
      <c r="K44" s="41">
        <f t="shared" ref="K44" si="51">SUM(E44*J44)</f>
        <v>0</v>
      </c>
      <c r="L44" s="34"/>
      <c r="M44" s="41">
        <f>SUM(E44*L44)</f>
        <v>0</v>
      </c>
      <c r="N44" s="34"/>
      <c r="O44" s="41">
        <f>SUM(E44*N44)</f>
        <v>0</v>
      </c>
      <c r="P44" s="34"/>
      <c r="Q44" s="34">
        <f>SUM(E44*P44)</f>
        <v>0</v>
      </c>
      <c r="R44" s="34">
        <v>0.5</v>
      </c>
      <c r="S44" s="41">
        <f t="shared" si="28"/>
        <v>50</v>
      </c>
      <c r="T44" s="34"/>
      <c r="U44" s="34">
        <f>SUM(E44*T44)</f>
        <v>0</v>
      </c>
      <c r="V44" s="34"/>
      <c r="W44" s="41">
        <f t="shared" si="30"/>
        <v>0</v>
      </c>
      <c r="X44" s="34">
        <f t="shared" si="50"/>
        <v>0.5</v>
      </c>
      <c r="Y44" s="41">
        <f t="shared" si="32"/>
        <v>50</v>
      </c>
      <c r="Z44" s="614"/>
      <c r="AA44" s="615"/>
      <c r="AB44" s="614"/>
      <c r="AC44" s="615"/>
      <c r="AD44" s="68"/>
      <c r="AE44" s="66"/>
      <c r="AF44" s="68"/>
      <c r="AG44" s="66"/>
    </row>
    <row r="45" spans="2:33" s="3" customFormat="1" x14ac:dyDescent="0.2">
      <c r="B45" s="27" t="s">
        <v>71</v>
      </c>
      <c r="C45" s="27" t="s">
        <v>25</v>
      </c>
      <c r="D45" s="31" t="s">
        <v>3</v>
      </c>
      <c r="E45" s="32">
        <v>100</v>
      </c>
      <c r="F45" s="33">
        <v>0.5</v>
      </c>
      <c r="G45" s="41">
        <f t="shared" si="41"/>
        <v>50</v>
      </c>
      <c r="H45" s="34"/>
      <c r="I45" s="41">
        <f t="shared" si="42"/>
        <v>0</v>
      </c>
      <c r="J45" s="34">
        <v>0.5</v>
      </c>
      <c r="K45" s="41">
        <f t="shared" si="24"/>
        <v>50</v>
      </c>
      <c r="L45" s="34"/>
      <c r="M45" s="41">
        <f t="shared" si="25"/>
        <v>0</v>
      </c>
      <c r="N45" s="34"/>
      <c r="O45" s="41">
        <f t="shared" si="26"/>
        <v>0</v>
      </c>
      <c r="P45" s="34">
        <v>0.75</v>
      </c>
      <c r="Q45" s="34">
        <f t="shared" ref="Q45:Q52" si="52">SUM(E45*P45)</f>
        <v>75</v>
      </c>
      <c r="R45" s="34"/>
      <c r="S45" s="41">
        <f t="shared" si="28"/>
        <v>0</v>
      </c>
      <c r="T45" s="34">
        <v>0.5</v>
      </c>
      <c r="U45" s="34">
        <f t="shared" ref="U45:U52" si="53">SUM(E45*T45)</f>
        <v>50</v>
      </c>
      <c r="V45" s="34"/>
      <c r="W45" s="41">
        <f t="shared" si="30"/>
        <v>0</v>
      </c>
      <c r="X45" s="34">
        <f t="shared" si="50"/>
        <v>2.25</v>
      </c>
      <c r="Y45" s="41">
        <f t="shared" si="32"/>
        <v>225</v>
      </c>
      <c r="Z45" s="614"/>
      <c r="AA45" s="615"/>
      <c r="AB45" s="614"/>
      <c r="AC45" s="615"/>
      <c r="AD45" s="68"/>
      <c r="AE45" s="66"/>
      <c r="AF45" s="68"/>
      <c r="AG45" s="66"/>
    </row>
    <row r="46" spans="2:33" s="3" customFormat="1" x14ac:dyDescent="0.2">
      <c r="B46" s="27" t="s">
        <v>76</v>
      </c>
      <c r="C46" s="27" t="s">
        <v>25</v>
      </c>
      <c r="D46" s="31" t="s">
        <v>3</v>
      </c>
      <c r="E46" s="32">
        <v>100</v>
      </c>
      <c r="F46" s="33">
        <v>2.25</v>
      </c>
      <c r="G46" s="41">
        <f t="shared" si="41"/>
        <v>225</v>
      </c>
      <c r="H46" s="34"/>
      <c r="I46" s="41">
        <f t="shared" si="42"/>
        <v>0</v>
      </c>
      <c r="J46" s="34"/>
      <c r="K46" s="41">
        <f t="shared" si="24"/>
        <v>0</v>
      </c>
      <c r="L46" s="34">
        <v>1</v>
      </c>
      <c r="M46" s="41">
        <f t="shared" si="25"/>
        <v>100</v>
      </c>
      <c r="N46" s="34"/>
      <c r="O46" s="41">
        <f t="shared" si="26"/>
        <v>0</v>
      </c>
      <c r="P46" s="34"/>
      <c r="Q46" s="34">
        <f t="shared" si="52"/>
        <v>0</v>
      </c>
      <c r="R46" s="34"/>
      <c r="S46" s="41">
        <f t="shared" si="28"/>
        <v>0</v>
      </c>
      <c r="T46" s="34"/>
      <c r="U46" s="34">
        <f t="shared" si="53"/>
        <v>0</v>
      </c>
      <c r="V46" s="34"/>
      <c r="W46" s="41">
        <f t="shared" si="30"/>
        <v>0</v>
      </c>
      <c r="X46" s="34">
        <f t="shared" si="50"/>
        <v>3.25</v>
      </c>
      <c r="Y46" s="41">
        <f t="shared" si="32"/>
        <v>325</v>
      </c>
      <c r="Z46" s="614"/>
      <c r="AA46" s="615"/>
      <c r="AB46" s="614"/>
      <c r="AC46" s="615"/>
      <c r="AD46" s="68"/>
      <c r="AE46" s="66"/>
      <c r="AF46" s="68"/>
      <c r="AG46" s="66"/>
    </row>
    <row r="47" spans="2:33" s="3" customFormat="1" x14ac:dyDescent="0.2">
      <c r="B47" s="27" t="s">
        <v>72</v>
      </c>
      <c r="C47" s="27" t="s">
        <v>25</v>
      </c>
      <c r="D47" s="31" t="s">
        <v>3</v>
      </c>
      <c r="E47" s="32">
        <v>100</v>
      </c>
      <c r="F47" s="33">
        <v>3.25</v>
      </c>
      <c r="G47" s="41">
        <f t="shared" si="41"/>
        <v>325</v>
      </c>
      <c r="H47" s="34">
        <v>1.75</v>
      </c>
      <c r="I47" s="41">
        <f t="shared" si="42"/>
        <v>175</v>
      </c>
      <c r="J47" s="34">
        <f>22+1</f>
        <v>23</v>
      </c>
      <c r="K47" s="41">
        <f t="shared" si="24"/>
        <v>2300</v>
      </c>
      <c r="L47" s="34">
        <v>0.75</v>
      </c>
      <c r="M47" s="41">
        <f t="shared" si="25"/>
        <v>75</v>
      </c>
      <c r="N47" s="34">
        <v>1.75</v>
      </c>
      <c r="O47" s="41">
        <f t="shared" si="26"/>
        <v>175</v>
      </c>
      <c r="P47" s="34">
        <v>10.75</v>
      </c>
      <c r="Q47" s="34">
        <f t="shared" si="52"/>
        <v>1075</v>
      </c>
      <c r="R47" s="34">
        <v>3</v>
      </c>
      <c r="S47" s="41">
        <f t="shared" si="28"/>
        <v>300</v>
      </c>
      <c r="T47" s="34">
        <v>30</v>
      </c>
      <c r="U47" s="34">
        <f t="shared" si="53"/>
        <v>3000</v>
      </c>
      <c r="V47" s="34">
        <v>23</v>
      </c>
      <c r="W47" s="41">
        <f t="shared" si="30"/>
        <v>2300</v>
      </c>
      <c r="X47" s="34">
        <f t="shared" si="50"/>
        <v>97.25</v>
      </c>
      <c r="Y47" s="41">
        <f t="shared" si="32"/>
        <v>9725</v>
      </c>
      <c r="Z47" s="614"/>
      <c r="AA47" s="615"/>
      <c r="AB47" s="614"/>
      <c r="AC47" s="615"/>
      <c r="AD47" s="68"/>
      <c r="AE47" s="66"/>
      <c r="AF47" s="68"/>
      <c r="AG47" s="66"/>
    </row>
    <row r="48" spans="2:33" s="3" customFormat="1" x14ac:dyDescent="0.2">
      <c r="B48" s="27" t="s">
        <v>143</v>
      </c>
      <c r="C48" s="27" t="s">
        <v>25</v>
      </c>
      <c r="D48" s="28" t="s">
        <v>9</v>
      </c>
      <c r="E48" s="32">
        <v>75</v>
      </c>
      <c r="F48" s="33"/>
      <c r="G48" s="41">
        <f t="shared" ref="G48" si="54">SUM(E48*F48)</f>
        <v>0</v>
      </c>
      <c r="H48" s="34"/>
      <c r="I48" s="41">
        <f t="shared" si="42"/>
        <v>0</v>
      </c>
      <c r="J48" s="34"/>
      <c r="K48" s="41">
        <f t="shared" si="24"/>
        <v>0</v>
      </c>
      <c r="L48" s="34"/>
      <c r="M48" s="41">
        <f t="shared" si="25"/>
        <v>0</v>
      </c>
      <c r="N48" s="34"/>
      <c r="O48" s="41">
        <f t="shared" si="26"/>
        <v>0</v>
      </c>
      <c r="P48" s="34"/>
      <c r="Q48" s="34">
        <f t="shared" ref="Q48" si="55">SUM(E48*P48)</f>
        <v>0</v>
      </c>
      <c r="R48" s="34"/>
      <c r="S48" s="41">
        <f t="shared" si="28"/>
        <v>0</v>
      </c>
      <c r="T48" s="34">
        <v>11.5</v>
      </c>
      <c r="U48" s="34">
        <f t="shared" si="53"/>
        <v>862.5</v>
      </c>
      <c r="V48" s="34"/>
      <c r="W48" s="41">
        <f t="shared" si="30"/>
        <v>0</v>
      </c>
      <c r="X48" s="34">
        <f t="shared" si="50"/>
        <v>11.5</v>
      </c>
      <c r="Y48" s="41">
        <f t="shared" si="32"/>
        <v>862.5</v>
      </c>
      <c r="Z48" s="614"/>
      <c r="AA48" s="615"/>
      <c r="AB48" s="614"/>
      <c r="AC48" s="615"/>
      <c r="AD48" s="68"/>
      <c r="AE48" s="66"/>
      <c r="AF48" s="68"/>
      <c r="AG48" s="66"/>
    </row>
    <row r="49" spans="2:34" s="3" customFormat="1" x14ac:dyDescent="0.2">
      <c r="B49" s="27" t="s">
        <v>150</v>
      </c>
      <c r="C49" s="27" t="s">
        <v>25</v>
      </c>
      <c r="D49" s="28" t="s">
        <v>9</v>
      </c>
      <c r="E49" s="32">
        <v>75</v>
      </c>
      <c r="F49" s="33"/>
      <c r="G49" s="41">
        <f t="shared" ref="G49" si="56">SUM(E49*F49)</f>
        <v>0</v>
      </c>
      <c r="H49" s="34"/>
      <c r="I49" s="41">
        <f t="shared" ref="I49:I50" si="57">SUM(E49*H49)</f>
        <v>0</v>
      </c>
      <c r="J49" s="34"/>
      <c r="K49" s="41">
        <f t="shared" ref="K49:K50" si="58">SUM(E49*J49)</f>
        <v>0</v>
      </c>
      <c r="L49" s="34"/>
      <c r="M49" s="41">
        <f t="shared" ref="M49:M50" si="59">SUM(E49*L49)</f>
        <v>0</v>
      </c>
      <c r="N49" s="34"/>
      <c r="O49" s="41">
        <f t="shared" ref="O49:O50" si="60">SUM(E49*N49)</f>
        <v>0</v>
      </c>
      <c r="P49" s="34"/>
      <c r="Q49" s="34">
        <f t="shared" ref="Q49" si="61">SUM(E49*P49)</f>
        <v>0</v>
      </c>
      <c r="R49" s="34"/>
      <c r="S49" s="41">
        <f t="shared" ref="S49:S50" si="62">SUM(E49*R49)</f>
        <v>0</v>
      </c>
      <c r="T49" s="34"/>
      <c r="U49" s="34">
        <f t="shared" ref="U49:U50" si="63">SUM(E49*T49)</f>
        <v>0</v>
      </c>
      <c r="V49" s="34">
        <v>2.75</v>
      </c>
      <c r="W49" s="41">
        <f t="shared" si="30"/>
        <v>206.25</v>
      </c>
      <c r="X49" s="34">
        <f t="shared" si="50"/>
        <v>2.75</v>
      </c>
      <c r="Y49" s="41">
        <f t="shared" si="32"/>
        <v>206.25</v>
      </c>
      <c r="Z49" s="614"/>
      <c r="AA49" s="615"/>
      <c r="AB49" s="614"/>
      <c r="AC49" s="615"/>
      <c r="AD49" s="68"/>
      <c r="AE49" s="66"/>
      <c r="AF49" s="68"/>
      <c r="AG49" s="66"/>
    </row>
    <row r="50" spans="2:34" s="3" customFormat="1" x14ac:dyDescent="0.2">
      <c r="B50" s="27" t="s">
        <v>151</v>
      </c>
      <c r="C50" s="27" t="s">
        <v>25</v>
      </c>
      <c r="D50" s="31" t="s">
        <v>20</v>
      </c>
      <c r="E50" s="32">
        <v>35</v>
      </c>
      <c r="F50" s="33"/>
      <c r="G50" s="41">
        <f t="shared" ref="G50" si="64">SUM(E50*F50)</f>
        <v>0</v>
      </c>
      <c r="H50" s="34"/>
      <c r="I50" s="41">
        <f t="shared" si="57"/>
        <v>0</v>
      </c>
      <c r="J50" s="34"/>
      <c r="K50" s="41">
        <f t="shared" si="58"/>
        <v>0</v>
      </c>
      <c r="L50" s="34"/>
      <c r="M50" s="41">
        <f t="shared" si="59"/>
        <v>0</v>
      </c>
      <c r="N50" s="34"/>
      <c r="O50" s="41">
        <f t="shared" si="60"/>
        <v>0</v>
      </c>
      <c r="P50" s="34"/>
      <c r="Q50" s="34">
        <f t="shared" ref="Q50" si="65">SUM(E50*P50)</f>
        <v>0</v>
      </c>
      <c r="R50" s="34"/>
      <c r="S50" s="41">
        <f t="shared" si="62"/>
        <v>0</v>
      </c>
      <c r="T50" s="34"/>
      <c r="U50" s="34">
        <f t="shared" si="63"/>
        <v>0</v>
      </c>
      <c r="V50" s="34">
        <v>29.5</v>
      </c>
      <c r="W50" s="41">
        <f t="shared" si="30"/>
        <v>1032.5</v>
      </c>
      <c r="X50" s="34">
        <f t="shared" si="50"/>
        <v>29.5</v>
      </c>
      <c r="Y50" s="41">
        <f t="shared" si="32"/>
        <v>1032.5</v>
      </c>
      <c r="Z50" s="614"/>
      <c r="AA50" s="615"/>
      <c r="AB50" s="614"/>
      <c r="AC50" s="615"/>
      <c r="AD50" s="68"/>
      <c r="AE50" s="66"/>
      <c r="AF50" s="68"/>
      <c r="AG50" s="66"/>
    </row>
    <row r="51" spans="2:34" s="3" customFormat="1" x14ac:dyDescent="0.2">
      <c r="B51" s="27" t="s">
        <v>144</v>
      </c>
      <c r="C51" s="27" t="s">
        <v>25</v>
      </c>
      <c r="D51" s="31" t="s">
        <v>20</v>
      </c>
      <c r="E51" s="32">
        <v>35</v>
      </c>
      <c r="F51" s="33"/>
      <c r="G51" s="41">
        <f t="shared" si="41"/>
        <v>0</v>
      </c>
      <c r="H51" s="34"/>
      <c r="I51" s="41">
        <f t="shared" si="42"/>
        <v>0</v>
      </c>
      <c r="J51" s="34"/>
      <c r="K51" s="41">
        <f t="shared" si="24"/>
        <v>0</v>
      </c>
      <c r="L51" s="34"/>
      <c r="M51" s="41">
        <f t="shared" si="25"/>
        <v>0</v>
      </c>
      <c r="N51" s="34"/>
      <c r="O51" s="41">
        <f t="shared" si="26"/>
        <v>0</v>
      </c>
      <c r="P51" s="34"/>
      <c r="Q51" s="34">
        <f t="shared" si="52"/>
        <v>0</v>
      </c>
      <c r="R51" s="34"/>
      <c r="S51" s="41">
        <f t="shared" si="28"/>
        <v>0</v>
      </c>
      <c r="T51" s="34">
        <v>5.75</v>
      </c>
      <c r="U51" s="34">
        <f t="shared" si="53"/>
        <v>201.25</v>
      </c>
      <c r="V51" s="34"/>
      <c r="W51" s="41">
        <f t="shared" si="30"/>
        <v>0</v>
      </c>
      <c r="X51" s="34">
        <f t="shared" si="50"/>
        <v>5.75</v>
      </c>
      <c r="Y51" s="41">
        <f t="shared" si="32"/>
        <v>201.25</v>
      </c>
      <c r="Z51" s="614"/>
      <c r="AA51" s="615"/>
      <c r="AB51" s="614"/>
      <c r="AC51" s="615"/>
      <c r="AD51" s="68"/>
      <c r="AE51" s="66"/>
      <c r="AF51" s="68"/>
      <c r="AG51" s="66"/>
    </row>
    <row r="52" spans="2:34" s="3" customFormat="1" x14ac:dyDescent="0.2">
      <c r="B52" s="27" t="s">
        <v>99</v>
      </c>
      <c r="C52" s="27" t="s">
        <v>25</v>
      </c>
      <c r="D52" s="28" t="s">
        <v>20</v>
      </c>
      <c r="E52" s="32">
        <v>35</v>
      </c>
      <c r="F52" s="33">
        <v>44.25</v>
      </c>
      <c r="G52" s="41">
        <f t="shared" si="41"/>
        <v>1548.75</v>
      </c>
      <c r="H52" s="34"/>
      <c r="I52" s="41">
        <f t="shared" si="42"/>
        <v>0</v>
      </c>
      <c r="J52" s="34"/>
      <c r="K52" s="41">
        <f t="shared" si="24"/>
        <v>0</v>
      </c>
      <c r="L52" s="34"/>
      <c r="M52" s="41">
        <f t="shared" si="25"/>
        <v>0</v>
      </c>
      <c r="N52" s="34"/>
      <c r="O52" s="41">
        <f t="shared" si="26"/>
        <v>0</v>
      </c>
      <c r="P52" s="34"/>
      <c r="Q52" s="34">
        <f t="shared" si="52"/>
        <v>0</v>
      </c>
      <c r="R52" s="34"/>
      <c r="S52" s="41">
        <f t="shared" si="28"/>
        <v>0</v>
      </c>
      <c r="T52" s="34"/>
      <c r="U52" s="34">
        <f t="shared" si="53"/>
        <v>0</v>
      </c>
      <c r="V52" s="34"/>
      <c r="W52" s="41">
        <f t="shared" si="30"/>
        <v>0</v>
      </c>
      <c r="X52" s="34">
        <f t="shared" si="50"/>
        <v>44.25</v>
      </c>
      <c r="Y52" s="41">
        <f t="shared" si="32"/>
        <v>1548.75</v>
      </c>
      <c r="Z52" s="614"/>
      <c r="AA52" s="615"/>
      <c r="AB52" s="614"/>
      <c r="AC52" s="615"/>
      <c r="AD52" s="68"/>
      <c r="AE52" s="66"/>
      <c r="AF52" s="68"/>
      <c r="AG52" s="66"/>
    </row>
    <row r="53" spans="2:34" s="3" customFormat="1" x14ac:dyDescent="0.2">
      <c r="B53" s="20" t="s">
        <v>4</v>
      </c>
      <c r="C53" s="20" t="s">
        <v>25</v>
      </c>
      <c r="D53" s="20"/>
      <c r="E53" s="21"/>
      <c r="F53" s="19">
        <f t="shared" ref="F53:Y53" si="66">SUM(F30:F52)</f>
        <v>327.75</v>
      </c>
      <c r="G53" s="19">
        <f t="shared" si="66"/>
        <v>36313.75</v>
      </c>
      <c r="H53" s="19">
        <f t="shared" si="66"/>
        <v>233.5</v>
      </c>
      <c r="I53" s="19">
        <f t="shared" si="66"/>
        <v>26820</v>
      </c>
      <c r="J53" s="19">
        <f t="shared" si="66"/>
        <v>114</v>
      </c>
      <c r="K53" s="19">
        <f t="shared" si="66"/>
        <v>13540</v>
      </c>
      <c r="L53" s="19">
        <f t="shared" si="66"/>
        <v>168.5</v>
      </c>
      <c r="M53" s="19">
        <f t="shared" si="66"/>
        <v>20811.5</v>
      </c>
      <c r="N53" s="19">
        <f t="shared" si="66"/>
        <v>381.5</v>
      </c>
      <c r="O53" s="19">
        <f t="shared" si="66"/>
        <v>42056</v>
      </c>
      <c r="P53" s="19">
        <f t="shared" si="66"/>
        <v>114.75</v>
      </c>
      <c r="Q53" s="19">
        <f t="shared" si="66"/>
        <v>12966</v>
      </c>
      <c r="R53" s="19">
        <f t="shared" si="66"/>
        <v>249</v>
      </c>
      <c r="S53" s="19">
        <f t="shared" si="66"/>
        <v>31568.5</v>
      </c>
      <c r="T53" s="19">
        <f t="shared" si="66"/>
        <v>187.75</v>
      </c>
      <c r="U53" s="19">
        <f t="shared" si="66"/>
        <v>22905.75</v>
      </c>
      <c r="V53" s="19">
        <f t="shared" si="66"/>
        <v>176.25</v>
      </c>
      <c r="W53" s="19">
        <f t="shared" si="66"/>
        <v>19987.75</v>
      </c>
      <c r="X53" s="64">
        <f t="shared" si="66"/>
        <v>1953</v>
      </c>
      <c r="Y53" s="64">
        <f t="shared" si="66"/>
        <v>226969.25</v>
      </c>
      <c r="Z53" s="621">
        <v>200</v>
      </c>
      <c r="AA53" s="617">
        <f>Z53*AH4</f>
        <v>17866</v>
      </c>
      <c r="AB53" s="621">
        <v>200</v>
      </c>
      <c r="AC53" s="617">
        <f>AB53*AH4</f>
        <v>17866</v>
      </c>
      <c r="AD53" s="616">
        <f>X53+Z53+AB53</f>
        <v>2353</v>
      </c>
      <c r="AE53" s="626">
        <f>AD53*AH4</f>
        <v>210193.49</v>
      </c>
      <c r="AF53" s="616">
        <f>942+80</f>
        <v>1022</v>
      </c>
      <c r="AG53" s="626">
        <f>AF53*AH4</f>
        <v>91295.26</v>
      </c>
      <c r="AH53" s="630">
        <f>(1/AG53)*AE53</f>
        <v>2.3023483365949118</v>
      </c>
    </row>
    <row r="54" spans="2:34" s="3" customFormat="1" x14ac:dyDescent="0.2">
      <c r="B54" s="35"/>
      <c r="C54" s="35"/>
      <c r="D54" s="36"/>
      <c r="E54" s="37"/>
      <c r="F54" s="37"/>
      <c r="G54" s="37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9"/>
      <c r="Y54" s="39"/>
      <c r="Z54" s="618"/>
      <c r="AA54" s="618"/>
      <c r="AB54" s="618"/>
      <c r="AC54" s="618"/>
    </row>
    <row r="55" spans="2:34" s="3" customFormat="1" ht="12.75" x14ac:dyDescent="0.2">
      <c r="B55" s="25" t="s">
        <v>63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632" t="s">
        <v>310</v>
      </c>
      <c r="AA55" s="633"/>
      <c r="AB55" s="632" t="s">
        <v>311</v>
      </c>
      <c r="AC55" s="633"/>
      <c r="AD55" s="634" t="s">
        <v>154</v>
      </c>
      <c r="AE55" s="635"/>
      <c r="AF55" s="634" t="s">
        <v>152</v>
      </c>
      <c r="AG55" s="635"/>
    </row>
    <row r="56" spans="2:34" s="3" customFormat="1" ht="24" x14ac:dyDescent="0.2">
      <c r="B56" s="27" t="s">
        <v>0</v>
      </c>
      <c r="C56" s="27" t="s">
        <v>10</v>
      </c>
      <c r="D56" s="28" t="s">
        <v>1</v>
      </c>
      <c r="E56" s="28" t="s">
        <v>7</v>
      </c>
      <c r="F56" s="28" t="s">
        <v>121</v>
      </c>
      <c r="G56" s="28" t="s">
        <v>122</v>
      </c>
      <c r="H56" s="29" t="s">
        <v>34</v>
      </c>
      <c r="I56" s="29" t="s">
        <v>35</v>
      </c>
      <c r="J56" s="29" t="s">
        <v>36</v>
      </c>
      <c r="K56" s="29" t="s">
        <v>37</v>
      </c>
      <c r="L56" s="29" t="s">
        <v>38</v>
      </c>
      <c r="M56" s="29" t="s">
        <v>39</v>
      </c>
      <c r="N56" s="29" t="s">
        <v>40</v>
      </c>
      <c r="O56" s="29" t="s">
        <v>41</v>
      </c>
      <c r="P56" s="29" t="s">
        <v>42</v>
      </c>
      <c r="Q56" s="29" t="s">
        <v>43</v>
      </c>
      <c r="R56" s="29" t="s">
        <v>44</v>
      </c>
      <c r="S56" s="29" t="s">
        <v>45</v>
      </c>
      <c r="T56" s="29" t="s">
        <v>46</v>
      </c>
      <c r="U56" s="29" t="s">
        <v>47</v>
      </c>
      <c r="V56" s="29" t="s">
        <v>48</v>
      </c>
      <c r="W56" s="29" t="s">
        <v>49</v>
      </c>
      <c r="X56" s="30" t="s">
        <v>5</v>
      </c>
      <c r="Y56" s="30" t="s">
        <v>6</v>
      </c>
      <c r="Z56" s="622" t="s">
        <v>5</v>
      </c>
      <c r="AA56" s="623" t="s">
        <v>6</v>
      </c>
      <c r="AB56" s="622" t="s">
        <v>5</v>
      </c>
      <c r="AC56" s="623" t="s">
        <v>6</v>
      </c>
      <c r="AD56" s="624" t="s">
        <v>5</v>
      </c>
      <c r="AE56" s="625" t="s">
        <v>6</v>
      </c>
      <c r="AF56" s="624" t="s">
        <v>5</v>
      </c>
      <c r="AG56" s="625" t="s">
        <v>6</v>
      </c>
    </row>
    <row r="57" spans="2:34" s="3" customFormat="1" x14ac:dyDescent="0.2">
      <c r="B57" s="27" t="s">
        <v>52</v>
      </c>
      <c r="C57" s="27" t="s">
        <v>53</v>
      </c>
      <c r="D57" s="31" t="s">
        <v>2</v>
      </c>
      <c r="E57" s="32">
        <v>140</v>
      </c>
      <c r="F57" s="34">
        <v>32.75</v>
      </c>
      <c r="G57" s="34">
        <f>SUM(E57*F57)</f>
        <v>4585</v>
      </c>
      <c r="H57" s="34">
        <v>1.25</v>
      </c>
      <c r="I57" s="34">
        <f>SUM(E57*H57)</f>
        <v>175</v>
      </c>
      <c r="J57" s="34">
        <v>1</v>
      </c>
      <c r="K57" s="34">
        <f t="shared" ref="K57:K68" si="67">SUM(E57*J57)</f>
        <v>140</v>
      </c>
      <c r="L57" s="34">
        <v>2</v>
      </c>
      <c r="M57" s="34">
        <f t="shared" ref="M57:M68" si="68">SUM(E57*L57)</f>
        <v>280</v>
      </c>
      <c r="N57" s="34">
        <v>0.25</v>
      </c>
      <c r="O57" s="34">
        <f t="shared" ref="O57:O68" si="69">SUM(E57*N57)</f>
        <v>35</v>
      </c>
      <c r="P57" s="34">
        <v>0.75</v>
      </c>
      <c r="Q57" s="34">
        <f t="shared" ref="Q57:Q68" si="70">SUM(E57*P57)</f>
        <v>105</v>
      </c>
      <c r="R57" s="34">
        <v>3.5</v>
      </c>
      <c r="S57" s="34">
        <f t="shared" ref="S57:S68" si="71">SUM(E57*R57)</f>
        <v>490</v>
      </c>
      <c r="T57" s="34"/>
      <c r="U57" s="34">
        <f t="shared" ref="U57:U68" si="72">SUM(E57*T57)</f>
        <v>0</v>
      </c>
      <c r="V57" s="34"/>
      <c r="W57" s="34">
        <f t="shared" ref="W57:W68" si="73">SUM(E57*V57)</f>
        <v>0</v>
      </c>
      <c r="X57" s="34">
        <f t="shared" ref="X57:X68" si="74">SUM(H57+J57+L57+N57+P57+R57+T57+V57+F57)</f>
        <v>41.5</v>
      </c>
      <c r="Y57" s="34">
        <f t="shared" ref="Y57:Y68" si="75">ROUND(X57*E57*2,1)/2</f>
        <v>5810</v>
      </c>
      <c r="Z57" s="614"/>
      <c r="AA57" s="615"/>
      <c r="AB57" s="614"/>
      <c r="AC57" s="615"/>
      <c r="AD57" s="68"/>
      <c r="AE57" s="66"/>
      <c r="AF57" s="68"/>
      <c r="AG57" s="66"/>
    </row>
    <row r="58" spans="2:34" s="3" customFormat="1" x14ac:dyDescent="0.2">
      <c r="B58" s="27" t="s">
        <v>57</v>
      </c>
      <c r="C58" s="27" t="s">
        <v>53</v>
      </c>
      <c r="D58" s="31" t="s">
        <v>8</v>
      </c>
      <c r="E58" s="32">
        <v>118</v>
      </c>
      <c r="F58" s="34">
        <v>197.25</v>
      </c>
      <c r="G58" s="34">
        <f t="shared" ref="G58:G68" si="76">SUM(E58*F58)</f>
        <v>23275.5</v>
      </c>
      <c r="H58" s="34">
        <v>31.75</v>
      </c>
      <c r="I58" s="34">
        <f t="shared" ref="I58:I68" si="77">SUM(E58*H58)</f>
        <v>3746.5</v>
      </c>
      <c r="J58" s="34">
        <v>29.5</v>
      </c>
      <c r="K58" s="34">
        <f t="shared" si="67"/>
        <v>3481</v>
      </c>
      <c r="L58" s="34">
        <v>49.5</v>
      </c>
      <c r="M58" s="34">
        <f t="shared" si="68"/>
        <v>5841</v>
      </c>
      <c r="N58" s="34">
        <v>7.25</v>
      </c>
      <c r="O58" s="34">
        <f t="shared" si="69"/>
        <v>855.5</v>
      </c>
      <c r="P58" s="34">
        <v>33</v>
      </c>
      <c r="Q58" s="34">
        <f t="shared" si="70"/>
        <v>3894</v>
      </c>
      <c r="R58" s="34">
        <v>68.25</v>
      </c>
      <c r="S58" s="34">
        <f t="shared" si="71"/>
        <v>8053.5</v>
      </c>
      <c r="T58" s="34">
        <v>75</v>
      </c>
      <c r="U58" s="34">
        <f t="shared" si="72"/>
        <v>8850</v>
      </c>
      <c r="V58" s="34">
        <v>81.75</v>
      </c>
      <c r="W58" s="34">
        <f t="shared" si="73"/>
        <v>9646.5</v>
      </c>
      <c r="X58" s="34">
        <f t="shared" si="74"/>
        <v>573.25</v>
      </c>
      <c r="Y58" s="34">
        <f t="shared" si="75"/>
        <v>67643.5</v>
      </c>
      <c r="Z58" s="614"/>
      <c r="AA58" s="615"/>
      <c r="AB58" s="614"/>
      <c r="AC58" s="615"/>
      <c r="AD58" s="68"/>
      <c r="AE58" s="66"/>
      <c r="AF58" s="68"/>
      <c r="AG58" s="66"/>
    </row>
    <row r="59" spans="2:34" s="3" customFormat="1" x14ac:dyDescent="0.2">
      <c r="B59" s="27" t="s">
        <v>136</v>
      </c>
      <c r="C59" s="27" t="s">
        <v>53</v>
      </c>
      <c r="D59" s="31" t="s">
        <v>8</v>
      </c>
      <c r="E59" s="32">
        <v>118</v>
      </c>
      <c r="F59" s="34"/>
      <c r="G59" s="34">
        <f t="shared" ref="G59" si="78">SUM(E59*F59)</f>
        <v>0</v>
      </c>
      <c r="H59" s="34"/>
      <c r="I59" s="34">
        <f t="shared" ref="I59" si="79">SUM(E59*H59)</f>
        <v>0</v>
      </c>
      <c r="J59" s="34"/>
      <c r="K59" s="34">
        <f t="shared" ref="K59" si="80">SUM(E59*J59)</f>
        <v>0</v>
      </c>
      <c r="L59" s="34"/>
      <c r="M59" s="34">
        <f t="shared" ref="M59" si="81">SUM(E59*L59)</f>
        <v>0</v>
      </c>
      <c r="N59" s="34"/>
      <c r="O59" s="34">
        <f t="shared" ref="O59" si="82">SUM(E59*N59)</f>
        <v>0</v>
      </c>
      <c r="P59" s="34"/>
      <c r="Q59" s="34">
        <f t="shared" ref="Q59" si="83">SUM(E59*P59)</f>
        <v>0</v>
      </c>
      <c r="R59" s="34">
        <v>0.25</v>
      </c>
      <c r="S59" s="34">
        <f>SUM(E59*R59)</f>
        <v>29.5</v>
      </c>
      <c r="T59" s="34"/>
      <c r="U59" s="34">
        <f t="shared" ref="U59" si="84">SUM(E59*T59)</f>
        <v>0</v>
      </c>
      <c r="V59" s="34"/>
      <c r="W59" s="34">
        <f t="shared" si="73"/>
        <v>0</v>
      </c>
      <c r="X59" s="34">
        <f t="shared" si="74"/>
        <v>0.25</v>
      </c>
      <c r="Y59" s="34">
        <f t="shared" si="75"/>
        <v>29.5</v>
      </c>
      <c r="Z59" s="614"/>
      <c r="AA59" s="615"/>
      <c r="AB59" s="614"/>
      <c r="AC59" s="615"/>
      <c r="AD59" s="68"/>
      <c r="AE59" s="66"/>
      <c r="AF59" s="68"/>
      <c r="AG59" s="66"/>
    </row>
    <row r="60" spans="2:34" s="3" customFormat="1" x14ac:dyDescent="0.2">
      <c r="B60" s="27" t="s">
        <v>64</v>
      </c>
      <c r="C60" s="27" t="s">
        <v>53</v>
      </c>
      <c r="D60" s="31" t="s">
        <v>3</v>
      </c>
      <c r="E60" s="32">
        <v>100</v>
      </c>
      <c r="F60" s="34">
        <v>1.25</v>
      </c>
      <c r="G60" s="34">
        <f t="shared" si="76"/>
        <v>125</v>
      </c>
      <c r="H60" s="34"/>
      <c r="I60" s="34">
        <f t="shared" si="77"/>
        <v>0</v>
      </c>
      <c r="J60" s="34"/>
      <c r="K60" s="34">
        <f t="shared" si="67"/>
        <v>0</v>
      </c>
      <c r="L60" s="34"/>
      <c r="M60" s="34">
        <f t="shared" si="68"/>
        <v>0</v>
      </c>
      <c r="N60" s="34"/>
      <c r="O60" s="34">
        <f t="shared" si="69"/>
        <v>0</v>
      </c>
      <c r="P60" s="34"/>
      <c r="Q60" s="34">
        <f t="shared" si="70"/>
        <v>0</v>
      </c>
      <c r="R60" s="34"/>
      <c r="S60" s="34">
        <f t="shared" si="71"/>
        <v>0</v>
      </c>
      <c r="T60" s="34"/>
      <c r="U60" s="34">
        <f t="shared" si="72"/>
        <v>0</v>
      </c>
      <c r="V60" s="34"/>
      <c r="W60" s="34">
        <f t="shared" si="73"/>
        <v>0</v>
      </c>
      <c r="X60" s="34">
        <f t="shared" si="74"/>
        <v>1.25</v>
      </c>
      <c r="Y60" s="34">
        <f t="shared" si="75"/>
        <v>125</v>
      </c>
      <c r="Z60" s="614"/>
      <c r="AA60" s="615"/>
      <c r="AB60" s="614"/>
      <c r="AC60" s="615"/>
      <c r="AD60" s="68"/>
      <c r="AE60" s="66"/>
      <c r="AF60" s="68"/>
      <c r="AG60" s="66"/>
    </row>
    <row r="61" spans="2:34" s="3" customFormat="1" x14ac:dyDescent="0.2">
      <c r="B61" s="27" t="s">
        <v>23</v>
      </c>
      <c r="C61" s="27" t="s">
        <v>53</v>
      </c>
      <c r="D61" s="31" t="s">
        <v>3</v>
      </c>
      <c r="E61" s="32">
        <v>100</v>
      </c>
      <c r="F61" s="34">
        <v>49</v>
      </c>
      <c r="G61" s="34">
        <f>SUM(E61*F61)</f>
        <v>4900</v>
      </c>
      <c r="H61" s="34">
        <v>67</v>
      </c>
      <c r="I61" s="34">
        <f>SUM(E61*H61)</f>
        <v>6700</v>
      </c>
      <c r="J61" s="34">
        <v>55</v>
      </c>
      <c r="K61" s="34">
        <f t="shared" si="67"/>
        <v>5500</v>
      </c>
      <c r="L61" s="34">
        <v>59</v>
      </c>
      <c r="M61" s="34">
        <f>SUM(E61*L61)</f>
        <v>5900</v>
      </c>
      <c r="N61" s="34">
        <v>48.5</v>
      </c>
      <c r="O61" s="34">
        <f>SUM(E61*N61)</f>
        <v>4850</v>
      </c>
      <c r="P61" s="34"/>
      <c r="Q61" s="34">
        <f>SUM(E61*P61)</f>
        <v>0</v>
      </c>
      <c r="R61" s="34"/>
      <c r="S61" s="34">
        <f t="shared" si="71"/>
        <v>0</v>
      </c>
      <c r="T61" s="34"/>
      <c r="U61" s="34">
        <f>SUM(E61*T61)</f>
        <v>0</v>
      </c>
      <c r="V61" s="34">
        <v>81.5</v>
      </c>
      <c r="W61" s="34">
        <f t="shared" si="73"/>
        <v>8150</v>
      </c>
      <c r="X61" s="34">
        <f t="shared" si="74"/>
        <v>360</v>
      </c>
      <c r="Y61" s="34">
        <f t="shared" si="75"/>
        <v>36000</v>
      </c>
      <c r="Z61" s="614"/>
      <c r="AA61" s="615"/>
      <c r="AB61" s="614"/>
      <c r="AC61" s="615"/>
      <c r="AD61" s="68"/>
      <c r="AE61" s="66"/>
      <c r="AF61" s="68"/>
      <c r="AG61" s="66"/>
    </row>
    <row r="62" spans="2:34" s="3" customFormat="1" x14ac:dyDescent="0.2">
      <c r="B62" s="27" t="s">
        <v>128</v>
      </c>
      <c r="C62" s="27" t="s">
        <v>53</v>
      </c>
      <c r="D62" s="31" t="s">
        <v>3</v>
      </c>
      <c r="E62" s="32">
        <v>100</v>
      </c>
      <c r="F62" s="34"/>
      <c r="G62" s="34">
        <f t="shared" si="76"/>
        <v>0</v>
      </c>
      <c r="H62" s="34"/>
      <c r="I62" s="34">
        <f t="shared" si="77"/>
        <v>0</v>
      </c>
      <c r="J62" s="34">
        <v>11.75</v>
      </c>
      <c r="K62" s="34">
        <f t="shared" si="67"/>
        <v>1175</v>
      </c>
      <c r="L62" s="34">
        <v>3.5</v>
      </c>
      <c r="M62" s="34">
        <f t="shared" si="68"/>
        <v>350</v>
      </c>
      <c r="N62" s="34"/>
      <c r="O62" s="34">
        <f t="shared" si="69"/>
        <v>0</v>
      </c>
      <c r="P62" s="34"/>
      <c r="Q62" s="34">
        <f t="shared" si="70"/>
        <v>0</v>
      </c>
      <c r="R62" s="34"/>
      <c r="S62" s="34">
        <f t="shared" si="71"/>
        <v>0</v>
      </c>
      <c r="T62" s="34"/>
      <c r="U62" s="34">
        <f t="shared" si="72"/>
        <v>0</v>
      </c>
      <c r="V62" s="34"/>
      <c r="W62" s="34">
        <f t="shared" si="73"/>
        <v>0</v>
      </c>
      <c r="X62" s="34">
        <f t="shared" si="74"/>
        <v>15.25</v>
      </c>
      <c r="Y62" s="34">
        <f t="shared" si="75"/>
        <v>1525</v>
      </c>
      <c r="Z62" s="614"/>
      <c r="AA62" s="615"/>
      <c r="AB62" s="614"/>
      <c r="AC62" s="615"/>
      <c r="AD62" s="68"/>
      <c r="AE62" s="66"/>
      <c r="AF62" s="68"/>
      <c r="AG62" s="66"/>
    </row>
    <row r="63" spans="2:34" s="3" customFormat="1" x14ac:dyDescent="0.2">
      <c r="B63" s="27" t="s">
        <v>66</v>
      </c>
      <c r="C63" s="27" t="s">
        <v>53</v>
      </c>
      <c r="D63" s="31" t="s">
        <v>3</v>
      </c>
      <c r="E63" s="32">
        <v>100</v>
      </c>
      <c r="F63" s="34">
        <v>0.75</v>
      </c>
      <c r="G63" s="34">
        <f t="shared" si="76"/>
        <v>75</v>
      </c>
      <c r="H63" s="34"/>
      <c r="I63" s="34">
        <f t="shared" si="77"/>
        <v>0</v>
      </c>
      <c r="J63" s="34"/>
      <c r="K63" s="34">
        <f t="shared" si="67"/>
        <v>0</v>
      </c>
      <c r="L63" s="34"/>
      <c r="M63" s="34">
        <f t="shared" si="68"/>
        <v>0</v>
      </c>
      <c r="N63" s="34"/>
      <c r="O63" s="34">
        <f t="shared" si="69"/>
        <v>0</v>
      </c>
      <c r="P63" s="34"/>
      <c r="Q63" s="34">
        <f t="shared" si="70"/>
        <v>0</v>
      </c>
      <c r="R63" s="34"/>
      <c r="S63" s="34">
        <f t="shared" si="71"/>
        <v>0</v>
      </c>
      <c r="T63" s="34"/>
      <c r="U63" s="34">
        <f t="shared" si="72"/>
        <v>0</v>
      </c>
      <c r="V63" s="34"/>
      <c r="W63" s="34">
        <f t="shared" si="73"/>
        <v>0</v>
      </c>
      <c r="X63" s="34">
        <f t="shared" si="74"/>
        <v>0.75</v>
      </c>
      <c r="Y63" s="34">
        <f t="shared" si="75"/>
        <v>75</v>
      </c>
      <c r="Z63" s="614"/>
      <c r="AA63" s="615"/>
      <c r="AB63" s="614"/>
      <c r="AC63" s="615"/>
      <c r="AD63" s="68"/>
      <c r="AE63" s="66"/>
      <c r="AF63" s="68"/>
      <c r="AG63" s="66"/>
    </row>
    <row r="64" spans="2:34" s="3" customFormat="1" x14ac:dyDescent="0.2">
      <c r="B64" s="27" t="s">
        <v>106</v>
      </c>
      <c r="C64" s="27" t="s">
        <v>53</v>
      </c>
      <c r="D64" s="31" t="s">
        <v>3</v>
      </c>
      <c r="E64" s="32">
        <v>100</v>
      </c>
      <c r="F64" s="34">
        <v>0.5</v>
      </c>
      <c r="G64" s="34">
        <f t="shared" si="76"/>
        <v>50</v>
      </c>
      <c r="H64" s="34">
        <v>1</v>
      </c>
      <c r="I64" s="34">
        <f t="shared" si="77"/>
        <v>100</v>
      </c>
      <c r="J64" s="34">
        <v>0.5</v>
      </c>
      <c r="K64" s="34">
        <f t="shared" si="67"/>
        <v>50</v>
      </c>
      <c r="L64" s="34"/>
      <c r="M64" s="34">
        <f t="shared" si="68"/>
        <v>0</v>
      </c>
      <c r="N64" s="34">
        <v>2</v>
      </c>
      <c r="O64" s="34">
        <f t="shared" si="69"/>
        <v>200</v>
      </c>
      <c r="P64" s="34">
        <v>0.75</v>
      </c>
      <c r="Q64" s="34">
        <f t="shared" si="70"/>
        <v>75</v>
      </c>
      <c r="R64" s="34">
        <v>0.75</v>
      </c>
      <c r="S64" s="34">
        <f t="shared" si="71"/>
        <v>75</v>
      </c>
      <c r="T64" s="34">
        <v>0.75</v>
      </c>
      <c r="U64" s="34">
        <f t="shared" si="72"/>
        <v>75</v>
      </c>
      <c r="V64" s="34">
        <v>0.5</v>
      </c>
      <c r="W64" s="34">
        <f t="shared" si="73"/>
        <v>50</v>
      </c>
      <c r="X64" s="34">
        <f t="shared" si="74"/>
        <v>6.75</v>
      </c>
      <c r="Y64" s="34">
        <f t="shared" si="75"/>
        <v>675</v>
      </c>
      <c r="Z64" s="614"/>
      <c r="AA64" s="615"/>
      <c r="AB64" s="614"/>
      <c r="AC64" s="615"/>
      <c r="AD64" s="68"/>
      <c r="AE64" s="66"/>
      <c r="AF64" s="68"/>
      <c r="AG64" s="66"/>
    </row>
    <row r="65" spans="2:34" s="3" customFormat="1" x14ac:dyDescent="0.2">
      <c r="B65" s="27" t="s">
        <v>67</v>
      </c>
      <c r="C65" s="27" t="s">
        <v>53</v>
      </c>
      <c r="D65" s="31" t="s">
        <v>3</v>
      </c>
      <c r="E65" s="32">
        <v>100</v>
      </c>
      <c r="F65" s="34">
        <v>11</v>
      </c>
      <c r="G65" s="34">
        <f t="shared" si="76"/>
        <v>1100</v>
      </c>
      <c r="H65" s="34"/>
      <c r="I65" s="34">
        <f t="shared" si="77"/>
        <v>0</v>
      </c>
      <c r="J65" s="34"/>
      <c r="K65" s="34">
        <f t="shared" si="67"/>
        <v>0</v>
      </c>
      <c r="L65" s="34"/>
      <c r="M65" s="34">
        <f t="shared" si="68"/>
        <v>0</v>
      </c>
      <c r="N65" s="34"/>
      <c r="O65" s="34">
        <f t="shared" si="69"/>
        <v>0</v>
      </c>
      <c r="P65" s="34"/>
      <c r="Q65" s="34">
        <f t="shared" si="70"/>
        <v>0</v>
      </c>
      <c r="R65" s="34"/>
      <c r="S65" s="34">
        <f t="shared" si="71"/>
        <v>0</v>
      </c>
      <c r="T65" s="34"/>
      <c r="U65" s="34">
        <f t="shared" si="72"/>
        <v>0</v>
      </c>
      <c r="V65" s="34"/>
      <c r="W65" s="34">
        <f t="shared" si="73"/>
        <v>0</v>
      </c>
      <c r="X65" s="34">
        <f t="shared" si="74"/>
        <v>11</v>
      </c>
      <c r="Y65" s="34">
        <f t="shared" si="75"/>
        <v>1100</v>
      </c>
      <c r="Z65" s="614"/>
      <c r="AA65" s="615"/>
      <c r="AB65" s="614"/>
      <c r="AC65" s="615"/>
      <c r="AD65" s="68"/>
      <c r="AE65" s="66"/>
      <c r="AF65" s="68"/>
      <c r="AG65" s="66"/>
    </row>
    <row r="66" spans="2:34" s="3" customFormat="1" x14ac:dyDescent="0.2">
      <c r="B66" s="27" t="s">
        <v>116</v>
      </c>
      <c r="C66" s="27" t="s">
        <v>53</v>
      </c>
      <c r="D66" s="31" t="s">
        <v>9</v>
      </c>
      <c r="E66" s="32">
        <v>75</v>
      </c>
      <c r="F66" s="34">
        <v>3</v>
      </c>
      <c r="G66" s="34">
        <f t="shared" si="76"/>
        <v>225</v>
      </c>
      <c r="H66" s="34">
        <v>6.75</v>
      </c>
      <c r="I66" s="34">
        <f t="shared" si="77"/>
        <v>506.25</v>
      </c>
      <c r="J66" s="34">
        <v>5.25</v>
      </c>
      <c r="K66" s="34">
        <f t="shared" si="67"/>
        <v>393.75</v>
      </c>
      <c r="L66" s="34"/>
      <c r="M66" s="34">
        <f t="shared" si="68"/>
        <v>0</v>
      </c>
      <c r="N66" s="34">
        <v>3.5</v>
      </c>
      <c r="O66" s="34">
        <f t="shared" si="69"/>
        <v>262.5</v>
      </c>
      <c r="P66" s="34"/>
      <c r="Q66" s="34">
        <f t="shared" si="70"/>
        <v>0</v>
      </c>
      <c r="R66" s="34">
        <v>12</v>
      </c>
      <c r="S66" s="34">
        <f t="shared" si="71"/>
        <v>900</v>
      </c>
      <c r="T66" s="34">
        <v>17.5</v>
      </c>
      <c r="U66" s="34">
        <f t="shared" si="72"/>
        <v>1312.5</v>
      </c>
      <c r="V66" s="34">
        <v>1.5</v>
      </c>
      <c r="W66" s="34">
        <f t="shared" si="73"/>
        <v>112.5</v>
      </c>
      <c r="X66" s="34">
        <f t="shared" si="74"/>
        <v>49.5</v>
      </c>
      <c r="Y66" s="34">
        <f t="shared" si="75"/>
        <v>3712.5</v>
      </c>
      <c r="Z66" s="614"/>
      <c r="AA66" s="615"/>
      <c r="AB66" s="614"/>
      <c r="AC66" s="615"/>
      <c r="AD66" s="68"/>
      <c r="AE66" s="66"/>
      <c r="AF66" s="68"/>
      <c r="AG66" s="66"/>
    </row>
    <row r="67" spans="2:34" s="3" customFormat="1" x14ac:dyDescent="0.2">
      <c r="B67" s="27" t="s">
        <v>65</v>
      </c>
      <c r="C67" s="27" t="s">
        <v>53</v>
      </c>
      <c r="D67" s="31" t="s">
        <v>9</v>
      </c>
      <c r="E67" s="32">
        <v>75</v>
      </c>
      <c r="F67" s="34">
        <v>0.5</v>
      </c>
      <c r="G67" s="34">
        <f t="shared" si="76"/>
        <v>37.5</v>
      </c>
      <c r="H67" s="34"/>
      <c r="I67" s="34">
        <f t="shared" si="77"/>
        <v>0</v>
      </c>
      <c r="J67" s="34">
        <v>0.25</v>
      </c>
      <c r="K67" s="34">
        <f t="shared" si="67"/>
        <v>18.75</v>
      </c>
      <c r="L67" s="34"/>
      <c r="M67" s="34">
        <f t="shared" si="68"/>
        <v>0</v>
      </c>
      <c r="N67" s="34"/>
      <c r="O67" s="34">
        <f t="shared" si="69"/>
        <v>0</v>
      </c>
      <c r="P67" s="34"/>
      <c r="Q67" s="34">
        <f t="shared" si="70"/>
        <v>0</v>
      </c>
      <c r="R67" s="34">
        <v>0.75</v>
      </c>
      <c r="S67" s="34">
        <f t="shared" si="71"/>
        <v>56.25</v>
      </c>
      <c r="T67" s="34">
        <v>0.25</v>
      </c>
      <c r="U67" s="34">
        <f t="shared" si="72"/>
        <v>18.75</v>
      </c>
      <c r="V67" s="34">
        <v>6.25</v>
      </c>
      <c r="W67" s="34">
        <f t="shared" si="73"/>
        <v>468.75</v>
      </c>
      <c r="X67" s="34">
        <f t="shared" si="74"/>
        <v>8</v>
      </c>
      <c r="Y67" s="34">
        <f t="shared" si="75"/>
        <v>600</v>
      </c>
      <c r="Z67" s="614"/>
      <c r="AA67" s="615"/>
      <c r="AB67" s="614"/>
      <c r="AC67" s="615"/>
      <c r="AD67" s="68"/>
      <c r="AE67" s="66"/>
      <c r="AF67" s="68"/>
      <c r="AG67" s="66"/>
    </row>
    <row r="68" spans="2:34" s="3" customFormat="1" x14ac:dyDescent="0.2">
      <c r="B68" s="27" t="s">
        <v>61</v>
      </c>
      <c r="C68" s="27" t="s">
        <v>53</v>
      </c>
      <c r="D68" s="31" t="s">
        <v>9</v>
      </c>
      <c r="E68" s="32">
        <v>75</v>
      </c>
      <c r="F68" s="34">
        <v>3</v>
      </c>
      <c r="G68" s="34">
        <f t="shared" si="76"/>
        <v>225</v>
      </c>
      <c r="H68" s="34"/>
      <c r="I68" s="34">
        <f t="shared" si="77"/>
        <v>0</v>
      </c>
      <c r="J68" s="34"/>
      <c r="K68" s="34">
        <f t="shared" si="67"/>
        <v>0</v>
      </c>
      <c r="L68" s="34"/>
      <c r="M68" s="34">
        <f t="shared" si="68"/>
        <v>0</v>
      </c>
      <c r="N68" s="34"/>
      <c r="O68" s="34">
        <f t="shared" si="69"/>
        <v>0</v>
      </c>
      <c r="P68" s="34"/>
      <c r="Q68" s="34">
        <f t="shared" si="70"/>
        <v>0</v>
      </c>
      <c r="R68" s="34"/>
      <c r="S68" s="34">
        <f t="shared" si="71"/>
        <v>0</v>
      </c>
      <c r="T68" s="34"/>
      <c r="U68" s="34">
        <f t="shared" si="72"/>
        <v>0</v>
      </c>
      <c r="V68" s="34"/>
      <c r="W68" s="34">
        <f t="shared" si="73"/>
        <v>0</v>
      </c>
      <c r="X68" s="34">
        <f t="shared" si="74"/>
        <v>3</v>
      </c>
      <c r="Y68" s="34">
        <f t="shared" si="75"/>
        <v>225</v>
      </c>
      <c r="Z68" s="614"/>
      <c r="AA68" s="615"/>
      <c r="AB68" s="614"/>
      <c r="AC68" s="615"/>
      <c r="AD68" s="68"/>
      <c r="AE68" s="66"/>
      <c r="AF68" s="68"/>
      <c r="AG68" s="66"/>
    </row>
    <row r="69" spans="2:34" s="3" customFormat="1" x14ac:dyDescent="0.2">
      <c r="B69" s="20" t="s">
        <v>4</v>
      </c>
      <c r="C69" s="20" t="s">
        <v>53</v>
      </c>
      <c r="D69" s="18"/>
      <c r="E69" s="21"/>
      <c r="F69" s="19">
        <f t="shared" ref="F69:W69" si="85">SUM(F57:F68)</f>
        <v>299</v>
      </c>
      <c r="G69" s="19">
        <f t="shared" si="85"/>
        <v>34598</v>
      </c>
      <c r="H69" s="19">
        <f t="shared" si="85"/>
        <v>107.75</v>
      </c>
      <c r="I69" s="19">
        <f t="shared" si="85"/>
        <v>11227.75</v>
      </c>
      <c r="J69" s="19">
        <f t="shared" si="85"/>
        <v>103.25</v>
      </c>
      <c r="K69" s="19">
        <f t="shared" si="85"/>
        <v>10758.5</v>
      </c>
      <c r="L69" s="19">
        <f t="shared" si="85"/>
        <v>114</v>
      </c>
      <c r="M69" s="19">
        <f t="shared" si="85"/>
        <v>12371</v>
      </c>
      <c r="N69" s="19">
        <f t="shared" si="85"/>
        <v>61.5</v>
      </c>
      <c r="O69" s="19">
        <f t="shared" si="85"/>
        <v>6203</v>
      </c>
      <c r="P69" s="19">
        <f t="shared" si="85"/>
        <v>34.5</v>
      </c>
      <c r="Q69" s="19">
        <f t="shared" si="85"/>
        <v>4074</v>
      </c>
      <c r="R69" s="19">
        <f t="shared" si="85"/>
        <v>85.5</v>
      </c>
      <c r="S69" s="19">
        <f t="shared" si="85"/>
        <v>9604.25</v>
      </c>
      <c r="T69" s="19">
        <f t="shared" si="85"/>
        <v>93.5</v>
      </c>
      <c r="U69" s="19">
        <f t="shared" si="85"/>
        <v>10256.25</v>
      </c>
      <c r="V69" s="19">
        <f t="shared" si="85"/>
        <v>171.5</v>
      </c>
      <c r="W69" s="19">
        <f t="shared" si="85"/>
        <v>18427.75</v>
      </c>
      <c r="X69" s="64">
        <f>SUM(X57:X68)</f>
        <v>1070.5</v>
      </c>
      <c r="Y69" s="64">
        <f>SUM(Y57:Y68)</f>
        <v>117520.5</v>
      </c>
      <c r="Z69" s="621"/>
      <c r="AA69" s="617">
        <f>Z69*AH4</f>
        <v>0</v>
      </c>
      <c r="AB69" s="621"/>
      <c r="AC69" s="617">
        <f>AB69*AH4</f>
        <v>0</v>
      </c>
      <c r="AD69" s="616">
        <f>X69+Z69+AB69</f>
        <v>1070.5</v>
      </c>
      <c r="AE69" s="626">
        <f>AD69*AH4</f>
        <v>95627.764999999999</v>
      </c>
      <c r="AF69" s="616">
        <f>180+1433</f>
        <v>1613</v>
      </c>
      <c r="AG69" s="626">
        <f>AF69*AH4</f>
        <v>144089.29</v>
      </c>
      <c r="AH69" s="630">
        <f>(1/AG69)*AE69</f>
        <v>0.66367017978921261</v>
      </c>
    </row>
    <row r="70" spans="2:34" s="3" customFormat="1" x14ac:dyDescent="0.2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619"/>
      <c r="AA70" s="619"/>
      <c r="AB70" s="619"/>
      <c r="AC70" s="619"/>
      <c r="AD70" s="69"/>
      <c r="AE70" s="69"/>
      <c r="AF70" s="69"/>
      <c r="AG70" s="69"/>
    </row>
    <row r="71" spans="2:34" s="3" customFormat="1" x14ac:dyDescent="0.2">
      <c r="B71" s="35" t="s">
        <v>33</v>
      </c>
      <c r="C71" s="35" t="s">
        <v>82</v>
      </c>
      <c r="D71" s="36"/>
      <c r="E71" s="37"/>
      <c r="F71" s="42">
        <v>956.5</v>
      </c>
      <c r="G71" s="42">
        <v>108290</v>
      </c>
      <c r="H71" s="42">
        <v>407.5</v>
      </c>
      <c r="I71" s="42">
        <v>46113</v>
      </c>
      <c r="J71" s="42">
        <v>315</v>
      </c>
      <c r="K71" s="42">
        <v>35600</v>
      </c>
      <c r="L71" s="42">
        <v>321.5</v>
      </c>
      <c r="M71" s="42">
        <v>37857</v>
      </c>
      <c r="N71" s="42">
        <v>460.75</v>
      </c>
      <c r="O71" s="42">
        <v>50391</v>
      </c>
      <c r="P71" s="42">
        <v>173.75</v>
      </c>
      <c r="Q71" s="42">
        <v>19706</v>
      </c>
      <c r="R71" s="42">
        <v>364.25</v>
      </c>
      <c r="S71" s="42">
        <v>43990</v>
      </c>
      <c r="T71" s="42">
        <v>398.25</v>
      </c>
      <c r="U71" s="42">
        <v>40301</v>
      </c>
      <c r="V71" s="42">
        <v>408.75</v>
      </c>
      <c r="W71" s="42">
        <v>44970.5</v>
      </c>
      <c r="X71" s="42">
        <v>3837.5</v>
      </c>
      <c r="Y71" s="42">
        <v>428356</v>
      </c>
      <c r="Z71" s="616">
        <f>Z26+Z53+Z69</f>
        <v>200</v>
      </c>
      <c r="AA71" s="617">
        <f>Z71*AH4</f>
        <v>17866</v>
      </c>
      <c r="AB71" s="616">
        <f>AB26+AB53+AB69</f>
        <v>200</v>
      </c>
      <c r="AC71" s="617">
        <f>AB71*AH4</f>
        <v>17866</v>
      </c>
      <c r="AD71" s="616">
        <f>X71+Z71+AB71</f>
        <v>4237.5</v>
      </c>
      <c r="AE71" s="626">
        <f>AD71*AH4</f>
        <v>378535.875</v>
      </c>
      <c r="AF71" s="616">
        <f>AF26+AF53+AF69</f>
        <v>3903</v>
      </c>
      <c r="AG71" s="626">
        <f>AF71*AH4</f>
        <v>348654.99</v>
      </c>
      <c r="AH71" s="630">
        <f>(1/AG71)*AE71</f>
        <v>1.0857033051498848</v>
      </c>
    </row>
    <row r="72" spans="2:34" s="3" customFormat="1" x14ac:dyDescent="0.2">
      <c r="B72" s="22"/>
      <c r="C72" s="22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6"/>
      <c r="Z72" s="620"/>
      <c r="AA72" s="620"/>
      <c r="AB72" s="620"/>
      <c r="AC72" s="620"/>
      <c r="AD72" s="14"/>
      <c r="AE72" s="14"/>
      <c r="AF72" s="14"/>
      <c r="AG72" s="14"/>
    </row>
    <row r="73" spans="2:34" s="3" customFormat="1" ht="12.75" x14ac:dyDescent="0.2">
      <c r="B73" s="17" t="s">
        <v>73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32" t="s">
        <v>310</v>
      </c>
      <c r="AA73" s="633"/>
      <c r="AB73" s="632" t="s">
        <v>311</v>
      </c>
      <c r="AC73" s="633"/>
      <c r="AD73" s="634" t="s">
        <v>154</v>
      </c>
      <c r="AE73" s="635"/>
      <c r="AF73" s="634" t="s">
        <v>152</v>
      </c>
      <c r="AG73" s="635"/>
      <c r="AH73" s="631">
        <v>88.85</v>
      </c>
    </row>
    <row r="74" spans="2:34" s="3" customFormat="1" ht="24" x14ac:dyDescent="0.2">
      <c r="B74" s="7" t="s">
        <v>0</v>
      </c>
      <c r="C74" s="7" t="s">
        <v>10</v>
      </c>
      <c r="D74" s="8" t="s">
        <v>1</v>
      </c>
      <c r="E74" s="8" t="s">
        <v>7</v>
      </c>
      <c r="F74" s="8" t="s">
        <v>121</v>
      </c>
      <c r="G74" s="8" t="s">
        <v>122</v>
      </c>
      <c r="H74" s="9" t="s">
        <v>34</v>
      </c>
      <c r="I74" s="9" t="s">
        <v>35</v>
      </c>
      <c r="J74" s="9" t="s">
        <v>36</v>
      </c>
      <c r="K74" s="9" t="s">
        <v>37</v>
      </c>
      <c r="L74" s="9" t="s">
        <v>38</v>
      </c>
      <c r="M74" s="9" t="s">
        <v>39</v>
      </c>
      <c r="N74" s="9" t="s">
        <v>40</v>
      </c>
      <c r="O74" s="9" t="s">
        <v>41</v>
      </c>
      <c r="P74" s="9" t="s">
        <v>42</v>
      </c>
      <c r="Q74" s="9" t="s">
        <v>43</v>
      </c>
      <c r="R74" s="9" t="s">
        <v>44</v>
      </c>
      <c r="S74" s="9" t="s">
        <v>45</v>
      </c>
      <c r="T74" s="9" t="s">
        <v>46</v>
      </c>
      <c r="U74" s="9" t="s">
        <v>47</v>
      </c>
      <c r="V74" s="9" t="s">
        <v>48</v>
      </c>
      <c r="W74" s="9" t="s">
        <v>49</v>
      </c>
      <c r="X74" s="10" t="s">
        <v>5</v>
      </c>
      <c r="Y74" s="10" t="s">
        <v>6</v>
      </c>
      <c r="Z74" s="622" t="s">
        <v>5</v>
      </c>
      <c r="AA74" s="623" t="s">
        <v>6</v>
      </c>
      <c r="AB74" s="622" t="s">
        <v>5</v>
      </c>
      <c r="AC74" s="623" t="s">
        <v>6</v>
      </c>
      <c r="AD74" s="624" t="s">
        <v>5</v>
      </c>
      <c r="AE74" s="625" t="s">
        <v>6</v>
      </c>
      <c r="AF74" s="624" t="s">
        <v>5</v>
      </c>
      <c r="AG74" s="625" t="s">
        <v>6</v>
      </c>
    </row>
    <row r="75" spans="2:34" s="3" customFormat="1" x14ac:dyDescent="0.2">
      <c r="B75" s="11" t="s">
        <v>21</v>
      </c>
      <c r="C75" s="11" t="s">
        <v>22</v>
      </c>
      <c r="D75" s="11" t="s">
        <v>2</v>
      </c>
      <c r="E75" s="11">
        <v>140</v>
      </c>
      <c r="F75" s="12">
        <v>0</v>
      </c>
      <c r="G75" s="12">
        <v>0</v>
      </c>
      <c r="H75" s="12"/>
      <c r="I75" s="12">
        <f>SUM(H75*E75)</f>
        <v>0</v>
      </c>
      <c r="J75" s="12"/>
      <c r="K75" s="12">
        <f t="shared" ref="K75:K104" si="86">SUM(E75*J75)</f>
        <v>0</v>
      </c>
      <c r="L75" s="12"/>
      <c r="M75" s="12">
        <f t="shared" ref="M75:M104" si="87">SUM(E75*L75)</f>
        <v>0</v>
      </c>
      <c r="N75" s="12">
        <v>2</v>
      </c>
      <c r="O75" s="12">
        <f t="shared" ref="O75:O104" si="88">SUM(E75*N75)</f>
        <v>280</v>
      </c>
      <c r="P75" s="12"/>
      <c r="Q75" s="12">
        <f t="shared" ref="Q75:Q104" si="89">SUM(E75*P75)</f>
        <v>0</v>
      </c>
      <c r="R75" s="12"/>
      <c r="S75" s="12">
        <f t="shared" ref="S75:S104" si="90">SUM(E75*R75)</f>
        <v>0</v>
      </c>
      <c r="T75" s="12"/>
      <c r="U75" s="12">
        <f t="shared" ref="U75:U104" si="91">SUM(E75*T75)</f>
        <v>0</v>
      </c>
      <c r="V75" s="12">
        <v>11.5</v>
      </c>
      <c r="W75" s="12">
        <f t="shared" ref="W75:W104" si="92">SUM(E75*V75)</f>
        <v>1610</v>
      </c>
      <c r="X75" s="43">
        <f t="shared" ref="X75:X104" si="93">SUM(H75+J75+L75+N75+P75+R75+T75+V75+F75)</f>
        <v>13.5</v>
      </c>
      <c r="Y75" s="12">
        <f t="shared" ref="Y75:Y104" si="94">ROUND(X75*E75*2,1)/2</f>
        <v>1890</v>
      </c>
      <c r="Z75" s="614"/>
      <c r="AA75" s="615"/>
      <c r="AB75" s="614"/>
      <c r="AC75" s="615"/>
      <c r="AD75" s="68"/>
      <c r="AE75" s="66"/>
      <c r="AF75" s="68"/>
      <c r="AG75" s="66"/>
    </row>
    <row r="76" spans="2:34" s="3" customFormat="1" x14ac:dyDescent="0.2">
      <c r="B76" s="11" t="s">
        <v>103</v>
      </c>
      <c r="C76" s="11" t="s">
        <v>22</v>
      </c>
      <c r="D76" s="11" t="s">
        <v>2</v>
      </c>
      <c r="E76" s="11">
        <v>140</v>
      </c>
      <c r="F76" s="12">
        <v>139.75</v>
      </c>
      <c r="G76" s="12">
        <v>19565</v>
      </c>
      <c r="H76" s="12">
        <v>36.75</v>
      </c>
      <c r="I76" s="12">
        <f t="shared" ref="I76:I104" si="95">SUM(H76*E76)</f>
        <v>5145</v>
      </c>
      <c r="J76" s="12">
        <v>50.5</v>
      </c>
      <c r="K76" s="12">
        <f t="shared" si="86"/>
        <v>7070</v>
      </c>
      <c r="L76" s="12">
        <v>42.5</v>
      </c>
      <c r="M76" s="12">
        <f t="shared" si="87"/>
        <v>5950</v>
      </c>
      <c r="N76" s="12">
        <v>93.25</v>
      </c>
      <c r="O76" s="12">
        <f t="shared" si="88"/>
        <v>13055</v>
      </c>
      <c r="P76" s="12">
        <v>53.25</v>
      </c>
      <c r="Q76" s="12">
        <f t="shared" si="89"/>
        <v>7455</v>
      </c>
      <c r="R76" s="12">
        <v>59.5</v>
      </c>
      <c r="S76" s="12">
        <f t="shared" si="90"/>
        <v>8330</v>
      </c>
      <c r="T76" s="12">
        <v>53.5</v>
      </c>
      <c r="U76" s="12">
        <f t="shared" si="91"/>
        <v>7490</v>
      </c>
      <c r="V76" s="12">
        <v>35</v>
      </c>
      <c r="W76" s="12">
        <f t="shared" si="92"/>
        <v>4900</v>
      </c>
      <c r="X76" s="43">
        <f t="shared" si="93"/>
        <v>564</v>
      </c>
      <c r="Y76" s="12">
        <f t="shared" si="94"/>
        <v>78960</v>
      </c>
      <c r="Z76" s="614"/>
      <c r="AA76" s="615"/>
      <c r="AB76" s="614"/>
      <c r="AC76" s="615"/>
      <c r="AD76" s="68"/>
      <c r="AE76" s="66"/>
      <c r="AF76" s="68"/>
      <c r="AG76" s="66"/>
    </row>
    <row r="77" spans="2:34" s="3" customFormat="1" x14ac:dyDescent="0.2">
      <c r="B77" s="11" t="s">
        <v>51</v>
      </c>
      <c r="C77" s="11" t="s">
        <v>22</v>
      </c>
      <c r="D77" s="11" t="s">
        <v>2</v>
      </c>
      <c r="E77" s="11">
        <v>140</v>
      </c>
      <c r="F77" s="12">
        <v>0</v>
      </c>
      <c r="G77" s="12">
        <v>0</v>
      </c>
      <c r="H77" s="12"/>
      <c r="I77" s="12">
        <f t="shared" si="95"/>
        <v>0</v>
      </c>
      <c r="J77" s="12"/>
      <c r="K77" s="12">
        <f t="shared" si="86"/>
        <v>0</v>
      </c>
      <c r="L77" s="12"/>
      <c r="M77" s="12">
        <f t="shared" si="87"/>
        <v>0</v>
      </c>
      <c r="N77" s="12"/>
      <c r="O77" s="12">
        <f t="shared" si="88"/>
        <v>0</v>
      </c>
      <c r="P77" s="12"/>
      <c r="Q77" s="12">
        <f t="shared" si="89"/>
        <v>0</v>
      </c>
      <c r="R77" s="12"/>
      <c r="S77" s="12">
        <f t="shared" si="90"/>
        <v>0</v>
      </c>
      <c r="T77" s="12"/>
      <c r="U77" s="12">
        <f t="shared" si="91"/>
        <v>0</v>
      </c>
      <c r="V77" s="12"/>
      <c r="W77" s="12">
        <f t="shared" si="92"/>
        <v>0</v>
      </c>
      <c r="X77" s="43">
        <f t="shared" si="93"/>
        <v>0</v>
      </c>
      <c r="Y77" s="12">
        <f t="shared" si="94"/>
        <v>0</v>
      </c>
      <c r="Z77" s="614"/>
      <c r="AA77" s="615"/>
      <c r="AB77" s="614"/>
      <c r="AC77" s="615"/>
      <c r="AD77" s="68"/>
      <c r="AE77" s="66"/>
      <c r="AF77" s="68"/>
      <c r="AG77" s="66"/>
    </row>
    <row r="78" spans="2:34" s="3" customFormat="1" x14ac:dyDescent="0.2">
      <c r="B78" s="11" t="s">
        <v>54</v>
      </c>
      <c r="C78" s="11" t="s">
        <v>22</v>
      </c>
      <c r="D78" s="11" t="s">
        <v>2</v>
      </c>
      <c r="E78" s="11">
        <v>140</v>
      </c>
      <c r="F78" s="12">
        <v>183.75</v>
      </c>
      <c r="G78" s="12">
        <v>25725</v>
      </c>
      <c r="H78" s="12">
        <v>18.5</v>
      </c>
      <c r="I78" s="12">
        <f t="shared" si="95"/>
        <v>2590</v>
      </c>
      <c r="J78" s="12">
        <f>10.5+5</f>
        <v>15.5</v>
      </c>
      <c r="K78" s="12">
        <f t="shared" si="86"/>
        <v>2170</v>
      </c>
      <c r="L78" s="12">
        <f>32+6.75</f>
        <v>38.75</v>
      </c>
      <c r="M78" s="12">
        <f t="shared" si="87"/>
        <v>5425</v>
      </c>
      <c r="N78" s="12">
        <f>5.5+11.5</f>
        <v>17</v>
      </c>
      <c r="O78" s="12">
        <f t="shared" si="88"/>
        <v>2380</v>
      </c>
      <c r="P78" s="12">
        <f>5+26</f>
        <v>31</v>
      </c>
      <c r="Q78" s="12">
        <f t="shared" si="89"/>
        <v>4340</v>
      </c>
      <c r="R78" s="12">
        <f>20+2.75</f>
        <v>22.75</v>
      </c>
      <c r="S78" s="12">
        <f t="shared" si="90"/>
        <v>3185</v>
      </c>
      <c r="T78" s="12">
        <f>25.5+2.5</f>
        <v>28</v>
      </c>
      <c r="U78" s="12">
        <f t="shared" si="91"/>
        <v>3920</v>
      </c>
      <c r="V78" s="12">
        <v>34</v>
      </c>
      <c r="W78" s="12">
        <f t="shared" si="92"/>
        <v>4760</v>
      </c>
      <c r="X78" s="43">
        <f t="shared" si="93"/>
        <v>389.25</v>
      </c>
      <c r="Y78" s="12">
        <f t="shared" si="94"/>
        <v>54495</v>
      </c>
      <c r="Z78" s="614"/>
      <c r="AA78" s="615"/>
      <c r="AB78" s="614"/>
      <c r="AC78" s="615"/>
      <c r="AD78" s="68"/>
      <c r="AE78" s="66"/>
      <c r="AF78" s="68"/>
      <c r="AG78" s="66"/>
    </row>
    <row r="79" spans="2:34" s="3" customFormat="1" x14ac:dyDescent="0.2">
      <c r="B79" s="11" t="s">
        <v>87</v>
      </c>
      <c r="C79" s="11" t="s">
        <v>22</v>
      </c>
      <c r="D79" s="11" t="s">
        <v>2</v>
      </c>
      <c r="E79" s="11">
        <v>140</v>
      </c>
      <c r="F79" s="12">
        <v>0.5</v>
      </c>
      <c r="G79" s="12">
        <v>70</v>
      </c>
      <c r="H79" s="12"/>
      <c r="I79" s="12">
        <f t="shared" si="95"/>
        <v>0</v>
      </c>
      <c r="J79" s="12"/>
      <c r="K79" s="12">
        <f t="shared" si="86"/>
        <v>0</v>
      </c>
      <c r="L79" s="12"/>
      <c r="M79" s="12">
        <f t="shared" si="87"/>
        <v>0</v>
      </c>
      <c r="N79" s="12"/>
      <c r="O79" s="12">
        <f t="shared" si="88"/>
        <v>0</v>
      </c>
      <c r="P79" s="12"/>
      <c r="Q79" s="12">
        <f t="shared" si="89"/>
        <v>0</v>
      </c>
      <c r="R79" s="12"/>
      <c r="S79" s="12">
        <f t="shared" si="90"/>
        <v>0</v>
      </c>
      <c r="T79" s="12"/>
      <c r="U79" s="12">
        <f t="shared" si="91"/>
        <v>0</v>
      </c>
      <c r="V79" s="12"/>
      <c r="W79" s="12">
        <f t="shared" si="92"/>
        <v>0</v>
      </c>
      <c r="X79" s="43">
        <f t="shared" si="93"/>
        <v>0.5</v>
      </c>
      <c r="Y79" s="12">
        <f t="shared" si="94"/>
        <v>70</v>
      </c>
      <c r="Z79" s="614"/>
      <c r="AA79" s="615"/>
      <c r="AB79" s="614"/>
      <c r="AC79" s="615"/>
      <c r="AD79" s="68"/>
      <c r="AE79" s="66"/>
      <c r="AF79" s="68"/>
      <c r="AG79" s="66"/>
    </row>
    <row r="80" spans="2:34" s="3" customFormat="1" x14ac:dyDescent="0.2">
      <c r="B80" s="11" t="s">
        <v>94</v>
      </c>
      <c r="C80" s="11" t="s">
        <v>22</v>
      </c>
      <c r="D80" s="11" t="s">
        <v>8</v>
      </c>
      <c r="E80" s="11">
        <v>118</v>
      </c>
      <c r="F80" s="12">
        <v>0</v>
      </c>
      <c r="G80" s="12">
        <v>0</v>
      </c>
      <c r="H80" s="12"/>
      <c r="I80" s="12">
        <f>SUM(H80*E80)</f>
        <v>0</v>
      </c>
      <c r="J80" s="12"/>
      <c r="K80" s="12">
        <f>SUM(E80*J80)</f>
        <v>0</v>
      </c>
      <c r="L80" s="12">
        <v>1.75</v>
      </c>
      <c r="M80" s="12">
        <f>SUM(E80*L80)</f>
        <v>206.5</v>
      </c>
      <c r="N80" s="12">
        <v>13</v>
      </c>
      <c r="O80" s="12">
        <f>SUM(E80*N80)</f>
        <v>1534</v>
      </c>
      <c r="P80" s="12">
        <v>6.5</v>
      </c>
      <c r="Q80" s="12">
        <f t="shared" si="89"/>
        <v>767</v>
      </c>
      <c r="R80" s="12"/>
      <c r="S80" s="12">
        <f t="shared" si="90"/>
        <v>0</v>
      </c>
      <c r="T80" s="12"/>
      <c r="U80" s="12">
        <f t="shared" si="91"/>
        <v>0</v>
      </c>
      <c r="V80" s="12"/>
      <c r="W80" s="12">
        <f>SUM(E80*V80)</f>
        <v>0</v>
      </c>
      <c r="X80" s="43">
        <f t="shared" si="93"/>
        <v>21.25</v>
      </c>
      <c r="Y80" s="12">
        <f t="shared" si="94"/>
        <v>2507.5</v>
      </c>
      <c r="Z80" s="614"/>
      <c r="AA80" s="615"/>
      <c r="AB80" s="614"/>
      <c r="AC80" s="615"/>
      <c r="AD80" s="68"/>
      <c r="AE80" s="66"/>
      <c r="AF80" s="68"/>
      <c r="AG80" s="66"/>
    </row>
    <row r="81" spans="2:33" s="3" customFormat="1" x14ac:dyDescent="0.2">
      <c r="B81" s="11" t="s">
        <v>84</v>
      </c>
      <c r="C81" s="11" t="s">
        <v>22</v>
      </c>
      <c r="D81" s="11" t="s">
        <v>8</v>
      </c>
      <c r="E81" s="11">
        <v>118</v>
      </c>
      <c r="F81" s="12">
        <v>3</v>
      </c>
      <c r="G81" s="12">
        <v>354</v>
      </c>
      <c r="H81" s="12"/>
      <c r="I81" s="12">
        <f t="shared" si="95"/>
        <v>0</v>
      </c>
      <c r="J81" s="12">
        <v>0.75</v>
      </c>
      <c r="K81" s="12">
        <f t="shared" si="86"/>
        <v>88.5</v>
      </c>
      <c r="L81" s="12"/>
      <c r="M81" s="12">
        <f t="shared" si="87"/>
        <v>0</v>
      </c>
      <c r="N81" s="12"/>
      <c r="O81" s="12">
        <f t="shared" si="88"/>
        <v>0</v>
      </c>
      <c r="P81" s="12"/>
      <c r="Q81" s="12">
        <f t="shared" si="89"/>
        <v>0</v>
      </c>
      <c r="R81" s="12"/>
      <c r="S81" s="12">
        <f t="shared" si="90"/>
        <v>0</v>
      </c>
      <c r="T81" s="12"/>
      <c r="U81" s="12">
        <f t="shared" si="91"/>
        <v>0</v>
      </c>
      <c r="V81" s="12"/>
      <c r="W81" s="12">
        <f t="shared" si="92"/>
        <v>0</v>
      </c>
      <c r="X81" s="43">
        <f t="shared" si="93"/>
        <v>3.75</v>
      </c>
      <c r="Y81" s="12">
        <f t="shared" si="94"/>
        <v>442.5</v>
      </c>
      <c r="Z81" s="614"/>
      <c r="AA81" s="615"/>
      <c r="AB81" s="614"/>
      <c r="AC81" s="615"/>
      <c r="AD81" s="68"/>
      <c r="AE81" s="66"/>
      <c r="AF81" s="68"/>
      <c r="AG81" s="66"/>
    </row>
    <row r="82" spans="2:33" s="3" customFormat="1" x14ac:dyDescent="0.2">
      <c r="B82" s="11" t="s">
        <v>12</v>
      </c>
      <c r="C82" s="11" t="s">
        <v>22</v>
      </c>
      <c r="D82" s="11" t="s">
        <v>8</v>
      </c>
      <c r="E82" s="11">
        <v>118</v>
      </c>
      <c r="F82" s="12">
        <v>9.5</v>
      </c>
      <c r="G82" s="12">
        <v>1121</v>
      </c>
      <c r="H82" s="12">
        <v>1</v>
      </c>
      <c r="I82" s="12">
        <f t="shared" si="95"/>
        <v>118</v>
      </c>
      <c r="J82" s="12"/>
      <c r="K82" s="12">
        <f t="shared" si="86"/>
        <v>0</v>
      </c>
      <c r="L82" s="12"/>
      <c r="M82" s="12">
        <f t="shared" si="87"/>
        <v>0</v>
      </c>
      <c r="N82" s="12">
        <v>0.5</v>
      </c>
      <c r="O82" s="12">
        <f t="shared" si="88"/>
        <v>59</v>
      </c>
      <c r="P82" s="12"/>
      <c r="Q82" s="12">
        <f t="shared" si="89"/>
        <v>0</v>
      </c>
      <c r="R82" s="12"/>
      <c r="S82" s="12">
        <f t="shared" si="90"/>
        <v>0</v>
      </c>
      <c r="T82" s="12"/>
      <c r="U82" s="12">
        <f t="shared" si="91"/>
        <v>0</v>
      </c>
      <c r="V82" s="12"/>
      <c r="W82" s="12">
        <f t="shared" si="92"/>
        <v>0</v>
      </c>
      <c r="X82" s="43">
        <f t="shared" si="93"/>
        <v>11</v>
      </c>
      <c r="Y82" s="12">
        <f t="shared" si="94"/>
        <v>1298</v>
      </c>
      <c r="Z82" s="614"/>
      <c r="AA82" s="615"/>
      <c r="AB82" s="614"/>
      <c r="AC82" s="615"/>
      <c r="AD82" s="68"/>
      <c r="AE82" s="66"/>
      <c r="AF82" s="68"/>
      <c r="AG82" s="66"/>
    </row>
    <row r="83" spans="2:33" s="3" customFormat="1" x14ac:dyDescent="0.2">
      <c r="B83" s="11" t="s">
        <v>11</v>
      </c>
      <c r="C83" s="11" t="s">
        <v>22</v>
      </c>
      <c r="D83" s="11" t="s">
        <v>8</v>
      </c>
      <c r="E83" s="11">
        <v>118</v>
      </c>
      <c r="F83" s="12">
        <v>18.75</v>
      </c>
      <c r="G83" s="12">
        <v>2212.5</v>
      </c>
      <c r="H83" s="12">
        <v>10.75</v>
      </c>
      <c r="I83" s="12">
        <f t="shared" si="95"/>
        <v>1268.5</v>
      </c>
      <c r="J83" s="12">
        <v>12</v>
      </c>
      <c r="K83" s="12">
        <f t="shared" si="86"/>
        <v>1416</v>
      </c>
      <c r="L83" s="12">
        <f>16.5+1</f>
        <v>17.5</v>
      </c>
      <c r="M83" s="12">
        <f t="shared" si="87"/>
        <v>2065</v>
      </c>
      <c r="N83" s="12">
        <v>7.5</v>
      </c>
      <c r="O83" s="12">
        <f t="shared" si="88"/>
        <v>885</v>
      </c>
      <c r="P83" s="12">
        <v>8.5</v>
      </c>
      <c r="Q83" s="12">
        <f t="shared" si="89"/>
        <v>1003</v>
      </c>
      <c r="R83" s="12">
        <v>4.5</v>
      </c>
      <c r="S83" s="12">
        <f t="shared" si="90"/>
        <v>531</v>
      </c>
      <c r="T83" s="12">
        <v>9</v>
      </c>
      <c r="U83" s="12">
        <f t="shared" si="91"/>
        <v>1062</v>
      </c>
      <c r="V83" s="12">
        <v>3.5</v>
      </c>
      <c r="W83" s="12">
        <f t="shared" si="92"/>
        <v>413</v>
      </c>
      <c r="X83" s="43">
        <f t="shared" si="93"/>
        <v>92</v>
      </c>
      <c r="Y83" s="12">
        <f t="shared" si="94"/>
        <v>10856</v>
      </c>
      <c r="Z83" s="614"/>
      <c r="AA83" s="615"/>
      <c r="AB83" s="614"/>
      <c r="AC83" s="615"/>
      <c r="AD83" s="68"/>
      <c r="AE83" s="66"/>
      <c r="AF83" s="68"/>
      <c r="AG83" s="66"/>
    </row>
    <row r="84" spans="2:33" s="3" customFormat="1" x14ac:dyDescent="0.2">
      <c r="B84" s="11" t="s">
        <v>58</v>
      </c>
      <c r="C84" s="11" t="s">
        <v>22</v>
      </c>
      <c r="D84" s="11" t="s">
        <v>3</v>
      </c>
      <c r="E84" s="11">
        <v>100</v>
      </c>
      <c r="F84" s="12">
        <v>464</v>
      </c>
      <c r="G84" s="12">
        <v>46400</v>
      </c>
      <c r="H84" s="12">
        <f>74.5+15</f>
        <v>89.5</v>
      </c>
      <c r="I84" s="12">
        <f t="shared" si="95"/>
        <v>8950</v>
      </c>
      <c r="J84" s="12">
        <f>66.25+17</f>
        <v>83.25</v>
      </c>
      <c r="K84" s="12">
        <f t="shared" si="86"/>
        <v>8325</v>
      </c>
      <c r="L84" s="12">
        <f>113.5+9.25</f>
        <v>122.75</v>
      </c>
      <c r="M84" s="12">
        <f t="shared" si="87"/>
        <v>12275</v>
      </c>
      <c r="N84" s="12">
        <f>134.5+2.5</f>
        <v>137</v>
      </c>
      <c r="O84" s="12">
        <f t="shared" si="88"/>
        <v>13700</v>
      </c>
      <c r="P84" s="12">
        <f>7.5+141.25</f>
        <v>148.75</v>
      </c>
      <c r="Q84" s="12">
        <f t="shared" si="89"/>
        <v>14875</v>
      </c>
      <c r="R84" s="12">
        <f>124.25+7.75</f>
        <v>132</v>
      </c>
      <c r="S84" s="12">
        <f t="shared" si="90"/>
        <v>13200</v>
      </c>
      <c r="T84" s="12">
        <f>110.5+25</f>
        <v>135.5</v>
      </c>
      <c r="U84" s="12">
        <f t="shared" si="91"/>
        <v>13550</v>
      </c>
      <c r="V84" s="12">
        <v>67.75</v>
      </c>
      <c r="W84" s="12">
        <f t="shared" si="92"/>
        <v>6775</v>
      </c>
      <c r="X84" s="43">
        <f t="shared" si="93"/>
        <v>1380.5</v>
      </c>
      <c r="Y84" s="12">
        <f t="shared" si="94"/>
        <v>138050</v>
      </c>
      <c r="Z84" s="614"/>
      <c r="AA84" s="615"/>
      <c r="AB84" s="614"/>
      <c r="AC84" s="615"/>
      <c r="AD84" s="68"/>
      <c r="AE84" s="66"/>
      <c r="AF84" s="68"/>
      <c r="AG84" s="66"/>
    </row>
    <row r="85" spans="2:33" s="3" customFormat="1" x14ac:dyDescent="0.2">
      <c r="B85" s="11" t="s">
        <v>60</v>
      </c>
      <c r="C85" s="11" t="s">
        <v>22</v>
      </c>
      <c r="D85" s="11" t="s">
        <v>3</v>
      </c>
      <c r="E85" s="11">
        <v>100</v>
      </c>
      <c r="F85" s="12">
        <v>28.25</v>
      </c>
      <c r="G85" s="12">
        <v>2825</v>
      </c>
      <c r="H85" s="12">
        <v>2.75</v>
      </c>
      <c r="I85" s="12">
        <f t="shared" si="95"/>
        <v>275</v>
      </c>
      <c r="J85" s="12">
        <v>2</v>
      </c>
      <c r="K85" s="12">
        <f t="shared" si="86"/>
        <v>200</v>
      </c>
      <c r="L85" s="12">
        <v>1</v>
      </c>
      <c r="M85" s="12">
        <f t="shared" si="87"/>
        <v>100</v>
      </c>
      <c r="N85" s="12">
        <v>2.5</v>
      </c>
      <c r="O85" s="12">
        <f t="shared" si="88"/>
        <v>250</v>
      </c>
      <c r="P85" s="12">
        <v>1</v>
      </c>
      <c r="Q85" s="12">
        <f t="shared" si="89"/>
        <v>100</v>
      </c>
      <c r="R85" s="12">
        <v>0.5</v>
      </c>
      <c r="S85" s="12">
        <f t="shared" si="90"/>
        <v>50</v>
      </c>
      <c r="T85" s="12">
        <v>0.25</v>
      </c>
      <c r="U85" s="12">
        <f t="shared" si="91"/>
        <v>25</v>
      </c>
      <c r="V85" s="12">
        <v>4</v>
      </c>
      <c r="W85" s="12">
        <f t="shared" si="92"/>
        <v>400</v>
      </c>
      <c r="X85" s="43">
        <f t="shared" si="93"/>
        <v>42.25</v>
      </c>
      <c r="Y85" s="12">
        <f t="shared" si="94"/>
        <v>4225</v>
      </c>
      <c r="Z85" s="614"/>
      <c r="AA85" s="615"/>
      <c r="AB85" s="614"/>
      <c r="AC85" s="615"/>
      <c r="AD85" s="68"/>
      <c r="AE85" s="66"/>
      <c r="AF85" s="68"/>
      <c r="AG85" s="66"/>
    </row>
    <row r="86" spans="2:33" s="3" customFormat="1" x14ac:dyDescent="0.2">
      <c r="B86" s="11" t="s">
        <v>23</v>
      </c>
      <c r="C86" s="11" t="s">
        <v>22</v>
      </c>
      <c r="D86" s="11" t="s">
        <v>3</v>
      </c>
      <c r="E86" s="11">
        <v>100</v>
      </c>
      <c r="F86" s="12">
        <v>0</v>
      </c>
      <c r="G86" s="12">
        <v>0</v>
      </c>
      <c r="H86" s="12"/>
      <c r="I86" s="12">
        <f t="shared" si="95"/>
        <v>0</v>
      </c>
      <c r="J86" s="12"/>
      <c r="K86" s="12">
        <f t="shared" si="86"/>
        <v>0</v>
      </c>
      <c r="L86" s="12"/>
      <c r="M86" s="12">
        <f t="shared" si="87"/>
        <v>0</v>
      </c>
      <c r="N86" s="12"/>
      <c r="O86" s="12">
        <f t="shared" si="88"/>
        <v>0</v>
      </c>
      <c r="P86" s="12"/>
      <c r="Q86" s="12">
        <f t="shared" si="89"/>
        <v>0</v>
      </c>
      <c r="R86" s="12"/>
      <c r="S86" s="12">
        <f t="shared" si="90"/>
        <v>0</v>
      </c>
      <c r="T86" s="12"/>
      <c r="U86" s="12">
        <f t="shared" si="91"/>
        <v>0</v>
      </c>
      <c r="V86" s="12"/>
      <c r="W86" s="12">
        <f t="shared" si="92"/>
        <v>0</v>
      </c>
      <c r="X86" s="43">
        <f t="shared" si="93"/>
        <v>0</v>
      </c>
      <c r="Y86" s="12">
        <f t="shared" si="94"/>
        <v>0</v>
      </c>
      <c r="Z86" s="614"/>
      <c r="AA86" s="615"/>
      <c r="AB86" s="614"/>
      <c r="AC86" s="615"/>
      <c r="AD86" s="68"/>
      <c r="AE86" s="66"/>
      <c r="AF86" s="68"/>
      <c r="AG86" s="66"/>
    </row>
    <row r="87" spans="2:33" s="3" customFormat="1" x14ac:dyDescent="0.2">
      <c r="B87" s="11" t="s">
        <v>88</v>
      </c>
      <c r="C87" s="11" t="s">
        <v>22</v>
      </c>
      <c r="D87" s="11" t="s">
        <v>3</v>
      </c>
      <c r="E87" s="11">
        <v>100</v>
      </c>
      <c r="F87" s="12">
        <v>211.5</v>
      </c>
      <c r="G87" s="12">
        <v>21150</v>
      </c>
      <c r="H87" s="12">
        <v>79.25</v>
      </c>
      <c r="I87" s="12">
        <f t="shared" si="95"/>
        <v>7925</v>
      </c>
      <c r="J87" s="12">
        <v>78</v>
      </c>
      <c r="K87" s="12">
        <f t="shared" si="86"/>
        <v>7800</v>
      </c>
      <c r="L87" s="12">
        <v>92</v>
      </c>
      <c r="M87" s="12">
        <f t="shared" si="87"/>
        <v>9200</v>
      </c>
      <c r="N87" s="12">
        <v>46.75</v>
      </c>
      <c r="O87" s="12">
        <f t="shared" si="88"/>
        <v>4675</v>
      </c>
      <c r="P87" s="12">
        <v>30</v>
      </c>
      <c r="Q87" s="12">
        <f t="shared" si="89"/>
        <v>3000</v>
      </c>
      <c r="R87" s="12">
        <v>17.5</v>
      </c>
      <c r="S87" s="12">
        <f t="shared" si="90"/>
        <v>1750</v>
      </c>
      <c r="T87" s="12">
        <v>18.25</v>
      </c>
      <c r="U87" s="12">
        <f t="shared" si="91"/>
        <v>1825</v>
      </c>
      <c r="V87" s="12">
        <v>7.25</v>
      </c>
      <c r="W87" s="12">
        <f t="shared" si="92"/>
        <v>725</v>
      </c>
      <c r="X87" s="43">
        <f t="shared" si="93"/>
        <v>580.5</v>
      </c>
      <c r="Y87" s="12">
        <f t="shared" si="94"/>
        <v>58050</v>
      </c>
      <c r="Z87" s="614"/>
      <c r="AA87" s="615"/>
      <c r="AB87" s="614"/>
      <c r="AC87" s="615"/>
      <c r="AD87" s="68"/>
      <c r="AE87" s="66"/>
      <c r="AF87" s="68"/>
      <c r="AG87" s="66"/>
    </row>
    <row r="88" spans="2:33" s="3" customFormat="1" x14ac:dyDescent="0.2">
      <c r="B88" s="11" t="s">
        <v>86</v>
      </c>
      <c r="C88" s="11" t="s">
        <v>22</v>
      </c>
      <c r="D88" s="11" t="s">
        <v>3</v>
      </c>
      <c r="E88" s="11">
        <v>100</v>
      </c>
      <c r="F88" s="12">
        <v>2</v>
      </c>
      <c r="G88" s="12">
        <v>200</v>
      </c>
      <c r="H88" s="12"/>
      <c r="I88" s="12">
        <f t="shared" si="95"/>
        <v>0</v>
      </c>
      <c r="J88" s="12"/>
      <c r="K88" s="12">
        <f t="shared" si="86"/>
        <v>0</v>
      </c>
      <c r="L88" s="12"/>
      <c r="M88" s="12">
        <f t="shared" si="87"/>
        <v>0</v>
      </c>
      <c r="N88" s="12"/>
      <c r="O88" s="12">
        <f t="shared" si="88"/>
        <v>0</v>
      </c>
      <c r="P88" s="12"/>
      <c r="Q88" s="12">
        <f t="shared" si="89"/>
        <v>0</v>
      </c>
      <c r="R88" s="12"/>
      <c r="S88" s="12">
        <f t="shared" si="90"/>
        <v>0</v>
      </c>
      <c r="T88" s="12"/>
      <c r="U88" s="12">
        <f t="shared" si="91"/>
        <v>0</v>
      </c>
      <c r="V88" s="12"/>
      <c r="W88" s="12">
        <f t="shared" si="92"/>
        <v>0</v>
      </c>
      <c r="X88" s="43">
        <f t="shared" si="93"/>
        <v>2</v>
      </c>
      <c r="Y88" s="12">
        <f t="shared" si="94"/>
        <v>200</v>
      </c>
      <c r="Z88" s="614"/>
      <c r="AA88" s="615"/>
      <c r="AB88" s="614"/>
      <c r="AC88" s="615"/>
      <c r="AD88" s="68"/>
      <c r="AE88" s="66"/>
      <c r="AF88" s="68"/>
      <c r="AG88" s="66"/>
    </row>
    <row r="89" spans="2:33" s="3" customFormat="1" x14ac:dyDescent="0.2">
      <c r="B89" s="11" t="s">
        <v>93</v>
      </c>
      <c r="C89" s="11" t="s">
        <v>22</v>
      </c>
      <c r="D89" s="11" t="s">
        <v>3</v>
      </c>
      <c r="E89" s="11">
        <v>100</v>
      </c>
      <c r="F89" s="12">
        <v>40.25</v>
      </c>
      <c r="G89" s="12">
        <v>4025</v>
      </c>
      <c r="H89" s="12"/>
      <c r="I89" s="12">
        <f t="shared" si="95"/>
        <v>0</v>
      </c>
      <c r="J89" s="12">
        <v>1</v>
      </c>
      <c r="K89" s="12">
        <f t="shared" si="86"/>
        <v>100</v>
      </c>
      <c r="L89" s="12"/>
      <c r="M89" s="12">
        <f t="shared" si="87"/>
        <v>0</v>
      </c>
      <c r="N89" s="12">
        <v>0.75</v>
      </c>
      <c r="O89" s="12">
        <f t="shared" si="88"/>
        <v>75</v>
      </c>
      <c r="P89" s="12"/>
      <c r="Q89" s="12">
        <f t="shared" si="89"/>
        <v>0</v>
      </c>
      <c r="R89" s="12">
        <v>1</v>
      </c>
      <c r="S89" s="12">
        <f t="shared" si="90"/>
        <v>100</v>
      </c>
      <c r="T89" s="12"/>
      <c r="U89" s="12">
        <f t="shared" si="91"/>
        <v>0</v>
      </c>
      <c r="V89" s="12"/>
      <c r="W89" s="12">
        <f t="shared" si="92"/>
        <v>0</v>
      </c>
      <c r="X89" s="43">
        <f t="shared" si="93"/>
        <v>43</v>
      </c>
      <c r="Y89" s="12">
        <f t="shared" si="94"/>
        <v>4300</v>
      </c>
      <c r="Z89" s="614"/>
      <c r="AA89" s="615"/>
      <c r="AB89" s="614"/>
      <c r="AC89" s="615"/>
      <c r="AD89" s="68"/>
      <c r="AE89" s="66"/>
      <c r="AF89" s="68"/>
      <c r="AG89" s="66"/>
    </row>
    <row r="90" spans="2:33" s="3" customFormat="1" x14ac:dyDescent="0.2">
      <c r="B90" s="11" t="s">
        <v>24</v>
      </c>
      <c r="C90" s="11" t="s">
        <v>22</v>
      </c>
      <c r="D90" s="11" t="s">
        <v>3</v>
      </c>
      <c r="E90" s="11">
        <v>100</v>
      </c>
      <c r="F90" s="12">
        <v>6.25</v>
      </c>
      <c r="G90" s="12">
        <v>625</v>
      </c>
      <c r="H90" s="12"/>
      <c r="I90" s="12">
        <f t="shared" si="95"/>
        <v>0</v>
      </c>
      <c r="J90" s="12"/>
      <c r="K90" s="12">
        <f t="shared" si="86"/>
        <v>0</v>
      </c>
      <c r="L90" s="12"/>
      <c r="M90" s="12">
        <f t="shared" si="87"/>
        <v>0</v>
      </c>
      <c r="N90" s="12"/>
      <c r="O90" s="12">
        <f t="shared" si="88"/>
        <v>0</v>
      </c>
      <c r="P90" s="12"/>
      <c r="Q90" s="12">
        <f t="shared" si="89"/>
        <v>0</v>
      </c>
      <c r="R90" s="12"/>
      <c r="S90" s="12">
        <f t="shared" si="90"/>
        <v>0</v>
      </c>
      <c r="T90" s="12"/>
      <c r="U90" s="12">
        <f t="shared" si="91"/>
        <v>0</v>
      </c>
      <c r="V90" s="12"/>
      <c r="W90" s="12">
        <f t="shared" si="92"/>
        <v>0</v>
      </c>
      <c r="X90" s="43">
        <f t="shared" si="93"/>
        <v>6.25</v>
      </c>
      <c r="Y90" s="12">
        <f t="shared" si="94"/>
        <v>625</v>
      </c>
      <c r="Z90" s="614"/>
      <c r="AA90" s="615"/>
      <c r="AB90" s="614"/>
      <c r="AC90" s="615"/>
      <c r="AD90" s="68"/>
      <c r="AE90" s="66"/>
      <c r="AF90" s="68"/>
      <c r="AG90" s="66"/>
    </row>
    <row r="91" spans="2:33" s="3" customFormat="1" x14ac:dyDescent="0.2">
      <c r="B91" s="11" t="s">
        <v>19</v>
      </c>
      <c r="C91" s="11" t="s">
        <v>22</v>
      </c>
      <c r="D91" s="11" t="s">
        <v>3</v>
      </c>
      <c r="E91" s="11">
        <v>100</v>
      </c>
      <c r="F91" s="12">
        <v>1</v>
      </c>
      <c r="G91" s="12">
        <v>100</v>
      </c>
      <c r="H91" s="12">
        <v>1.5</v>
      </c>
      <c r="I91" s="12">
        <f>SUM(H91*E91)</f>
        <v>150</v>
      </c>
      <c r="J91" s="12"/>
      <c r="K91" s="12">
        <f>SUM(E91*J91)</f>
        <v>0</v>
      </c>
      <c r="L91" s="12"/>
      <c r="M91" s="12">
        <f>SUM(E91*L91)</f>
        <v>0</v>
      </c>
      <c r="N91" s="12"/>
      <c r="O91" s="12">
        <f>SUM(E91*N91)</f>
        <v>0</v>
      </c>
      <c r="P91" s="12"/>
      <c r="Q91" s="12">
        <f t="shared" si="89"/>
        <v>0</v>
      </c>
      <c r="R91" s="12"/>
      <c r="S91" s="12">
        <f t="shared" si="90"/>
        <v>0</v>
      </c>
      <c r="T91" s="12"/>
      <c r="U91" s="12">
        <f t="shared" si="91"/>
        <v>0</v>
      </c>
      <c r="V91" s="12"/>
      <c r="W91" s="12">
        <f>SUM(E91*V91)</f>
        <v>0</v>
      </c>
      <c r="X91" s="43">
        <f t="shared" si="93"/>
        <v>2.5</v>
      </c>
      <c r="Y91" s="12">
        <f t="shared" si="94"/>
        <v>250</v>
      </c>
      <c r="Z91" s="614"/>
      <c r="AA91" s="615"/>
      <c r="AB91" s="614"/>
      <c r="AC91" s="615"/>
      <c r="AD91" s="68"/>
      <c r="AE91" s="66"/>
      <c r="AF91" s="68"/>
      <c r="AG91" s="66"/>
    </row>
    <row r="92" spans="2:33" s="3" customFormat="1" x14ac:dyDescent="0.2">
      <c r="B92" s="11" t="s">
        <v>130</v>
      </c>
      <c r="C92" s="11" t="s">
        <v>22</v>
      </c>
      <c r="D92" s="11" t="s">
        <v>3</v>
      </c>
      <c r="E92" s="11">
        <v>100</v>
      </c>
      <c r="F92" s="12"/>
      <c r="G92" s="12"/>
      <c r="H92" s="12"/>
      <c r="I92" s="12">
        <f t="shared" si="95"/>
        <v>0</v>
      </c>
      <c r="J92" s="12"/>
      <c r="K92" s="12">
        <f t="shared" si="86"/>
        <v>0</v>
      </c>
      <c r="L92" s="12">
        <v>28.75</v>
      </c>
      <c r="M92" s="12">
        <f t="shared" si="87"/>
        <v>2875</v>
      </c>
      <c r="N92" s="12"/>
      <c r="O92" s="12">
        <f t="shared" si="88"/>
        <v>0</v>
      </c>
      <c r="P92" s="12"/>
      <c r="Q92" s="12">
        <f t="shared" si="89"/>
        <v>0</v>
      </c>
      <c r="R92" s="12"/>
      <c r="S92" s="12">
        <f t="shared" si="90"/>
        <v>0</v>
      </c>
      <c r="T92" s="12"/>
      <c r="U92" s="12">
        <f t="shared" si="91"/>
        <v>0</v>
      </c>
      <c r="V92" s="12"/>
      <c r="W92" s="12">
        <f t="shared" si="92"/>
        <v>0</v>
      </c>
      <c r="X92" s="43">
        <f t="shared" si="93"/>
        <v>28.75</v>
      </c>
      <c r="Y92" s="12">
        <f t="shared" si="94"/>
        <v>2875</v>
      </c>
      <c r="Z92" s="614"/>
      <c r="AA92" s="615"/>
      <c r="AB92" s="614"/>
      <c r="AC92" s="615"/>
      <c r="AD92" s="68"/>
      <c r="AE92" s="66"/>
      <c r="AF92" s="68"/>
      <c r="AG92" s="66"/>
    </row>
    <row r="93" spans="2:33" s="3" customFormat="1" x14ac:dyDescent="0.2">
      <c r="B93" s="11" t="s">
        <v>13</v>
      </c>
      <c r="C93" s="11" t="s">
        <v>22</v>
      </c>
      <c r="D93" s="11" t="s">
        <v>3</v>
      </c>
      <c r="E93" s="11">
        <v>100</v>
      </c>
      <c r="F93" s="12">
        <v>0</v>
      </c>
      <c r="G93" s="12">
        <v>0</v>
      </c>
      <c r="H93" s="12"/>
      <c r="I93" s="12">
        <f>SUM(H93*E93)</f>
        <v>0</v>
      </c>
      <c r="J93" s="12"/>
      <c r="K93" s="12">
        <f>SUM(E93*J93)</f>
        <v>0</v>
      </c>
      <c r="L93" s="12"/>
      <c r="M93" s="12">
        <f>SUM(E93*L93)</f>
        <v>0</v>
      </c>
      <c r="N93" s="12"/>
      <c r="O93" s="12">
        <f>SUM(E93*N93)</f>
        <v>0</v>
      </c>
      <c r="P93" s="12"/>
      <c r="Q93" s="12">
        <f t="shared" si="89"/>
        <v>0</v>
      </c>
      <c r="R93" s="12"/>
      <c r="S93" s="12">
        <f t="shared" si="90"/>
        <v>0</v>
      </c>
      <c r="T93" s="12"/>
      <c r="U93" s="12">
        <f t="shared" si="91"/>
        <v>0</v>
      </c>
      <c r="V93" s="12"/>
      <c r="W93" s="12">
        <f>SUM(E93*V93)</f>
        <v>0</v>
      </c>
      <c r="X93" s="43">
        <f t="shared" si="93"/>
        <v>0</v>
      </c>
      <c r="Y93" s="12">
        <f t="shared" si="94"/>
        <v>0</v>
      </c>
      <c r="Z93" s="614"/>
      <c r="AA93" s="615"/>
      <c r="AB93" s="614"/>
      <c r="AC93" s="615"/>
      <c r="AD93" s="68"/>
      <c r="AE93" s="66"/>
      <c r="AF93" s="68"/>
      <c r="AG93" s="66"/>
    </row>
    <row r="94" spans="2:33" s="3" customFormat="1" x14ac:dyDescent="0.2">
      <c r="B94" s="11" t="s">
        <v>131</v>
      </c>
      <c r="C94" s="11" t="s">
        <v>22</v>
      </c>
      <c r="D94" s="11" t="s">
        <v>3</v>
      </c>
      <c r="E94" s="11">
        <v>100</v>
      </c>
      <c r="F94" s="12">
        <v>0</v>
      </c>
      <c r="G94" s="12">
        <v>0</v>
      </c>
      <c r="H94" s="12"/>
      <c r="I94" s="12">
        <f>SUM(H94*E94)</f>
        <v>0</v>
      </c>
      <c r="J94" s="12"/>
      <c r="K94" s="12">
        <f>SUM(E94*J94)</f>
        <v>0</v>
      </c>
      <c r="L94" s="12">
        <v>0.25</v>
      </c>
      <c r="M94" s="12">
        <f>SUM(E94*L94)</f>
        <v>25</v>
      </c>
      <c r="N94" s="12"/>
      <c r="O94" s="12">
        <f>SUM(E94*N94)</f>
        <v>0</v>
      </c>
      <c r="P94" s="12"/>
      <c r="Q94" s="12">
        <f t="shared" si="89"/>
        <v>0</v>
      </c>
      <c r="R94" s="12"/>
      <c r="S94" s="12">
        <f t="shared" si="90"/>
        <v>0</v>
      </c>
      <c r="T94" s="12"/>
      <c r="U94" s="12">
        <f t="shared" si="91"/>
        <v>0</v>
      </c>
      <c r="V94" s="12"/>
      <c r="W94" s="12">
        <f>SUM(E94*V94)</f>
        <v>0</v>
      </c>
      <c r="X94" s="43">
        <f t="shared" si="93"/>
        <v>0.25</v>
      </c>
      <c r="Y94" s="12">
        <f t="shared" si="94"/>
        <v>25</v>
      </c>
      <c r="Z94" s="614"/>
      <c r="AA94" s="615"/>
      <c r="AB94" s="614"/>
      <c r="AC94" s="615"/>
      <c r="AD94" s="68"/>
      <c r="AE94" s="66"/>
      <c r="AF94" s="68"/>
      <c r="AG94" s="66"/>
    </row>
    <row r="95" spans="2:33" s="3" customFormat="1" x14ac:dyDescent="0.2">
      <c r="B95" s="11" t="s">
        <v>101</v>
      </c>
      <c r="C95" s="11" t="s">
        <v>22</v>
      </c>
      <c r="D95" s="11" t="s">
        <v>9</v>
      </c>
      <c r="E95" s="11">
        <v>75</v>
      </c>
      <c r="F95" s="12">
        <v>0.25</v>
      </c>
      <c r="G95" s="12">
        <v>18.75</v>
      </c>
      <c r="H95" s="12"/>
      <c r="I95" s="12">
        <f t="shared" si="95"/>
        <v>0</v>
      </c>
      <c r="J95" s="12"/>
      <c r="K95" s="12">
        <f t="shared" si="86"/>
        <v>0</v>
      </c>
      <c r="L95" s="12"/>
      <c r="M95" s="12">
        <f t="shared" si="87"/>
        <v>0</v>
      </c>
      <c r="N95" s="12"/>
      <c r="O95" s="12">
        <f t="shared" si="88"/>
        <v>0</v>
      </c>
      <c r="P95" s="12"/>
      <c r="Q95" s="12">
        <f t="shared" si="89"/>
        <v>0</v>
      </c>
      <c r="R95" s="12"/>
      <c r="S95" s="12">
        <f t="shared" si="90"/>
        <v>0</v>
      </c>
      <c r="T95" s="12"/>
      <c r="U95" s="12">
        <f t="shared" si="91"/>
        <v>0</v>
      </c>
      <c r="V95" s="12"/>
      <c r="W95" s="12">
        <f t="shared" si="92"/>
        <v>0</v>
      </c>
      <c r="X95" s="43">
        <f t="shared" si="93"/>
        <v>0.25</v>
      </c>
      <c r="Y95" s="12">
        <f t="shared" si="94"/>
        <v>18.75</v>
      </c>
      <c r="Z95" s="614"/>
      <c r="AA95" s="615"/>
      <c r="AB95" s="614"/>
      <c r="AC95" s="615"/>
      <c r="AD95" s="68"/>
      <c r="AE95" s="66"/>
      <c r="AF95" s="68"/>
      <c r="AG95" s="66"/>
    </row>
    <row r="96" spans="2:33" s="3" customFormat="1" x14ac:dyDescent="0.2">
      <c r="B96" s="11" t="s">
        <v>15</v>
      </c>
      <c r="C96" s="11" t="s">
        <v>22</v>
      </c>
      <c r="D96" s="11" t="s">
        <v>9</v>
      </c>
      <c r="E96" s="11">
        <v>75</v>
      </c>
      <c r="F96" s="12">
        <v>1</v>
      </c>
      <c r="G96" s="12">
        <v>75</v>
      </c>
      <c r="H96" s="12">
        <v>35</v>
      </c>
      <c r="I96" s="12">
        <f t="shared" si="95"/>
        <v>2625</v>
      </c>
      <c r="J96" s="12">
        <v>49.5</v>
      </c>
      <c r="K96" s="12">
        <f t="shared" si="86"/>
        <v>3712.5</v>
      </c>
      <c r="L96" s="12">
        <v>95.5</v>
      </c>
      <c r="M96" s="12">
        <f t="shared" si="87"/>
        <v>7162.5</v>
      </c>
      <c r="N96" s="12">
        <v>121.5</v>
      </c>
      <c r="O96" s="12">
        <f t="shared" si="88"/>
        <v>9112.5</v>
      </c>
      <c r="P96" s="12">
        <f>2.5+104</f>
        <v>106.5</v>
      </c>
      <c r="Q96" s="12">
        <f t="shared" si="89"/>
        <v>7987.5</v>
      </c>
      <c r="R96" s="12">
        <v>96.5</v>
      </c>
      <c r="S96" s="12">
        <f t="shared" si="90"/>
        <v>7237.5</v>
      </c>
      <c r="T96" s="12"/>
      <c r="U96" s="12">
        <f t="shared" si="91"/>
        <v>0</v>
      </c>
      <c r="V96" s="12"/>
      <c r="W96" s="12">
        <f t="shared" si="92"/>
        <v>0</v>
      </c>
      <c r="X96" s="43">
        <f t="shared" si="93"/>
        <v>505.5</v>
      </c>
      <c r="Y96" s="12">
        <f t="shared" si="94"/>
        <v>37912.5</v>
      </c>
      <c r="Z96" s="614"/>
      <c r="AA96" s="615"/>
      <c r="AB96" s="614"/>
      <c r="AC96" s="615"/>
      <c r="AD96" s="68"/>
      <c r="AE96" s="66"/>
      <c r="AF96" s="68"/>
      <c r="AG96" s="66"/>
    </row>
    <row r="97" spans="2:34" s="3" customFormat="1" x14ac:dyDescent="0.2">
      <c r="B97" s="11" t="s">
        <v>17</v>
      </c>
      <c r="C97" s="11" t="s">
        <v>22</v>
      </c>
      <c r="D97" s="11" t="s">
        <v>9</v>
      </c>
      <c r="E97" s="11">
        <v>75</v>
      </c>
      <c r="F97" s="12">
        <v>4</v>
      </c>
      <c r="G97" s="12">
        <v>300</v>
      </c>
      <c r="H97" s="12"/>
      <c r="I97" s="12">
        <f t="shared" si="95"/>
        <v>0</v>
      </c>
      <c r="J97" s="12">
        <v>0.5</v>
      </c>
      <c r="K97" s="12">
        <f t="shared" si="86"/>
        <v>37.5</v>
      </c>
      <c r="L97" s="12"/>
      <c r="M97" s="12">
        <f t="shared" si="87"/>
        <v>0</v>
      </c>
      <c r="N97" s="12"/>
      <c r="O97" s="12">
        <f t="shared" si="88"/>
        <v>0</v>
      </c>
      <c r="P97" s="12"/>
      <c r="Q97" s="12">
        <f t="shared" si="89"/>
        <v>0</v>
      </c>
      <c r="R97" s="12">
        <v>0.75</v>
      </c>
      <c r="S97" s="12">
        <f t="shared" si="90"/>
        <v>56.25</v>
      </c>
      <c r="T97" s="12"/>
      <c r="U97" s="12">
        <f t="shared" si="91"/>
        <v>0</v>
      </c>
      <c r="V97" s="12"/>
      <c r="W97" s="12">
        <f t="shared" si="92"/>
        <v>0</v>
      </c>
      <c r="X97" s="43">
        <f t="shared" si="93"/>
        <v>5.25</v>
      </c>
      <c r="Y97" s="12">
        <f t="shared" si="94"/>
        <v>393.75</v>
      </c>
      <c r="Z97" s="614"/>
      <c r="AA97" s="615"/>
      <c r="AB97" s="614"/>
      <c r="AC97" s="615"/>
      <c r="AD97" s="68"/>
      <c r="AE97" s="66"/>
      <c r="AF97" s="68"/>
      <c r="AG97" s="66"/>
    </row>
    <row r="98" spans="2:34" s="3" customFormat="1" x14ac:dyDescent="0.2">
      <c r="B98" s="11" t="s">
        <v>132</v>
      </c>
      <c r="C98" s="11" t="s">
        <v>22</v>
      </c>
      <c r="D98" s="11" t="s">
        <v>9</v>
      </c>
      <c r="E98" s="11">
        <v>75</v>
      </c>
      <c r="F98" s="12">
        <v>0</v>
      </c>
      <c r="G98" s="12">
        <v>0</v>
      </c>
      <c r="H98" s="12"/>
      <c r="I98" s="12">
        <f>SUM(H98*E98)</f>
        <v>0</v>
      </c>
      <c r="J98" s="12"/>
      <c r="K98" s="12">
        <f>SUM(E98*J98)</f>
        <v>0</v>
      </c>
      <c r="L98" s="12"/>
      <c r="M98" s="12">
        <f>SUM(E98*L98)</f>
        <v>0</v>
      </c>
      <c r="N98" s="12">
        <v>0.75</v>
      </c>
      <c r="O98" s="12">
        <f>SUM(E98*N98)</f>
        <v>56.25</v>
      </c>
      <c r="P98" s="12"/>
      <c r="Q98" s="12">
        <f t="shared" si="89"/>
        <v>0</v>
      </c>
      <c r="R98" s="12"/>
      <c r="S98" s="12">
        <f t="shared" si="90"/>
        <v>0</v>
      </c>
      <c r="T98" s="12"/>
      <c r="U98" s="12">
        <f t="shared" si="91"/>
        <v>0</v>
      </c>
      <c r="V98" s="12"/>
      <c r="W98" s="12">
        <f>SUM(E98*V98)</f>
        <v>0</v>
      </c>
      <c r="X98" s="43">
        <f t="shared" si="93"/>
        <v>0.75</v>
      </c>
      <c r="Y98" s="12">
        <f t="shared" si="94"/>
        <v>56.25</v>
      </c>
      <c r="Z98" s="614"/>
      <c r="AA98" s="615"/>
      <c r="AB98" s="614"/>
      <c r="AC98" s="615"/>
      <c r="AD98" s="68"/>
      <c r="AE98" s="66"/>
      <c r="AF98" s="68"/>
      <c r="AG98" s="66"/>
    </row>
    <row r="99" spans="2:34" s="3" customFormat="1" x14ac:dyDescent="0.2">
      <c r="B99" s="11" t="s">
        <v>14</v>
      </c>
      <c r="C99" s="11" t="s">
        <v>22</v>
      </c>
      <c r="D99" s="11" t="s">
        <v>16</v>
      </c>
      <c r="E99" s="11">
        <v>60</v>
      </c>
      <c r="F99" s="12">
        <v>59.25</v>
      </c>
      <c r="G99" s="12">
        <v>3555</v>
      </c>
      <c r="H99" s="12"/>
      <c r="I99" s="12">
        <f>SUM(H99*E99)</f>
        <v>0</v>
      </c>
      <c r="J99" s="12"/>
      <c r="K99" s="12">
        <f>SUM(E99*J99)</f>
        <v>0</v>
      </c>
      <c r="L99" s="12">
        <v>10.5</v>
      </c>
      <c r="M99" s="12">
        <f>SUM(E99*L99)</f>
        <v>630</v>
      </c>
      <c r="N99" s="12"/>
      <c r="O99" s="12">
        <f>SUM(E99*N99)</f>
        <v>0</v>
      </c>
      <c r="P99" s="12"/>
      <c r="Q99" s="12">
        <f>SUM(E99*P99)</f>
        <v>0</v>
      </c>
      <c r="R99" s="12"/>
      <c r="S99" s="12">
        <f>SUM(E99*R99)</f>
        <v>0</v>
      </c>
      <c r="T99" s="12"/>
      <c r="U99" s="12">
        <f>SUM(E99*T99)</f>
        <v>0</v>
      </c>
      <c r="V99" s="12">
        <v>3</v>
      </c>
      <c r="W99" s="12">
        <f>SUM(E99*V99)</f>
        <v>180</v>
      </c>
      <c r="X99" s="43">
        <f t="shared" si="93"/>
        <v>72.75</v>
      </c>
      <c r="Y99" s="12">
        <f t="shared" si="94"/>
        <v>4365</v>
      </c>
      <c r="Z99" s="614"/>
      <c r="AA99" s="615"/>
      <c r="AB99" s="614"/>
      <c r="AC99" s="615"/>
      <c r="AD99" s="68"/>
      <c r="AE99" s="66"/>
      <c r="AF99" s="68"/>
      <c r="AG99" s="66"/>
    </row>
    <row r="100" spans="2:34" s="3" customFormat="1" x14ac:dyDescent="0.2">
      <c r="B100" s="11" t="s">
        <v>59</v>
      </c>
      <c r="C100" s="11" t="s">
        <v>22</v>
      </c>
      <c r="D100" s="11" t="s">
        <v>20</v>
      </c>
      <c r="E100" s="11">
        <v>35</v>
      </c>
      <c r="F100" s="12">
        <v>85.5</v>
      </c>
      <c r="G100" s="12">
        <v>2992.5</v>
      </c>
      <c r="H100" s="12"/>
      <c r="I100" s="12">
        <f t="shared" si="95"/>
        <v>0</v>
      </c>
      <c r="J100" s="12"/>
      <c r="K100" s="12">
        <f t="shared" si="86"/>
        <v>0</v>
      </c>
      <c r="L100" s="12"/>
      <c r="M100" s="12">
        <f t="shared" si="87"/>
        <v>0</v>
      </c>
      <c r="N100" s="12"/>
      <c r="O100" s="12">
        <f t="shared" si="88"/>
        <v>0</v>
      </c>
      <c r="P100" s="12"/>
      <c r="Q100" s="12">
        <f t="shared" si="89"/>
        <v>0</v>
      </c>
      <c r="R100" s="12"/>
      <c r="S100" s="12">
        <f t="shared" si="90"/>
        <v>0</v>
      </c>
      <c r="T100" s="12"/>
      <c r="U100" s="12">
        <f t="shared" si="91"/>
        <v>0</v>
      </c>
      <c r="V100" s="12"/>
      <c r="W100" s="12">
        <f t="shared" si="92"/>
        <v>0</v>
      </c>
      <c r="X100" s="43">
        <f t="shared" si="93"/>
        <v>85.5</v>
      </c>
      <c r="Y100" s="12">
        <f t="shared" si="94"/>
        <v>2992.5</v>
      </c>
      <c r="Z100" s="614"/>
      <c r="AA100" s="615"/>
      <c r="AB100" s="614"/>
      <c r="AC100" s="615"/>
      <c r="AD100" s="68"/>
      <c r="AE100" s="66"/>
      <c r="AF100" s="68"/>
      <c r="AG100" s="66"/>
    </row>
    <row r="101" spans="2:34" s="3" customFormat="1" x14ac:dyDescent="0.2">
      <c r="B101" s="11" t="s">
        <v>108</v>
      </c>
      <c r="C101" s="11" t="s">
        <v>22</v>
      </c>
      <c r="D101" s="11" t="s">
        <v>20</v>
      </c>
      <c r="E101" s="11">
        <v>35</v>
      </c>
      <c r="F101" s="12"/>
      <c r="G101" s="12"/>
      <c r="H101" s="12"/>
      <c r="I101" s="12">
        <f>SUM(H101*E101)</f>
        <v>0</v>
      </c>
      <c r="J101" s="12"/>
      <c r="K101" s="12">
        <f>SUM(E101*J101)</f>
        <v>0</v>
      </c>
      <c r="L101" s="12">
        <v>2.75</v>
      </c>
      <c r="M101" s="12">
        <f>SUM(E101*L101)</f>
        <v>96.25</v>
      </c>
      <c r="N101" s="12"/>
      <c r="O101" s="12">
        <f>SUM(E101*N101)</f>
        <v>0</v>
      </c>
      <c r="P101" s="12"/>
      <c r="Q101" s="12">
        <f t="shared" si="89"/>
        <v>0</v>
      </c>
      <c r="R101" s="12"/>
      <c r="S101" s="12">
        <f t="shared" si="90"/>
        <v>0</v>
      </c>
      <c r="T101" s="12">
        <v>7.75</v>
      </c>
      <c r="U101" s="12">
        <f t="shared" si="91"/>
        <v>271.25</v>
      </c>
      <c r="V101" s="12"/>
      <c r="W101" s="12">
        <f>SUM(E101*V101)</f>
        <v>0</v>
      </c>
      <c r="X101" s="43">
        <f t="shared" si="93"/>
        <v>10.5</v>
      </c>
      <c r="Y101" s="12">
        <f t="shared" si="94"/>
        <v>367.5</v>
      </c>
      <c r="Z101" s="614"/>
      <c r="AA101" s="615"/>
      <c r="AB101" s="614"/>
      <c r="AC101" s="615"/>
      <c r="AD101" s="68"/>
      <c r="AE101" s="66"/>
      <c r="AF101" s="68"/>
      <c r="AG101" s="66"/>
    </row>
    <row r="102" spans="2:34" s="3" customFormat="1" x14ac:dyDescent="0.2">
      <c r="B102" s="11" t="s">
        <v>142</v>
      </c>
      <c r="C102" s="11" t="s">
        <v>22</v>
      </c>
      <c r="D102" s="11" t="s">
        <v>20</v>
      </c>
      <c r="E102" s="11">
        <v>35</v>
      </c>
      <c r="F102" s="12"/>
      <c r="G102" s="12"/>
      <c r="H102" s="12"/>
      <c r="I102" s="12">
        <f t="shared" ref="I102" si="96">SUM(H102*E102)</f>
        <v>0</v>
      </c>
      <c r="J102" s="12"/>
      <c r="K102" s="12">
        <f t="shared" ref="K102" si="97">SUM(E102*J102)</f>
        <v>0</v>
      </c>
      <c r="L102" s="12"/>
      <c r="M102" s="12">
        <f t="shared" ref="M102" si="98">SUM(E102*L102)</f>
        <v>0</v>
      </c>
      <c r="N102" s="12"/>
      <c r="O102" s="12">
        <f t="shared" ref="O102" si="99">SUM(E102*N102)</f>
        <v>0</v>
      </c>
      <c r="P102" s="12"/>
      <c r="Q102" s="12">
        <f t="shared" ref="Q102" si="100">SUM(E102*P102)</f>
        <v>0</v>
      </c>
      <c r="R102" s="12">
        <v>1.5</v>
      </c>
      <c r="S102" s="12">
        <f t="shared" si="90"/>
        <v>52.5</v>
      </c>
      <c r="T102" s="12"/>
      <c r="U102" s="12">
        <f t="shared" si="91"/>
        <v>0</v>
      </c>
      <c r="V102" s="12"/>
      <c r="W102" s="12">
        <f t="shared" ref="W102" si="101">SUM(E102*V102)</f>
        <v>0</v>
      </c>
      <c r="X102" s="43">
        <f t="shared" si="93"/>
        <v>1.5</v>
      </c>
      <c r="Y102" s="12">
        <f t="shared" si="94"/>
        <v>52.5</v>
      </c>
      <c r="Z102" s="614"/>
      <c r="AA102" s="615"/>
      <c r="AB102" s="614"/>
      <c r="AC102" s="615"/>
      <c r="AD102" s="68"/>
      <c r="AE102" s="66"/>
      <c r="AF102" s="68"/>
      <c r="AG102" s="66"/>
    </row>
    <row r="103" spans="2:34" s="3" customFormat="1" x14ac:dyDescent="0.2">
      <c r="B103" s="11" t="s">
        <v>102</v>
      </c>
      <c r="C103" s="11" t="s">
        <v>22</v>
      </c>
      <c r="D103" s="11" t="s">
        <v>20</v>
      </c>
      <c r="E103" s="11">
        <v>35</v>
      </c>
      <c r="F103" s="12">
        <v>116.5</v>
      </c>
      <c r="G103" s="12">
        <v>4077.5</v>
      </c>
      <c r="H103" s="12">
        <v>34</v>
      </c>
      <c r="I103" s="12">
        <f t="shared" si="95"/>
        <v>1190</v>
      </c>
      <c r="J103" s="12">
        <v>57.5</v>
      </c>
      <c r="K103" s="12">
        <f t="shared" si="86"/>
        <v>2012.5</v>
      </c>
      <c r="L103" s="12">
        <v>77.5</v>
      </c>
      <c r="M103" s="12">
        <f t="shared" si="87"/>
        <v>2712.5</v>
      </c>
      <c r="N103" s="12">
        <v>45.5</v>
      </c>
      <c r="O103" s="12">
        <f t="shared" si="88"/>
        <v>1592.5</v>
      </c>
      <c r="P103" s="12">
        <v>1.5</v>
      </c>
      <c r="Q103" s="12">
        <f t="shared" si="89"/>
        <v>52.5</v>
      </c>
      <c r="R103" s="12">
        <v>65.5</v>
      </c>
      <c r="S103" s="12">
        <f t="shared" si="90"/>
        <v>2292.5</v>
      </c>
      <c r="T103" s="12">
        <v>85.5</v>
      </c>
      <c r="U103" s="12">
        <f t="shared" si="91"/>
        <v>2992.5</v>
      </c>
      <c r="V103" s="12"/>
      <c r="W103" s="12">
        <f t="shared" si="92"/>
        <v>0</v>
      </c>
      <c r="X103" s="43">
        <f t="shared" si="93"/>
        <v>483.5</v>
      </c>
      <c r="Y103" s="12">
        <f t="shared" si="94"/>
        <v>16922.5</v>
      </c>
      <c r="Z103" s="614"/>
      <c r="AA103" s="615"/>
      <c r="AB103" s="614"/>
      <c r="AC103" s="615"/>
      <c r="AD103" s="68"/>
      <c r="AE103" s="66"/>
      <c r="AF103" s="68"/>
      <c r="AG103" s="66"/>
    </row>
    <row r="104" spans="2:34" s="3" customFormat="1" x14ac:dyDescent="0.2">
      <c r="B104" s="11" t="s">
        <v>147</v>
      </c>
      <c r="C104" s="11" t="s">
        <v>22</v>
      </c>
      <c r="D104" s="11" t="s">
        <v>20</v>
      </c>
      <c r="E104" s="11">
        <v>35</v>
      </c>
      <c r="F104" s="12">
        <v>0</v>
      </c>
      <c r="G104" s="12">
        <v>0</v>
      </c>
      <c r="H104" s="12"/>
      <c r="I104" s="12">
        <f t="shared" si="95"/>
        <v>0</v>
      </c>
      <c r="J104" s="12"/>
      <c r="K104" s="12">
        <f t="shared" si="86"/>
        <v>0</v>
      </c>
      <c r="L104" s="12"/>
      <c r="M104" s="12">
        <f t="shared" si="87"/>
        <v>0</v>
      </c>
      <c r="N104" s="12"/>
      <c r="O104" s="12">
        <f t="shared" si="88"/>
        <v>0</v>
      </c>
      <c r="P104" s="12"/>
      <c r="Q104" s="12">
        <f t="shared" si="89"/>
        <v>0</v>
      </c>
      <c r="R104" s="12"/>
      <c r="S104" s="12">
        <f t="shared" si="90"/>
        <v>0</v>
      </c>
      <c r="T104" s="12"/>
      <c r="U104" s="12">
        <f t="shared" si="91"/>
        <v>0</v>
      </c>
      <c r="V104" s="12">
        <v>46</v>
      </c>
      <c r="W104" s="12">
        <f t="shared" si="92"/>
        <v>1610</v>
      </c>
      <c r="X104" s="43">
        <f t="shared" si="93"/>
        <v>46</v>
      </c>
      <c r="Y104" s="12">
        <f t="shared" si="94"/>
        <v>1610</v>
      </c>
      <c r="Z104" s="614"/>
      <c r="AA104" s="615"/>
      <c r="AB104" s="614"/>
      <c r="AC104" s="615"/>
      <c r="AD104" s="68"/>
      <c r="AE104" s="66"/>
      <c r="AF104" s="68"/>
      <c r="AG104" s="66"/>
    </row>
    <row r="105" spans="2:34" s="3" customFormat="1" x14ac:dyDescent="0.2">
      <c r="B105" s="62" t="s">
        <v>4</v>
      </c>
      <c r="C105" s="62" t="s">
        <v>22</v>
      </c>
      <c r="D105" s="23"/>
      <c r="E105" s="23"/>
      <c r="F105" s="24">
        <f t="shared" ref="F105:Y105" si="102">SUM(F75:F104)</f>
        <v>1375</v>
      </c>
      <c r="G105" s="24">
        <f t="shared" si="102"/>
        <v>135391.25</v>
      </c>
      <c r="H105" s="24">
        <f t="shared" si="102"/>
        <v>309</v>
      </c>
      <c r="I105" s="24">
        <f t="shared" si="102"/>
        <v>30236.5</v>
      </c>
      <c r="J105" s="24">
        <f t="shared" si="102"/>
        <v>350.5</v>
      </c>
      <c r="K105" s="24">
        <f t="shared" si="102"/>
        <v>32932</v>
      </c>
      <c r="L105" s="24">
        <f t="shared" si="102"/>
        <v>531.5</v>
      </c>
      <c r="M105" s="24">
        <f t="shared" si="102"/>
        <v>48722.75</v>
      </c>
      <c r="N105" s="24">
        <f t="shared" si="102"/>
        <v>488</v>
      </c>
      <c r="O105" s="24">
        <f t="shared" si="102"/>
        <v>47654.25</v>
      </c>
      <c r="P105" s="24">
        <f t="shared" si="102"/>
        <v>387</v>
      </c>
      <c r="Q105" s="24">
        <f t="shared" si="102"/>
        <v>39580</v>
      </c>
      <c r="R105" s="24">
        <f t="shared" si="102"/>
        <v>402</v>
      </c>
      <c r="S105" s="24">
        <f t="shared" si="102"/>
        <v>36784.75</v>
      </c>
      <c r="T105" s="24">
        <f t="shared" si="102"/>
        <v>337.75</v>
      </c>
      <c r="U105" s="24">
        <f t="shared" si="102"/>
        <v>31135.75</v>
      </c>
      <c r="V105" s="24">
        <f t="shared" si="102"/>
        <v>212</v>
      </c>
      <c r="W105" s="24">
        <f t="shared" si="102"/>
        <v>21373</v>
      </c>
      <c r="X105" s="63">
        <f t="shared" si="102"/>
        <v>4392.75</v>
      </c>
      <c r="Y105" s="63">
        <f t="shared" si="102"/>
        <v>423810.25</v>
      </c>
      <c r="Z105" s="621">
        <v>350</v>
      </c>
      <c r="AA105" s="617">
        <f>Z105*AH73</f>
        <v>31097.499999999996</v>
      </c>
      <c r="AB105" s="621">
        <v>300</v>
      </c>
      <c r="AC105" s="626">
        <f>AB105*AH73</f>
        <v>26655</v>
      </c>
      <c r="AD105" s="616">
        <f>X105+Z105+AB105</f>
        <v>5042.75</v>
      </c>
      <c r="AE105" s="626">
        <f>AD105*AH73</f>
        <v>448048.33749999997</v>
      </c>
      <c r="AF105" s="616">
        <v>3650</v>
      </c>
      <c r="AG105" s="626">
        <f>AF105*AH$73</f>
        <v>324302.5</v>
      </c>
      <c r="AH105" s="630">
        <f>(1/AG105)*AE105</f>
        <v>1.3815753424657533</v>
      </c>
    </row>
    <row r="106" spans="2:34" s="3" customFormat="1" x14ac:dyDescent="0.2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41"/>
      <c r="N106" s="641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18"/>
      <c r="AA106" s="618"/>
      <c r="AB106" s="618"/>
      <c r="AC106" s="618"/>
    </row>
    <row r="107" spans="2:34" s="3" customFormat="1" x14ac:dyDescent="0.2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18"/>
      <c r="AA107" s="618"/>
      <c r="AB107" s="618"/>
      <c r="AC107" s="618"/>
    </row>
    <row r="108" spans="2:34" s="3" customFormat="1" ht="12.75" x14ac:dyDescent="0.2">
      <c r="B108" s="17" t="s">
        <v>74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36" t="s">
        <v>310</v>
      </c>
      <c r="AA108" s="637"/>
      <c r="AB108" s="636" t="s">
        <v>311</v>
      </c>
      <c r="AC108" s="637"/>
      <c r="AD108" s="638" t="s">
        <v>154</v>
      </c>
      <c r="AE108" s="639"/>
      <c r="AF108" s="638" t="s">
        <v>152</v>
      </c>
      <c r="AG108" s="639"/>
    </row>
    <row r="109" spans="2:34" s="3" customFormat="1" ht="24" x14ac:dyDescent="0.2">
      <c r="B109" s="7" t="s">
        <v>0</v>
      </c>
      <c r="C109" s="7" t="s">
        <v>10</v>
      </c>
      <c r="D109" s="8" t="s">
        <v>1</v>
      </c>
      <c r="E109" s="8" t="s">
        <v>7</v>
      </c>
      <c r="F109" s="8" t="s">
        <v>121</v>
      </c>
      <c r="G109" s="8" t="s">
        <v>122</v>
      </c>
      <c r="H109" s="9" t="s">
        <v>34</v>
      </c>
      <c r="I109" s="9" t="s">
        <v>35</v>
      </c>
      <c r="J109" s="9" t="s">
        <v>36</v>
      </c>
      <c r="K109" s="9" t="s">
        <v>37</v>
      </c>
      <c r="L109" s="9" t="s">
        <v>38</v>
      </c>
      <c r="M109" s="9" t="s">
        <v>39</v>
      </c>
      <c r="N109" s="9" t="s">
        <v>40</v>
      </c>
      <c r="O109" s="9" t="s">
        <v>41</v>
      </c>
      <c r="P109" s="9" t="s">
        <v>42</v>
      </c>
      <c r="Q109" s="9" t="s">
        <v>43</v>
      </c>
      <c r="R109" s="9" t="s">
        <v>44</v>
      </c>
      <c r="S109" s="9" t="s">
        <v>45</v>
      </c>
      <c r="T109" s="9" t="s">
        <v>46</v>
      </c>
      <c r="U109" s="9" t="s">
        <v>47</v>
      </c>
      <c r="V109" s="9" t="s">
        <v>48</v>
      </c>
      <c r="W109" s="9" t="s">
        <v>49</v>
      </c>
      <c r="X109" s="10" t="s">
        <v>5</v>
      </c>
      <c r="Y109" s="10" t="s">
        <v>6</v>
      </c>
      <c r="Z109" s="612" t="s">
        <v>5</v>
      </c>
      <c r="AA109" s="613" t="s">
        <v>6</v>
      </c>
      <c r="AB109" s="612" t="s">
        <v>5</v>
      </c>
      <c r="AC109" s="613" t="s">
        <v>6</v>
      </c>
      <c r="AD109" s="67" t="s">
        <v>5</v>
      </c>
      <c r="AE109" s="65" t="s">
        <v>6</v>
      </c>
      <c r="AF109" s="67" t="s">
        <v>5</v>
      </c>
      <c r="AG109" s="65" t="s">
        <v>6</v>
      </c>
    </row>
    <row r="110" spans="2:34" s="3" customFormat="1" x14ac:dyDescent="0.2">
      <c r="B110" s="11" t="s">
        <v>69</v>
      </c>
      <c r="C110" s="11" t="s">
        <v>25</v>
      </c>
      <c r="D110" s="11" t="s">
        <v>2</v>
      </c>
      <c r="E110" s="11">
        <v>140</v>
      </c>
      <c r="F110" s="12">
        <v>0</v>
      </c>
      <c r="G110" s="12">
        <v>0</v>
      </c>
      <c r="H110" s="12"/>
      <c r="I110" s="12">
        <f>SUM(E110*H110)</f>
        <v>0</v>
      </c>
      <c r="J110" s="12"/>
      <c r="K110" s="12">
        <f t="shared" ref="K110:K126" si="103">SUM(E110*J110)</f>
        <v>0</v>
      </c>
      <c r="L110" s="12"/>
      <c r="M110" s="12">
        <f t="shared" ref="M110:M126" si="104">SUM(E110*L110)</f>
        <v>0</v>
      </c>
      <c r="N110" s="12"/>
      <c r="O110" s="12">
        <f t="shared" ref="O110:O126" si="105">SUM(E110*N110)</f>
        <v>0</v>
      </c>
      <c r="P110" s="12"/>
      <c r="Q110" s="12">
        <f t="shared" ref="Q110:Q126" si="106">SUM(E110*P110)</f>
        <v>0</v>
      </c>
      <c r="R110" s="12"/>
      <c r="S110" s="12">
        <f t="shared" ref="S110:S126" si="107">SUM(E110*R110)</f>
        <v>0</v>
      </c>
      <c r="T110" s="12"/>
      <c r="U110" s="12">
        <f t="shared" ref="U110:U126" si="108">SUM(E110*T110)</f>
        <v>0</v>
      </c>
      <c r="V110" s="12"/>
      <c r="W110" s="12">
        <f t="shared" ref="W110:W126" si="109">SUM(E110*V110)</f>
        <v>0</v>
      </c>
      <c r="X110" s="43">
        <f t="shared" ref="X110:X126" si="110">SUM(H110+J110+L110+N110+P110+R110+T110+V110+F110)</f>
        <v>0</v>
      </c>
      <c r="Y110" s="12">
        <f t="shared" ref="Y110:Y126" si="111">ROUND(X110*E110*2,1)/2</f>
        <v>0</v>
      </c>
      <c r="Z110" s="614"/>
      <c r="AA110" s="615"/>
      <c r="AB110" s="614"/>
      <c r="AC110" s="615"/>
      <c r="AD110" s="68"/>
      <c r="AE110" s="66"/>
      <c r="AF110" s="68"/>
      <c r="AG110" s="66"/>
    </row>
    <row r="111" spans="2:34" s="3" customFormat="1" x14ac:dyDescent="0.2">
      <c r="B111" s="11" t="s">
        <v>95</v>
      </c>
      <c r="C111" s="11" t="s">
        <v>25</v>
      </c>
      <c r="D111" s="11" t="s">
        <v>2</v>
      </c>
      <c r="E111" s="11">
        <v>140</v>
      </c>
      <c r="F111" s="12">
        <v>0</v>
      </c>
      <c r="G111" s="12">
        <v>0</v>
      </c>
      <c r="H111" s="12"/>
      <c r="I111" s="12">
        <f>SUM(E111*H111)</f>
        <v>0</v>
      </c>
      <c r="J111" s="12"/>
      <c r="K111" s="12">
        <f>SUM(E111*J111)</f>
        <v>0</v>
      </c>
      <c r="L111" s="12">
        <v>4.75</v>
      </c>
      <c r="M111" s="12">
        <f>SUM(E111*L111)</f>
        <v>665</v>
      </c>
      <c r="N111" s="12"/>
      <c r="O111" s="12">
        <f>SUM(E111*N111)</f>
        <v>0</v>
      </c>
      <c r="P111" s="12"/>
      <c r="Q111" s="12">
        <f>SUM(E111*P111)</f>
        <v>0</v>
      </c>
      <c r="R111" s="12"/>
      <c r="S111" s="12">
        <f t="shared" si="107"/>
        <v>0</v>
      </c>
      <c r="T111" s="12"/>
      <c r="U111" s="12">
        <f t="shared" si="108"/>
        <v>0</v>
      </c>
      <c r="V111" s="12"/>
      <c r="W111" s="12">
        <f>SUM(E111*V111)</f>
        <v>0</v>
      </c>
      <c r="X111" s="43">
        <f t="shared" si="110"/>
        <v>4.75</v>
      </c>
      <c r="Y111" s="12">
        <f t="shared" si="111"/>
        <v>665</v>
      </c>
      <c r="Z111" s="614"/>
      <c r="AA111" s="615"/>
      <c r="AB111" s="614"/>
      <c r="AC111" s="615"/>
      <c r="AD111" s="68"/>
      <c r="AE111" s="66"/>
      <c r="AF111" s="68"/>
      <c r="AG111" s="66"/>
    </row>
    <row r="112" spans="2:34" s="3" customFormat="1" x14ac:dyDescent="0.2">
      <c r="B112" s="11" t="s">
        <v>141</v>
      </c>
      <c r="C112" s="11" t="s">
        <v>25</v>
      </c>
      <c r="D112" s="11" t="s">
        <v>2</v>
      </c>
      <c r="E112" s="11">
        <v>140</v>
      </c>
      <c r="F112" s="12"/>
      <c r="G112" s="12"/>
      <c r="H112" s="12"/>
      <c r="I112" s="12">
        <f t="shared" ref="I112" si="112">SUM(E112*H112)</f>
        <v>0</v>
      </c>
      <c r="J112" s="12"/>
      <c r="K112" s="12"/>
      <c r="L112" s="12"/>
      <c r="M112" s="12">
        <f t="shared" ref="M112" si="113">SUM(E112*L112)</f>
        <v>0</v>
      </c>
      <c r="N112" s="12"/>
      <c r="O112" s="12">
        <f t="shared" ref="O112" si="114">SUM(E112*N112)</f>
        <v>0</v>
      </c>
      <c r="P112" s="12"/>
      <c r="Q112" s="12">
        <f t="shared" ref="Q112" si="115">SUM(E112*P112)</f>
        <v>0</v>
      </c>
      <c r="R112" s="12">
        <v>0.75</v>
      </c>
      <c r="S112" s="12">
        <f t="shared" si="107"/>
        <v>105</v>
      </c>
      <c r="T112" s="12">
        <v>1.5</v>
      </c>
      <c r="U112" s="12">
        <f t="shared" si="108"/>
        <v>210</v>
      </c>
      <c r="V112" s="12">
        <v>1.75</v>
      </c>
      <c r="W112" s="12">
        <f t="shared" ref="W112" si="116">SUM(E112*V112)</f>
        <v>245</v>
      </c>
      <c r="X112" s="43">
        <f t="shared" si="110"/>
        <v>4</v>
      </c>
      <c r="Y112" s="12">
        <f t="shared" si="111"/>
        <v>560</v>
      </c>
      <c r="Z112" s="614"/>
      <c r="AA112" s="615"/>
      <c r="AB112" s="614"/>
      <c r="AC112" s="615"/>
      <c r="AD112" s="68"/>
      <c r="AE112" s="66"/>
      <c r="AF112" s="68"/>
      <c r="AG112" s="66"/>
    </row>
    <row r="113" spans="2:34" s="3" customFormat="1" x14ac:dyDescent="0.2">
      <c r="B113" s="11" t="s">
        <v>75</v>
      </c>
      <c r="C113" s="11" t="s">
        <v>25</v>
      </c>
      <c r="D113" s="11" t="s">
        <v>2</v>
      </c>
      <c r="E113" s="11">
        <v>140</v>
      </c>
      <c r="F113" s="12">
        <v>34</v>
      </c>
      <c r="G113" s="12">
        <v>4760</v>
      </c>
      <c r="H113" s="12">
        <v>1</v>
      </c>
      <c r="I113" s="12">
        <f t="shared" ref="I113:I126" si="117">SUM(E113*H113)</f>
        <v>140</v>
      </c>
      <c r="J113" s="12">
        <v>2</v>
      </c>
      <c r="K113" s="12">
        <f t="shared" si="103"/>
        <v>280</v>
      </c>
      <c r="L113" s="12"/>
      <c r="M113" s="12">
        <f t="shared" si="104"/>
        <v>0</v>
      </c>
      <c r="N113" s="12"/>
      <c r="O113" s="12">
        <f t="shared" si="105"/>
        <v>0</v>
      </c>
      <c r="P113" s="12"/>
      <c r="Q113" s="12">
        <f t="shared" si="106"/>
        <v>0</v>
      </c>
      <c r="R113" s="12"/>
      <c r="S113" s="12">
        <f t="shared" si="107"/>
        <v>0</v>
      </c>
      <c r="T113" s="12">
        <v>39</v>
      </c>
      <c r="U113" s="12">
        <f t="shared" si="108"/>
        <v>5460</v>
      </c>
      <c r="V113" s="12">
        <v>4</v>
      </c>
      <c r="W113" s="12">
        <f t="shared" si="109"/>
        <v>560</v>
      </c>
      <c r="X113" s="43">
        <f t="shared" si="110"/>
        <v>80</v>
      </c>
      <c r="Y113" s="12">
        <f t="shared" si="111"/>
        <v>11200</v>
      </c>
      <c r="Z113" s="614"/>
      <c r="AA113" s="615"/>
      <c r="AB113" s="614"/>
      <c r="AC113" s="615"/>
      <c r="AD113" s="68"/>
      <c r="AE113" s="66"/>
      <c r="AF113" s="68"/>
      <c r="AG113" s="66"/>
    </row>
    <row r="114" spans="2:34" s="3" customFormat="1" x14ac:dyDescent="0.2">
      <c r="B114" s="11" t="s">
        <v>55</v>
      </c>
      <c r="C114" s="11" t="s">
        <v>25</v>
      </c>
      <c r="D114" s="11" t="s">
        <v>2</v>
      </c>
      <c r="E114" s="11">
        <v>140</v>
      </c>
      <c r="F114" s="12">
        <v>29.25</v>
      </c>
      <c r="G114" s="12">
        <v>4095</v>
      </c>
      <c r="H114" s="12">
        <v>3.25</v>
      </c>
      <c r="I114" s="12">
        <f t="shared" si="117"/>
        <v>455</v>
      </c>
      <c r="J114" s="12">
        <v>1.5</v>
      </c>
      <c r="K114" s="12">
        <f t="shared" si="103"/>
        <v>210</v>
      </c>
      <c r="L114" s="12">
        <v>4</v>
      </c>
      <c r="M114" s="12">
        <f t="shared" si="104"/>
        <v>560</v>
      </c>
      <c r="N114" s="12">
        <v>0</v>
      </c>
      <c r="O114" s="12">
        <f t="shared" si="105"/>
        <v>0</v>
      </c>
      <c r="P114" s="12">
        <v>2.75</v>
      </c>
      <c r="Q114" s="12">
        <f t="shared" si="106"/>
        <v>385</v>
      </c>
      <c r="R114" s="12">
        <f>1.5+1.75</f>
        <v>3.25</v>
      </c>
      <c r="S114" s="12">
        <f t="shared" si="107"/>
        <v>455</v>
      </c>
      <c r="T114" s="12">
        <v>1.75</v>
      </c>
      <c r="U114" s="12">
        <f t="shared" si="108"/>
        <v>245</v>
      </c>
      <c r="V114" s="12">
        <f>2+4</f>
        <v>6</v>
      </c>
      <c r="W114" s="12">
        <f t="shared" si="109"/>
        <v>840</v>
      </c>
      <c r="X114" s="43">
        <f t="shared" si="110"/>
        <v>51.75</v>
      </c>
      <c r="Y114" s="12">
        <f t="shared" si="111"/>
        <v>7245</v>
      </c>
      <c r="Z114" s="614"/>
      <c r="AA114" s="615"/>
      <c r="AB114" s="614"/>
      <c r="AC114" s="615"/>
      <c r="AD114" s="68"/>
      <c r="AE114" s="66"/>
      <c r="AF114" s="68"/>
      <c r="AG114" s="66"/>
    </row>
    <row r="115" spans="2:34" s="3" customFormat="1" x14ac:dyDescent="0.2">
      <c r="B115" s="11" t="s">
        <v>26</v>
      </c>
      <c r="C115" s="11" t="s">
        <v>25</v>
      </c>
      <c r="D115" s="11" t="s">
        <v>2</v>
      </c>
      <c r="E115" s="11">
        <v>140</v>
      </c>
      <c r="F115" s="12">
        <v>0</v>
      </c>
      <c r="G115" s="12">
        <v>0</v>
      </c>
      <c r="H115" s="12">
        <v>1</v>
      </c>
      <c r="I115" s="12">
        <f t="shared" si="117"/>
        <v>140</v>
      </c>
      <c r="J115" s="12"/>
      <c r="K115" s="12">
        <f t="shared" si="103"/>
        <v>0</v>
      </c>
      <c r="L115" s="12"/>
      <c r="M115" s="12">
        <f t="shared" si="104"/>
        <v>0</v>
      </c>
      <c r="N115" s="12"/>
      <c r="O115" s="12">
        <f t="shared" si="105"/>
        <v>0</v>
      </c>
      <c r="P115" s="12"/>
      <c r="Q115" s="12">
        <f t="shared" si="106"/>
        <v>0</v>
      </c>
      <c r="R115" s="12"/>
      <c r="S115" s="12">
        <f t="shared" si="107"/>
        <v>0</v>
      </c>
      <c r="T115" s="12"/>
      <c r="U115" s="12">
        <f t="shared" si="108"/>
        <v>0</v>
      </c>
      <c r="V115" s="12"/>
      <c r="W115" s="12">
        <f t="shared" si="109"/>
        <v>0</v>
      </c>
      <c r="X115" s="43">
        <f t="shared" si="110"/>
        <v>1</v>
      </c>
      <c r="Y115" s="12">
        <f t="shared" si="111"/>
        <v>140</v>
      </c>
      <c r="Z115" s="614"/>
      <c r="AA115" s="615"/>
      <c r="AB115" s="614"/>
      <c r="AC115" s="615"/>
      <c r="AD115" s="68"/>
      <c r="AE115" s="66"/>
      <c r="AF115" s="68"/>
      <c r="AG115" s="66"/>
    </row>
    <row r="116" spans="2:34" s="3" customFormat="1" x14ac:dyDescent="0.2">
      <c r="B116" s="11" t="s">
        <v>110</v>
      </c>
      <c r="C116" s="11" t="s">
        <v>25</v>
      </c>
      <c r="D116" s="11" t="s">
        <v>8</v>
      </c>
      <c r="E116" s="11">
        <v>118</v>
      </c>
      <c r="F116" s="12">
        <v>7.25</v>
      </c>
      <c r="G116" s="12">
        <v>855.5</v>
      </c>
      <c r="H116" s="12"/>
      <c r="I116" s="12">
        <f t="shared" si="117"/>
        <v>0</v>
      </c>
      <c r="J116" s="12"/>
      <c r="K116" s="12">
        <f t="shared" si="103"/>
        <v>0</v>
      </c>
      <c r="L116" s="12"/>
      <c r="M116" s="12">
        <f t="shared" si="104"/>
        <v>0</v>
      </c>
      <c r="N116" s="12"/>
      <c r="O116" s="12">
        <f t="shared" si="105"/>
        <v>0</v>
      </c>
      <c r="P116" s="12"/>
      <c r="Q116" s="12">
        <f t="shared" si="106"/>
        <v>0</v>
      </c>
      <c r="R116" s="12"/>
      <c r="S116" s="12">
        <f t="shared" si="107"/>
        <v>0</v>
      </c>
      <c r="T116" s="12"/>
      <c r="U116" s="12">
        <f t="shared" si="108"/>
        <v>0</v>
      </c>
      <c r="V116" s="12"/>
      <c r="W116" s="12">
        <f t="shared" si="109"/>
        <v>0</v>
      </c>
      <c r="X116" s="43">
        <f t="shared" si="110"/>
        <v>7.25</v>
      </c>
      <c r="Y116" s="12">
        <f t="shared" si="111"/>
        <v>855.5</v>
      </c>
      <c r="Z116" s="614"/>
      <c r="AA116" s="615"/>
      <c r="AB116" s="614"/>
      <c r="AC116" s="615"/>
      <c r="AD116" s="68"/>
      <c r="AE116" s="66"/>
      <c r="AF116" s="68"/>
      <c r="AG116" s="66"/>
    </row>
    <row r="117" spans="2:34" s="3" customFormat="1" x14ac:dyDescent="0.2">
      <c r="B117" s="11" t="s">
        <v>56</v>
      </c>
      <c r="C117" s="11" t="s">
        <v>25</v>
      </c>
      <c r="D117" s="11" t="s">
        <v>8</v>
      </c>
      <c r="E117" s="11">
        <v>118</v>
      </c>
      <c r="F117" s="12">
        <v>24.25</v>
      </c>
      <c r="G117" s="12">
        <v>2861.5</v>
      </c>
      <c r="H117" s="12">
        <v>5.75</v>
      </c>
      <c r="I117" s="12">
        <f t="shared" si="117"/>
        <v>678.5</v>
      </c>
      <c r="J117" s="12">
        <v>3</v>
      </c>
      <c r="K117" s="12">
        <f t="shared" si="103"/>
        <v>354</v>
      </c>
      <c r="L117" s="12">
        <v>13.25</v>
      </c>
      <c r="M117" s="12">
        <f t="shared" si="104"/>
        <v>1563.5</v>
      </c>
      <c r="N117" s="12">
        <v>1</v>
      </c>
      <c r="O117" s="12">
        <f t="shared" si="105"/>
        <v>118</v>
      </c>
      <c r="P117" s="12">
        <v>14.5</v>
      </c>
      <c r="Q117" s="12">
        <f t="shared" si="106"/>
        <v>1711</v>
      </c>
      <c r="R117" s="12">
        <v>16.5</v>
      </c>
      <c r="S117" s="12">
        <f t="shared" si="107"/>
        <v>1947</v>
      </c>
      <c r="T117" s="12">
        <v>76</v>
      </c>
      <c r="U117" s="12">
        <f t="shared" si="108"/>
        <v>8968</v>
      </c>
      <c r="V117" s="12">
        <v>6.75</v>
      </c>
      <c r="W117" s="12">
        <f t="shared" si="109"/>
        <v>796.5</v>
      </c>
      <c r="X117" s="43">
        <f t="shared" si="110"/>
        <v>161</v>
      </c>
      <c r="Y117" s="12">
        <f t="shared" si="111"/>
        <v>18998</v>
      </c>
      <c r="Z117" s="614"/>
      <c r="AA117" s="615"/>
      <c r="AB117" s="614"/>
      <c r="AC117" s="615"/>
      <c r="AD117" s="68"/>
      <c r="AE117" s="66"/>
      <c r="AF117" s="68"/>
      <c r="AG117" s="66"/>
    </row>
    <row r="118" spans="2:34" s="3" customFormat="1" x14ac:dyDescent="0.2">
      <c r="B118" s="11" t="s">
        <v>70</v>
      </c>
      <c r="C118" s="11" t="s">
        <v>25</v>
      </c>
      <c r="D118" s="11" t="s">
        <v>3</v>
      </c>
      <c r="E118" s="11">
        <v>100</v>
      </c>
      <c r="F118" s="12">
        <v>6.25</v>
      </c>
      <c r="G118" s="12">
        <v>625</v>
      </c>
      <c r="H118" s="12"/>
      <c r="I118" s="12">
        <f t="shared" si="117"/>
        <v>0</v>
      </c>
      <c r="J118" s="12">
        <v>0.5</v>
      </c>
      <c r="K118" s="12">
        <f t="shared" si="103"/>
        <v>50</v>
      </c>
      <c r="L118" s="12"/>
      <c r="M118" s="12">
        <f t="shared" si="104"/>
        <v>0</v>
      </c>
      <c r="N118" s="12">
        <v>1</v>
      </c>
      <c r="O118" s="12">
        <f t="shared" si="105"/>
        <v>100</v>
      </c>
      <c r="P118" s="12">
        <v>0.5</v>
      </c>
      <c r="Q118" s="12">
        <f t="shared" si="106"/>
        <v>50</v>
      </c>
      <c r="R118" s="12">
        <v>1.75</v>
      </c>
      <c r="S118" s="12">
        <f t="shared" si="107"/>
        <v>175</v>
      </c>
      <c r="T118" s="12">
        <v>0.5</v>
      </c>
      <c r="U118" s="12">
        <f t="shared" si="108"/>
        <v>50</v>
      </c>
      <c r="V118" s="12"/>
      <c r="W118" s="12">
        <f t="shared" si="109"/>
        <v>0</v>
      </c>
      <c r="X118" s="43">
        <f t="shared" si="110"/>
        <v>10.5</v>
      </c>
      <c r="Y118" s="12">
        <f t="shared" si="111"/>
        <v>1050</v>
      </c>
      <c r="Z118" s="614"/>
      <c r="AA118" s="615"/>
      <c r="AB118" s="614"/>
      <c r="AC118" s="615"/>
      <c r="AD118" s="68"/>
      <c r="AE118" s="66"/>
      <c r="AF118" s="68"/>
      <c r="AG118" s="66"/>
    </row>
    <row r="119" spans="2:34" s="3" customFormat="1" x14ac:dyDescent="0.2">
      <c r="B119" s="11" t="s">
        <v>125</v>
      </c>
      <c r="C119" s="11" t="s">
        <v>25</v>
      </c>
      <c r="D119" s="11" t="s">
        <v>3</v>
      </c>
      <c r="E119" s="11">
        <v>100</v>
      </c>
      <c r="F119" s="12"/>
      <c r="G119" s="12"/>
      <c r="H119" s="12">
        <v>4</v>
      </c>
      <c r="I119" s="12">
        <f t="shared" si="117"/>
        <v>400</v>
      </c>
      <c r="J119" s="12"/>
      <c r="K119" s="12">
        <f t="shared" si="103"/>
        <v>0</v>
      </c>
      <c r="L119" s="12"/>
      <c r="M119" s="12">
        <f t="shared" si="104"/>
        <v>0</v>
      </c>
      <c r="N119" s="12"/>
      <c r="O119" s="12">
        <f t="shared" si="105"/>
        <v>0</v>
      </c>
      <c r="P119" s="12"/>
      <c r="Q119" s="12">
        <f t="shared" si="106"/>
        <v>0</v>
      </c>
      <c r="R119" s="12"/>
      <c r="S119" s="12">
        <f t="shared" si="107"/>
        <v>0</v>
      </c>
      <c r="T119" s="12">
        <v>2</v>
      </c>
      <c r="U119" s="12">
        <f t="shared" si="108"/>
        <v>200</v>
      </c>
      <c r="V119" s="12">
        <v>4.5</v>
      </c>
      <c r="W119" s="12">
        <f t="shared" si="109"/>
        <v>450</v>
      </c>
      <c r="X119" s="43">
        <f t="shared" si="110"/>
        <v>10.5</v>
      </c>
      <c r="Y119" s="12">
        <f t="shared" si="111"/>
        <v>1050</v>
      </c>
      <c r="Z119" s="614"/>
      <c r="AA119" s="615"/>
      <c r="AB119" s="614"/>
      <c r="AC119" s="615"/>
      <c r="AD119" s="68"/>
      <c r="AE119" s="66"/>
      <c r="AF119" s="68"/>
      <c r="AG119" s="66"/>
    </row>
    <row r="120" spans="2:34" s="3" customFormat="1" x14ac:dyDescent="0.2">
      <c r="B120" s="11" t="s">
        <v>71</v>
      </c>
      <c r="C120" s="11" t="s">
        <v>25</v>
      </c>
      <c r="D120" s="11" t="s">
        <v>3</v>
      </c>
      <c r="E120" s="11">
        <v>100</v>
      </c>
      <c r="F120" s="12">
        <v>0.25</v>
      </c>
      <c r="G120" s="12">
        <v>25</v>
      </c>
      <c r="H120" s="12"/>
      <c r="I120" s="12">
        <f t="shared" si="117"/>
        <v>0</v>
      </c>
      <c r="J120" s="12"/>
      <c r="K120" s="12">
        <f t="shared" si="103"/>
        <v>0</v>
      </c>
      <c r="L120" s="12"/>
      <c r="M120" s="12">
        <f t="shared" si="104"/>
        <v>0</v>
      </c>
      <c r="N120" s="12"/>
      <c r="O120" s="12">
        <f t="shared" si="105"/>
        <v>0</v>
      </c>
      <c r="P120" s="12">
        <v>0.25</v>
      </c>
      <c r="Q120" s="12">
        <f t="shared" si="106"/>
        <v>25</v>
      </c>
      <c r="R120" s="12"/>
      <c r="S120" s="12">
        <f t="shared" si="107"/>
        <v>0</v>
      </c>
      <c r="T120" s="12"/>
      <c r="U120" s="12">
        <f t="shared" si="108"/>
        <v>0</v>
      </c>
      <c r="V120" s="12"/>
      <c r="W120" s="12">
        <f t="shared" si="109"/>
        <v>0</v>
      </c>
      <c r="X120" s="43">
        <f t="shared" si="110"/>
        <v>0.5</v>
      </c>
      <c r="Y120" s="12">
        <f t="shared" si="111"/>
        <v>50</v>
      </c>
      <c r="Z120" s="614"/>
      <c r="AA120" s="615"/>
      <c r="AB120" s="614"/>
      <c r="AC120" s="615"/>
      <c r="AD120" s="68"/>
      <c r="AE120" s="66"/>
      <c r="AF120" s="68"/>
      <c r="AG120" s="66"/>
    </row>
    <row r="121" spans="2:34" s="3" customFormat="1" x14ac:dyDescent="0.2">
      <c r="B121" s="11" t="s">
        <v>31</v>
      </c>
      <c r="C121" s="11" t="s">
        <v>25</v>
      </c>
      <c r="D121" s="11" t="s">
        <v>3</v>
      </c>
      <c r="E121" s="11">
        <v>100</v>
      </c>
      <c r="F121" s="12">
        <v>0</v>
      </c>
      <c r="G121" s="12">
        <v>0</v>
      </c>
      <c r="H121" s="12"/>
      <c r="I121" s="12">
        <f t="shared" si="117"/>
        <v>0</v>
      </c>
      <c r="J121" s="12"/>
      <c r="K121" s="12">
        <f t="shared" si="103"/>
        <v>0</v>
      </c>
      <c r="L121" s="12"/>
      <c r="M121" s="12">
        <f t="shared" si="104"/>
        <v>0</v>
      </c>
      <c r="N121" s="12"/>
      <c r="O121" s="12">
        <f t="shared" si="105"/>
        <v>0</v>
      </c>
      <c r="P121" s="12"/>
      <c r="Q121" s="12">
        <f t="shared" si="106"/>
        <v>0</v>
      </c>
      <c r="R121" s="12"/>
      <c r="S121" s="12">
        <f t="shared" si="107"/>
        <v>0</v>
      </c>
      <c r="T121" s="12"/>
      <c r="U121" s="12">
        <f t="shared" si="108"/>
        <v>0</v>
      </c>
      <c r="V121" s="12"/>
      <c r="W121" s="12">
        <f t="shared" si="109"/>
        <v>0</v>
      </c>
      <c r="X121" s="43">
        <f t="shared" si="110"/>
        <v>0</v>
      </c>
      <c r="Y121" s="12">
        <f t="shared" si="111"/>
        <v>0</v>
      </c>
      <c r="Z121" s="614"/>
      <c r="AA121" s="615"/>
      <c r="AB121" s="614"/>
      <c r="AC121" s="615"/>
      <c r="AD121" s="68"/>
      <c r="AE121" s="66"/>
      <c r="AF121" s="68"/>
      <c r="AG121" s="66"/>
    </row>
    <row r="122" spans="2:34" s="3" customFormat="1" x14ac:dyDescent="0.2">
      <c r="B122" s="11" t="s">
        <v>76</v>
      </c>
      <c r="C122" s="11" t="s">
        <v>25</v>
      </c>
      <c r="D122" s="11" t="s">
        <v>3</v>
      </c>
      <c r="E122" s="11">
        <v>100</v>
      </c>
      <c r="F122" s="12">
        <v>1.25</v>
      </c>
      <c r="G122" s="12">
        <v>125</v>
      </c>
      <c r="H122" s="12"/>
      <c r="I122" s="12">
        <f t="shared" si="117"/>
        <v>0</v>
      </c>
      <c r="J122" s="12"/>
      <c r="K122" s="12">
        <f t="shared" si="103"/>
        <v>0</v>
      </c>
      <c r="L122" s="12">
        <v>0.25</v>
      </c>
      <c r="M122" s="12">
        <f t="shared" si="104"/>
        <v>25</v>
      </c>
      <c r="N122" s="12"/>
      <c r="O122" s="12">
        <f t="shared" si="105"/>
        <v>0</v>
      </c>
      <c r="P122" s="12"/>
      <c r="Q122" s="12">
        <f t="shared" si="106"/>
        <v>0</v>
      </c>
      <c r="R122" s="12"/>
      <c r="S122" s="12">
        <f t="shared" si="107"/>
        <v>0</v>
      </c>
      <c r="T122" s="12"/>
      <c r="U122" s="12">
        <f t="shared" si="108"/>
        <v>0</v>
      </c>
      <c r="V122" s="12"/>
      <c r="W122" s="12">
        <f t="shared" si="109"/>
        <v>0</v>
      </c>
      <c r="X122" s="43">
        <f t="shared" si="110"/>
        <v>1.5</v>
      </c>
      <c r="Y122" s="12">
        <f t="shared" si="111"/>
        <v>150</v>
      </c>
      <c r="Z122" s="614"/>
      <c r="AA122" s="615"/>
      <c r="AB122" s="614"/>
      <c r="AC122" s="615"/>
      <c r="AD122" s="68"/>
      <c r="AE122" s="66"/>
      <c r="AF122" s="68"/>
      <c r="AG122" s="66"/>
    </row>
    <row r="123" spans="2:34" s="3" customFormat="1" x14ac:dyDescent="0.2">
      <c r="B123" s="11" t="s">
        <v>72</v>
      </c>
      <c r="C123" s="11" t="s">
        <v>25</v>
      </c>
      <c r="D123" s="11" t="s">
        <v>3</v>
      </c>
      <c r="E123" s="11">
        <v>100</v>
      </c>
      <c r="F123" s="12">
        <v>1</v>
      </c>
      <c r="G123" s="12">
        <v>100</v>
      </c>
      <c r="H123" s="12">
        <v>0.25</v>
      </c>
      <c r="I123" s="12">
        <f t="shared" si="117"/>
        <v>25</v>
      </c>
      <c r="J123" s="12">
        <v>0.25</v>
      </c>
      <c r="K123" s="12">
        <f t="shared" si="103"/>
        <v>25</v>
      </c>
      <c r="L123" s="12"/>
      <c r="M123" s="12">
        <f t="shared" si="104"/>
        <v>0</v>
      </c>
      <c r="N123" s="12"/>
      <c r="O123" s="12">
        <f t="shared" si="105"/>
        <v>0</v>
      </c>
      <c r="P123" s="12"/>
      <c r="Q123" s="12">
        <f t="shared" si="106"/>
        <v>0</v>
      </c>
      <c r="R123" s="12"/>
      <c r="S123" s="12">
        <f t="shared" si="107"/>
        <v>0</v>
      </c>
      <c r="T123" s="12"/>
      <c r="U123" s="12">
        <f t="shared" si="108"/>
        <v>0</v>
      </c>
      <c r="V123" s="12"/>
      <c r="W123" s="12">
        <f t="shared" si="109"/>
        <v>0</v>
      </c>
      <c r="X123" s="43">
        <f t="shared" si="110"/>
        <v>1.5</v>
      </c>
      <c r="Y123" s="12">
        <f t="shared" si="111"/>
        <v>150</v>
      </c>
      <c r="Z123" s="614"/>
      <c r="AA123" s="615"/>
      <c r="AB123" s="614"/>
      <c r="AC123" s="615"/>
      <c r="AD123" s="68"/>
      <c r="AE123" s="66"/>
      <c r="AF123" s="68"/>
      <c r="AG123" s="66"/>
    </row>
    <row r="124" spans="2:34" s="3" customFormat="1" x14ac:dyDescent="0.2">
      <c r="B124" s="11" t="s">
        <v>32</v>
      </c>
      <c r="C124" s="11" t="s">
        <v>25</v>
      </c>
      <c r="D124" s="11" t="s">
        <v>16</v>
      </c>
      <c r="E124" s="11">
        <v>60</v>
      </c>
      <c r="F124" s="12">
        <v>0</v>
      </c>
      <c r="G124" s="12">
        <v>0</v>
      </c>
      <c r="H124" s="12"/>
      <c r="I124" s="12">
        <f>SUM(E124*H124)</f>
        <v>0</v>
      </c>
      <c r="J124" s="12"/>
      <c r="K124" s="12">
        <f>SUM(E124*J124)</f>
        <v>0</v>
      </c>
      <c r="L124" s="12"/>
      <c r="M124" s="12">
        <f>SUM(E124*L124)</f>
        <v>0</v>
      </c>
      <c r="N124" s="12"/>
      <c r="O124" s="12">
        <f>SUM(E124*N124)</f>
        <v>0</v>
      </c>
      <c r="P124" s="12"/>
      <c r="Q124" s="12">
        <f>SUM(E124*P124)</f>
        <v>0</v>
      </c>
      <c r="R124" s="12"/>
      <c r="S124" s="12">
        <f t="shared" si="107"/>
        <v>0</v>
      </c>
      <c r="T124" s="12"/>
      <c r="U124" s="12">
        <f t="shared" si="108"/>
        <v>0</v>
      </c>
      <c r="V124" s="12"/>
      <c r="W124" s="12">
        <f>SUM(E124*V124)</f>
        <v>0</v>
      </c>
      <c r="X124" s="43">
        <f t="shared" si="110"/>
        <v>0</v>
      </c>
      <c r="Y124" s="12">
        <f t="shared" si="111"/>
        <v>0</v>
      </c>
      <c r="Z124" s="614"/>
      <c r="AA124" s="615"/>
      <c r="AB124" s="614"/>
      <c r="AC124" s="615"/>
      <c r="AD124" s="68"/>
      <c r="AE124" s="66"/>
      <c r="AF124" s="68"/>
      <c r="AG124" s="66"/>
    </row>
    <row r="125" spans="2:34" s="3" customFormat="1" x14ac:dyDescent="0.2">
      <c r="B125" s="11" t="s">
        <v>96</v>
      </c>
      <c r="C125" s="11" t="s">
        <v>25</v>
      </c>
      <c r="D125" s="11" t="s">
        <v>16</v>
      </c>
      <c r="E125" s="11">
        <v>60</v>
      </c>
      <c r="F125" s="12">
        <v>0</v>
      </c>
      <c r="G125" s="12">
        <v>0</v>
      </c>
      <c r="H125" s="12"/>
      <c r="I125" s="12">
        <f t="shared" si="117"/>
        <v>0</v>
      </c>
      <c r="J125" s="12"/>
      <c r="K125" s="12">
        <f t="shared" si="103"/>
        <v>0</v>
      </c>
      <c r="L125" s="12">
        <v>2.5</v>
      </c>
      <c r="M125" s="12">
        <f t="shared" si="104"/>
        <v>150</v>
      </c>
      <c r="N125" s="12"/>
      <c r="O125" s="12">
        <f t="shared" si="105"/>
        <v>0</v>
      </c>
      <c r="P125" s="12"/>
      <c r="Q125" s="12">
        <f t="shared" si="106"/>
        <v>0</v>
      </c>
      <c r="R125" s="12"/>
      <c r="S125" s="12">
        <f t="shared" si="107"/>
        <v>0</v>
      </c>
      <c r="T125" s="12"/>
      <c r="U125" s="12">
        <f t="shared" si="108"/>
        <v>0</v>
      </c>
      <c r="V125" s="12"/>
      <c r="W125" s="12">
        <f t="shared" si="109"/>
        <v>0</v>
      </c>
      <c r="X125" s="43">
        <f t="shared" si="110"/>
        <v>2.5</v>
      </c>
      <c r="Y125" s="12">
        <f t="shared" si="111"/>
        <v>150</v>
      </c>
      <c r="Z125" s="614"/>
      <c r="AA125" s="615"/>
      <c r="AB125" s="614"/>
      <c r="AC125" s="615"/>
      <c r="AD125" s="68"/>
      <c r="AE125" s="66"/>
      <c r="AF125" s="68"/>
      <c r="AG125" s="66"/>
    </row>
    <row r="126" spans="2:34" s="3" customFormat="1" x14ac:dyDescent="0.2">
      <c r="B126" s="11" t="s">
        <v>144</v>
      </c>
      <c r="C126" s="11" t="s">
        <v>25</v>
      </c>
      <c r="D126" s="11" t="s">
        <v>20</v>
      </c>
      <c r="E126" s="11">
        <v>35</v>
      </c>
      <c r="F126" s="12">
        <v>0</v>
      </c>
      <c r="G126" s="12">
        <v>0</v>
      </c>
      <c r="H126" s="12"/>
      <c r="I126" s="12">
        <f t="shared" si="117"/>
        <v>0</v>
      </c>
      <c r="J126" s="12"/>
      <c r="K126" s="12">
        <f t="shared" si="103"/>
        <v>0</v>
      </c>
      <c r="L126" s="12"/>
      <c r="M126" s="12">
        <f t="shared" si="104"/>
        <v>0</v>
      </c>
      <c r="N126" s="12"/>
      <c r="O126" s="12">
        <f t="shared" si="105"/>
        <v>0</v>
      </c>
      <c r="P126" s="12"/>
      <c r="Q126" s="12">
        <f t="shared" si="106"/>
        <v>0</v>
      </c>
      <c r="R126" s="12"/>
      <c r="S126" s="12">
        <f t="shared" si="107"/>
        <v>0</v>
      </c>
      <c r="T126" s="12">
        <v>74</v>
      </c>
      <c r="U126" s="12">
        <f t="shared" si="108"/>
        <v>2590</v>
      </c>
      <c r="V126" s="12">
        <v>0.5</v>
      </c>
      <c r="W126" s="12">
        <f t="shared" si="109"/>
        <v>17.5</v>
      </c>
      <c r="X126" s="43">
        <f t="shared" si="110"/>
        <v>74.5</v>
      </c>
      <c r="Y126" s="12">
        <f t="shared" si="111"/>
        <v>2607.5</v>
      </c>
      <c r="Z126" s="614"/>
      <c r="AA126" s="615"/>
      <c r="AB126" s="614"/>
      <c r="AC126" s="615"/>
      <c r="AD126" s="68"/>
      <c r="AE126" s="66"/>
      <c r="AF126" s="68"/>
      <c r="AG126" s="66"/>
    </row>
    <row r="127" spans="2:34" s="3" customFormat="1" x14ac:dyDescent="0.2">
      <c r="B127" s="62" t="s">
        <v>4</v>
      </c>
      <c r="C127" s="62" t="s">
        <v>25</v>
      </c>
      <c r="D127" s="23"/>
      <c r="E127" s="23"/>
      <c r="F127" s="24">
        <f t="shared" ref="F127:X127" si="118">SUM(F110:F126)</f>
        <v>103.5</v>
      </c>
      <c r="G127" s="24">
        <f t="shared" si="118"/>
        <v>13447</v>
      </c>
      <c r="H127" s="24">
        <f t="shared" si="118"/>
        <v>15.25</v>
      </c>
      <c r="I127" s="24">
        <f t="shared" si="118"/>
        <v>1838.5</v>
      </c>
      <c r="J127" s="24">
        <f t="shared" si="118"/>
        <v>7.25</v>
      </c>
      <c r="K127" s="24">
        <f t="shared" si="118"/>
        <v>919</v>
      </c>
      <c r="L127" s="24">
        <f t="shared" si="118"/>
        <v>24.75</v>
      </c>
      <c r="M127" s="24">
        <f t="shared" si="118"/>
        <v>2963.5</v>
      </c>
      <c r="N127" s="24">
        <f t="shared" si="118"/>
        <v>2</v>
      </c>
      <c r="O127" s="24">
        <f t="shared" si="118"/>
        <v>218</v>
      </c>
      <c r="P127" s="24">
        <f t="shared" si="118"/>
        <v>18</v>
      </c>
      <c r="Q127" s="24">
        <f t="shared" si="118"/>
        <v>2171</v>
      </c>
      <c r="R127" s="24">
        <f t="shared" si="118"/>
        <v>22.25</v>
      </c>
      <c r="S127" s="24">
        <f t="shared" si="118"/>
        <v>2682</v>
      </c>
      <c r="T127" s="24">
        <f t="shared" si="118"/>
        <v>194.75</v>
      </c>
      <c r="U127" s="24">
        <f t="shared" si="118"/>
        <v>17723</v>
      </c>
      <c r="V127" s="24">
        <f t="shared" si="118"/>
        <v>23.5</v>
      </c>
      <c r="W127" s="24">
        <f t="shared" si="118"/>
        <v>2909</v>
      </c>
      <c r="X127" s="63">
        <f t="shared" si="118"/>
        <v>411.25</v>
      </c>
      <c r="Y127" s="63">
        <f>SUM(Y110:Y126)</f>
        <v>44871</v>
      </c>
      <c r="Z127" s="621"/>
      <c r="AA127" s="617">
        <f>Z127*AH73</f>
        <v>0</v>
      </c>
      <c r="AB127" s="621"/>
      <c r="AC127" s="617">
        <f>AB127*AH73</f>
        <v>0</v>
      </c>
      <c r="AD127" s="616">
        <f>X127+Z127+AB127</f>
        <v>411.25</v>
      </c>
      <c r="AE127" s="626">
        <f>AD127*AH73</f>
        <v>36539.5625</v>
      </c>
      <c r="AF127" s="616">
        <f>512+271</f>
        <v>783</v>
      </c>
      <c r="AG127" s="626">
        <f>AF127*AH73</f>
        <v>69569.549999999988</v>
      </c>
      <c r="AH127" s="630">
        <f>(1/AG127)*AE127</f>
        <v>0.52522349936143042</v>
      </c>
    </row>
    <row r="128" spans="2:34" s="3" customFormat="1" x14ac:dyDescent="0.2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19"/>
      <c r="AA128" s="619"/>
      <c r="AB128" s="619"/>
      <c r="AC128" s="619"/>
      <c r="AD128" s="69"/>
      <c r="AE128" s="69"/>
      <c r="AF128" s="69"/>
      <c r="AG128" s="69"/>
    </row>
    <row r="129" spans="2:34" s="3" customFormat="1" x14ac:dyDescent="0.2">
      <c r="B129" s="44" t="s">
        <v>33</v>
      </c>
      <c r="C129" s="44" t="s">
        <v>82</v>
      </c>
      <c r="D129" s="45"/>
      <c r="E129" s="46"/>
      <c r="F129" s="47">
        <v>1478.5</v>
      </c>
      <c r="G129" s="47">
        <v>148838</v>
      </c>
      <c r="H129" s="47">
        <v>324.25</v>
      </c>
      <c r="I129" s="47">
        <v>32075</v>
      </c>
      <c r="J129" s="47">
        <v>357.75</v>
      </c>
      <c r="K129" s="47">
        <v>33851</v>
      </c>
      <c r="L129" s="47">
        <v>556.25</v>
      </c>
      <c r="M129" s="47">
        <v>51686</v>
      </c>
      <c r="N129" s="47">
        <v>490.75</v>
      </c>
      <c r="O129" s="47">
        <v>47996</v>
      </c>
      <c r="P129" s="47">
        <v>405</v>
      </c>
      <c r="Q129" s="47">
        <v>41751</v>
      </c>
      <c r="R129" s="47">
        <v>424.25</v>
      </c>
      <c r="S129" s="47">
        <v>39467</v>
      </c>
      <c r="T129" s="47">
        <v>532.5</v>
      </c>
      <c r="U129" s="47">
        <v>48858.75</v>
      </c>
      <c r="V129" s="47">
        <v>235.5</v>
      </c>
      <c r="W129" s="47">
        <v>24282</v>
      </c>
      <c r="X129" s="47">
        <v>4804</v>
      </c>
      <c r="Y129" s="47">
        <v>468681</v>
      </c>
      <c r="Z129" s="616">
        <f>Z105+Z127</f>
        <v>350</v>
      </c>
      <c r="AA129" s="617">
        <f>Z129*AH73</f>
        <v>31097.499999999996</v>
      </c>
      <c r="AB129" s="616">
        <f>AB105+AB127</f>
        <v>300</v>
      </c>
      <c r="AC129" s="626">
        <f>AB129*AH73</f>
        <v>26655</v>
      </c>
      <c r="AD129" s="616">
        <f>X129+Z129+AB129</f>
        <v>5454</v>
      </c>
      <c r="AE129" s="626">
        <f>AD129*AH73</f>
        <v>484587.89999999997</v>
      </c>
      <c r="AF129" s="616">
        <f>AF105+AF127</f>
        <v>4433</v>
      </c>
      <c r="AG129" s="626">
        <f>AF129*AH73</f>
        <v>393872.05</v>
      </c>
      <c r="AH129" s="630">
        <f>(1/AG129)*AE129</f>
        <v>1.2303180690277464</v>
      </c>
    </row>
    <row r="130" spans="2:34" s="3" customFormat="1" x14ac:dyDescent="0.2">
      <c r="S130" s="16"/>
      <c r="Z130" s="618"/>
      <c r="AA130" s="618"/>
      <c r="AB130" s="618"/>
      <c r="AC130" s="618"/>
    </row>
    <row r="131" spans="2:34" s="3" customFormat="1" ht="12.75" x14ac:dyDescent="0.2">
      <c r="B131" s="48" t="s">
        <v>77</v>
      </c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632" t="s">
        <v>310</v>
      </c>
      <c r="AA131" s="633"/>
      <c r="AB131" s="632" t="s">
        <v>311</v>
      </c>
      <c r="AC131" s="633"/>
      <c r="AD131" s="634" t="s">
        <v>154</v>
      </c>
      <c r="AE131" s="635"/>
      <c r="AF131" s="634" t="s">
        <v>152</v>
      </c>
      <c r="AG131" s="635"/>
      <c r="AH131" s="631">
        <v>94.55</v>
      </c>
    </row>
    <row r="132" spans="2:34" s="3" customFormat="1" ht="24" x14ac:dyDescent="0.2">
      <c r="B132" s="50" t="s">
        <v>0</v>
      </c>
      <c r="C132" s="50" t="s">
        <v>10</v>
      </c>
      <c r="D132" s="51" t="s">
        <v>1</v>
      </c>
      <c r="E132" s="51" t="s">
        <v>7</v>
      </c>
      <c r="F132" s="51" t="s">
        <v>121</v>
      </c>
      <c r="G132" s="51" t="s">
        <v>122</v>
      </c>
      <c r="H132" s="52" t="s">
        <v>34</v>
      </c>
      <c r="I132" s="52" t="s">
        <v>35</v>
      </c>
      <c r="J132" s="52" t="s">
        <v>36</v>
      </c>
      <c r="K132" s="52" t="s">
        <v>37</v>
      </c>
      <c r="L132" s="52" t="s">
        <v>38</v>
      </c>
      <c r="M132" s="52" t="s">
        <v>39</v>
      </c>
      <c r="N132" s="52" t="s">
        <v>40</v>
      </c>
      <c r="O132" s="52" t="s">
        <v>41</v>
      </c>
      <c r="P132" s="52" t="s">
        <v>42</v>
      </c>
      <c r="Q132" s="52" t="s">
        <v>43</v>
      </c>
      <c r="R132" s="52" t="s">
        <v>44</v>
      </c>
      <c r="S132" s="52" t="s">
        <v>45</v>
      </c>
      <c r="T132" s="52" t="s">
        <v>46</v>
      </c>
      <c r="U132" s="52" t="s">
        <v>47</v>
      </c>
      <c r="V132" s="52" t="s">
        <v>48</v>
      </c>
      <c r="W132" s="52" t="s">
        <v>49</v>
      </c>
      <c r="X132" s="53" t="s">
        <v>5</v>
      </c>
      <c r="Y132" s="53" t="s">
        <v>6</v>
      </c>
      <c r="Z132" s="622" t="s">
        <v>5</v>
      </c>
      <c r="AA132" s="623" t="s">
        <v>6</v>
      </c>
      <c r="AB132" s="622" t="s">
        <v>5</v>
      </c>
      <c r="AC132" s="623" t="s">
        <v>6</v>
      </c>
      <c r="AD132" s="624" t="s">
        <v>5</v>
      </c>
      <c r="AE132" s="625" t="s">
        <v>6</v>
      </c>
      <c r="AF132" s="624" t="s">
        <v>5</v>
      </c>
      <c r="AG132" s="625" t="s">
        <v>6</v>
      </c>
    </row>
    <row r="133" spans="2:34" s="3" customFormat="1" x14ac:dyDescent="0.2">
      <c r="B133" s="54" t="s">
        <v>21</v>
      </c>
      <c r="C133" s="54" t="s">
        <v>22</v>
      </c>
      <c r="D133" s="54" t="s">
        <v>2</v>
      </c>
      <c r="E133" s="54">
        <v>140</v>
      </c>
      <c r="F133" s="55">
        <v>145</v>
      </c>
      <c r="G133" s="55">
        <f>SUM(E133*F133)</f>
        <v>20300</v>
      </c>
      <c r="H133" s="55">
        <v>47.25</v>
      </c>
      <c r="I133" s="55">
        <f t="shared" ref="I133:I170" si="119">SUM(E133*H133)</f>
        <v>6615</v>
      </c>
      <c r="J133" s="55">
        <v>55</v>
      </c>
      <c r="K133" s="55">
        <f t="shared" ref="K133:K154" si="120">SUM(E133*J133)</f>
        <v>7700</v>
      </c>
      <c r="L133" s="55">
        <v>75</v>
      </c>
      <c r="M133" s="55">
        <f t="shared" ref="M133:M154" si="121">SUM(E133*L133)</f>
        <v>10500</v>
      </c>
      <c r="N133" s="55">
        <v>44.25</v>
      </c>
      <c r="O133" s="55">
        <f t="shared" ref="O133:O154" si="122">SUM(E133*N133)</f>
        <v>6195</v>
      </c>
      <c r="P133" s="55">
        <v>70</v>
      </c>
      <c r="Q133" s="55">
        <f t="shared" ref="Q133:Q170" si="123">SUM(E133*P133)</f>
        <v>9800</v>
      </c>
      <c r="R133" s="55">
        <v>72.5</v>
      </c>
      <c r="S133" s="55">
        <f t="shared" ref="S133:S170" si="124">SUM(E133*R133)</f>
        <v>10150</v>
      </c>
      <c r="T133" s="55">
        <v>98</v>
      </c>
      <c r="U133" s="55">
        <f t="shared" ref="U133:U154" si="125">SUM(E133*T133)</f>
        <v>13720</v>
      </c>
      <c r="V133" s="55">
        <v>84.5</v>
      </c>
      <c r="W133" s="55">
        <f t="shared" ref="W133:W170" si="126">SUM(E133*V133)</f>
        <v>11830</v>
      </c>
      <c r="X133" s="56">
        <f t="shared" ref="X133:X169" si="127">SUM(H133+J133+L133+N133+P133+R133+T133+V133+F133)</f>
        <v>691.5</v>
      </c>
      <c r="Y133" s="55">
        <f t="shared" ref="Y133:Y170" si="128">ROUND(X133*E133*2,1)/2</f>
        <v>96810</v>
      </c>
      <c r="Z133" s="614"/>
      <c r="AA133" s="615"/>
      <c r="AB133" s="614"/>
      <c r="AC133" s="615"/>
      <c r="AD133" s="68"/>
      <c r="AE133" s="66"/>
      <c r="AF133" s="68"/>
      <c r="AG133" s="66"/>
    </row>
    <row r="134" spans="2:34" s="3" customFormat="1" x14ac:dyDescent="0.2">
      <c r="B134" s="54" t="s">
        <v>51</v>
      </c>
      <c r="C134" s="54" t="s">
        <v>22</v>
      </c>
      <c r="D134" s="54" t="s">
        <v>2</v>
      </c>
      <c r="E134" s="54">
        <v>140</v>
      </c>
      <c r="F134" s="55">
        <v>10</v>
      </c>
      <c r="G134" s="55">
        <f t="shared" ref="G134:G170" si="129">SUM(E134*F134)</f>
        <v>1400</v>
      </c>
      <c r="H134" s="55"/>
      <c r="I134" s="55">
        <f t="shared" si="119"/>
        <v>0</v>
      </c>
      <c r="J134" s="55"/>
      <c r="K134" s="55">
        <f t="shared" si="120"/>
        <v>0</v>
      </c>
      <c r="L134" s="55"/>
      <c r="M134" s="55">
        <f t="shared" si="121"/>
        <v>0</v>
      </c>
      <c r="N134" s="55"/>
      <c r="O134" s="55">
        <f t="shared" si="122"/>
        <v>0</v>
      </c>
      <c r="P134" s="55"/>
      <c r="Q134" s="55">
        <f t="shared" si="123"/>
        <v>0</v>
      </c>
      <c r="R134" s="55"/>
      <c r="S134" s="55">
        <f t="shared" si="124"/>
        <v>0</v>
      </c>
      <c r="T134" s="55"/>
      <c r="U134" s="55">
        <f t="shared" si="125"/>
        <v>0</v>
      </c>
      <c r="V134" s="55"/>
      <c r="W134" s="55">
        <f t="shared" si="126"/>
        <v>0</v>
      </c>
      <c r="X134" s="56">
        <f t="shared" si="127"/>
        <v>10</v>
      </c>
      <c r="Y134" s="55">
        <f t="shared" si="128"/>
        <v>1400</v>
      </c>
      <c r="Z134" s="614"/>
      <c r="AA134" s="615"/>
      <c r="AB134" s="614"/>
      <c r="AC134" s="615"/>
      <c r="AD134" s="68"/>
      <c r="AE134" s="66"/>
      <c r="AF134" s="68"/>
      <c r="AG134" s="66"/>
    </row>
    <row r="135" spans="2:34" s="3" customFormat="1" x14ac:dyDescent="0.2">
      <c r="B135" s="54" t="s">
        <v>54</v>
      </c>
      <c r="C135" s="54" t="s">
        <v>22</v>
      </c>
      <c r="D135" s="54" t="s">
        <v>2</v>
      </c>
      <c r="E135" s="54">
        <v>140</v>
      </c>
      <c r="F135" s="55">
        <v>97.75</v>
      </c>
      <c r="G135" s="55">
        <f t="shared" si="129"/>
        <v>13685</v>
      </c>
      <c r="H135" s="55">
        <v>4.5</v>
      </c>
      <c r="I135" s="55">
        <f t="shared" si="119"/>
        <v>630</v>
      </c>
      <c r="J135" s="55">
        <v>5.5</v>
      </c>
      <c r="K135" s="55">
        <f t="shared" si="120"/>
        <v>770</v>
      </c>
      <c r="L135" s="55">
        <v>8</v>
      </c>
      <c r="M135" s="55">
        <f t="shared" si="121"/>
        <v>1120</v>
      </c>
      <c r="N135" s="55">
        <v>6.5</v>
      </c>
      <c r="O135" s="55">
        <f t="shared" si="122"/>
        <v>910</v>
      </c>
      <c r="P135" s="55">
        <v>5.75</v>
      </c>
      <c r="Q135" s="55">
        <f t="shared" si="123"/>
        <v>805</v>
      </c>
      <c r="R135" s="55">
        <v>3</v>
      </c>
      <c r="S135" s="55">
        <f t="shared" si="124"/>
        <v>420</v>
      </c>
      <c r="T135" s="55">
        <v>3</v>
      </c>
      <c r="U135" s="55">
        <f t="shared" si="125"/>
        <v>420</v>
      </c>
      <c r="V135" s="55">
        <v>2.75</v>
      </c>
      <c r="W135" s="55">
        <f t="shared" si="126"/>
        <v>385</v>
      </c>
      <c r="X135" s="56">
        <f t="shared" si="127"/>
        <v>136.75</v>
      </c>
      <c r="Y135" s="55">
        <f t="shared" si="128"/>
        <v>19145</v>
      </c>
      <c r="Z135" s="614"/>
      <c r="AA135" s="615"/>
      <c r="AB135" s="614"/>
      <c r="AC135" s="615"/>
      <c r="AD135" s="68"/>
      <c r="AE135" s="66"/>
      <c r="AF135" s="68"/>
      <c r="AG135" s="66"/>
    </row>
    <row r="136" spans="2:34" s="3" customFormat="1" x14ac:dyDescent="0.2">
      <c r="B136" s="54" t="s">
        <v>112</v>
      </c>
      <c r="C136" s="54" t="s">
        <v>22</v>
      </c>
      <c r="D136" s="54" t="s">
        <v>8</v>
      </c>
      <c r="E136" s="54">
        <v>118</v>
      </c>
      <c r="F136" s="55">
        <v>15</v>
      </c>
      <c r="G136" s="55">
        <f t="shared" si="129"/>
        <v>1770</v>
      </c>
      <c r="H136" s="55"/>
      <c r="I136" s="55">
        <f t="shared" si="119"/>
        <v>0</v>
      </c>
      <c r="J136" s="55"/>
      <c r="K136" s="55">
        <f t="shared" si="120"/>
        <v>0</v>
      </c>
      <c r="L136" s="55"/>
      <c r="M136" s="55">
        <f t="shared" si="121"/>
        <v>0</v>
      </c>
      <c r="N136" s="55"/>
      <c r="O136" s="55">
        <f t="shared" si="122"/>
        <v>0</v>
      </c>
      <c r="P136" s="55"/>
      <c r="Q136" s="55">
        <f t="shared" si="123"/>
        <v>0</v>
      </c>
      <c r="R136" s="55"/>
      <c r="S136" s="55">
        <f t="shared" si="124"/>
        <v>0</v>
      </c>
      <c r="T136" s="55"/>
      <c r="U136" s="55">
        <f t="shared" si="125"/>
        <v>0</v>
      </c>
      <c r="V136" s="55"/>
      <c r="W136" s="55">
        <f t="shared" si="126"/>
        <v>0</v>
      </c>
      <c r="X136" s="56">
        <f t="shared" si="127"/>
        <v>15</v>
      </c>
      <c r="Y136" s="55">
        <f t="shared" si="128"/>
        <v>1770</v>
      </c>
      <c r="Z136" s="614"/>
      <c r="AA136" s="615"/>
      <c r="AB136" s="614"/>
      <c r="AC136" s="615"/>
      <c r="AD136" s="68"/>
      <c r="AE136" s="66"/>
      <c r="AF136" s="68"/>
      <c r="AG136" s="66"/>
    </row>
    <row r="137" spans="2:34" s="3" customFormat="1" x14ac:dyDescent="0.2">
      <c r="B137" s="54" t="s">
        <v>94</v>
      </c>
      <c r="C137" s="54" t="s">
        <v>22</v>
      </c>
      <c r="D137" s="54" t="s">
        <v>8</v>
      </c>
      <c r="E137" s="54">
        <v>118</v>
      </c>
      <c r="F137" s="55">
        <v>274.25</v>
      </c>
      <c r="G137" s="55">
        <f t="shared" si="129"/>
        <v>32361.5</v>
      </c>
      <c r="H137" s="55"/>
      <c r="I137" s="55">
        <f t="shared" si="119"/>
        <v>0</v>
      </c>
      <c r="J137" s="55">
        <v>3.75</v>
      </c>
      <c r="K137" s="55">
        <f t="shared" si="120"/>
        <v>442.5</v>
      </c>
      <c r="L137" s="55">
        <f>9.75+2</f>
        <v>11.75</v>
      </c>
      <c r="M137" s="55">
        <f t="shared" si="121"/>
        <v>1386.5</v>
      </c>
      <c r="N137" s="55">
        <v>25.5</v>
      </c>
      <c r="O137" s="55">
        <f t="shared" si="122"/>
        <v>3009</v>
      </c>
      <c r="P137" s="55"/>
      <c r="Q137" s="55">
        <f t="shared" si="123"/>
        <v>0</v>
      </c>
      <c r="R137" s="55"/>
      <c r="S137" s="55">
        <f t="shared" si="124"/>
        <v>0</v>
      </c>
      <c r="T137" s="55">
        <v>21.5</v>
      </c>
      <c r="U137" s="55">
        <f t="shared" si="125"/>
        <v>2537</v>
      </c>
      <c r="V137" s="55">
        <v>29.75</v>
      </c>
      <c r="W137" s="55">
        <f t="shared" si="126"/>
        <v>3510.5</v>
      </c>
      <c r="X137" s="56">
        <f t="shared" si="127"/>
        <v>366.5</v>
      </c>
      <c r="Y137" s="55">
        <f t="shared" si="128"/>
        <v>43247</v>
      </c>
      <c r="Z137" s="614"/>
      <c r="AA137" s="615"/>
      <c r="AB137" s="614"/>
      <c r="AC137" s="615"/>
      <c r="AD137" s="68"/>
      <c r="AE137" s="66"/>
      <c r="AF137" s="68"/>
      <c r="AG137" s="66"/>
    </row>
    <row r="138" spans="2:34" s="3" customFormat="1" x14ac:dyDescent="0.2">
      <c r="B138" s="54" t="s">
        <v>27</v>
      </c>
      <c r="C138" s="54" t="s">
        <v>22</v>
      </c>
      <c r="D138" s="54" t="s">
        <v>8</v>
      </c>
      <c r="E138" s="54">
        <v>118</v>
      </c>
      <c r="F138" s="55">
        <v>0</v>
      </c>
      <c r="G138" s="55">
        <f t="shared" si="129"/>
        <v>0</v>
      </c>
      <c r="H138" s="55"/>
      <c r="I138" s="55">
        <f t="shared" si="119"/>
        <v>0</v>
      </c>
      <c r="J138" s="55"/>
      <c r="K138" s="55">
        <f t="shared" si="120"/>
        <v>0</v>
      </c>
      <c r="L138" s="55"/>
      <c r="M138" s="55">
        <f t="shared" si="121"/>
        <v>0</v>
      </c>
      <c r="N138" s="55"/>
      <c r="O138" s="55">
        <f t="shared" si="122"/>
        <v>0</v>
      </c>
      <c r="P138" s="55"/>
      <c r="Q138" s="55">
        <f t="shared" si="123"/>
        <v>0</v>
      </c>
      <c r="R138" s="55"/>
      <c r="S138" s="55">
        <f t="shared" si="124"/>
        <v>0</v>
      </c>
      <c r="T138" s="55"/>
      <c r="U138" s="55">
        <f t="shared" si="125"/>
        <v>0</v>
      </c>
      <c r="V138" s="55"/>
      <c r="W138" s="55">
        <f t="shared" si="126"/>
        <v>0</v>
      </c>
      <c r="X138" s="56">
        <f t="shared" si="127"/>
        <v>0</v>
      </c>
      <c r="Y138" s="55">
        <f t="shared" si="128"/>
        <v>0</v>
      </c>
      <c r="Z138" s="614"/>
      <c r="AA138" s="615"/>
      <c r="AB138" s="614"/>
      <c r="AC138" s="615"/>
      <c r="AD138" s="68"/>
      <c r="AE138" s="66"/>
      <c r="AF138" s="68"/>
      <c r="AG138" s="66"/>
    </row>
    <row r="139" spans="2:34" s="3" customFormat="1" x14ac:dyDescent="0.2">
      <c r="B139" s="54" t="s">
        <v>28</v>
      </c>
      <c r="C139" s="54" t="s">
        <v>22</v>
      </c>
      <c r="D139" s="54" t="s">
        <v>8</v>
      </c>
      <c r="E139" s="54">
        <v>118</v>
      </c>
      <c r="F139" s="55">
        <v>24.5</v>
      </c>
      <c r="G139" s="55">
        <f t="shared" si="129"/>
        <v>2891</v>
      </c>
      <c r="H139" s="55"/>
      <c r="I139" s="55">
        <f t="shared" si="119"/>
        <v>0</v>
      </c>
      <c r="J139" s="55"/>
      <c r="K139" s="55">
        <f t="shared" si="120"/>
        <v>0</v>
      </c>
      <c r="L139" s="55"/>
      <c r="M139" s="55">
        <f t="shared" si="121"/>
        <v>0</v>
      </c>
      <c r="N139" s="55"/>
      <c r="O139" s="55">
        <f t="shared" si="122"/>
        <v>0</v>
      </c>
      <c r="P139" s="55"/>
      <c r="Q139" s="55">
        <f t="shared" si="123"/>
        <v>0</v>
      </c>
      <c r="R139" s="55"/>
      <c r="S139" s="55">
        <f t="shared" si="124"/>
        <v>0</v>
      </c>
      <c r="T139" s="55"/>
      <c r="U139" s="55">
        <f t="shared" si="125"/>
        <v>0</v>
      </c>
      <c r="V139" s="55"/>
      <c r="W139" s="55">
        <f t="shared" si="126"/>
        <v>0</v>
      </c>
      <c r="X139" s="56">
        <f t="shared" si="127"/>
        <v>24.5</v>
      </c>
      <c r="Y139" s="55">
        <f t="shared" si="128"/>
        <v>2891</v>
      </c>
      <c r="Z139" s="614"/>
      <c r="AA139" s="615"/>
      <c r="AB139" s="614"/>
      <c r="AC139" s="615"/>
      <c r="AD139" s="68"/>
      <c r="AE139" s="66"/>
      <c r="AF139" s="68"/>
      <c r="AG139" s="66"/>
    </row>
    <row r="140" spans="2:34" s="3" customFormat="1" x14ac:dyDescent="0.2">
      <c r="B140" s="54" t="s">
        <v>84</v>
      </c>
      <c r="C140" s="54" t="s">
        <v>22</v>
      </c>
      <c r="D140" s="54" t="s">
        <v>8</v>
      </c>
      <c r="E140" s="54">
        <v>118</v>
      </c>
      <c r="F140" s="55">
        <v>4</v>
      </c>
      <c r="G140" s="55">
        <f t="shared" si="129"/>
        <v>472</v>
      </c>
      <c r="H140" s="55"/>
      <c r="I140" s="55">
        <f t="shared" si="119"/>
        <v>0</v>
      </c>
      <c r="J140" s="55">
        <v>1</v>
      </c>
      <c r="K140" s="55">
        <f t="shared" si="120"/>
        <v>118</v>
      </c>
      <c r="L140" s="55"/>
      <c r="M140" s="55">
        <f t="shared" si="121"/>
        <v>0</v>
      </c>
      <c r="N140" s="55"/>
      <c r="O140" s="55">
        <f t="shared" si="122"/>
        <v>0</v>
      </c>
      <c r="P140" s="55"/>
      <c r="Q140" s="55">
        <f t="shared" si="123"/>
        <v>0</v>
      </c>
      <c r="R140" s="55"/>
      <c r="S140" s="55">
        <f t="shared" si="124"/>
        <v>0</v>
      </c>
      <c r="T140" s="55"/>
      <c r="U140" s="55">
        <f t="shared" si="125"/>
        <v>0</v>
      </c>
      <c r="V140" s="55"/>
      <c r="W140" s="55">
        <f t="shared" si="126"/>
        <v>0</v>
      </c>
      <c r="X140" s="56">
        <f t="shared" si="127"/>
        <v>5</v>
      </c>
      <c r="Y140" s="55">
        <f t="shared" si="128"/>
        <v>590</v>
      </c>
      <c r="Z140" s="614"/>
      <c r="AA140" s="615"/>
      <c r="AB140" s="614"/>
      <c r="AC140" s="615"/>
      <c r="AD140" s="68"/>
      <c r="AE140" s="66"/>
      <c r="AF140" s="68"/>
      <c r="AG140" s="66"/>
    </row>
    <row r="141" spans="2:34" s="3" customFormat="1" x14ac:dyDescent="0.2">
      <c r="B141" s="54" t="s">
        <v>11</v>
      </c>
      <c r="C141" s="54" t="s">
        <v>22</v>
      </c>
      <c r="D141" s="54" t="s">
        <v>8</v>
      </c>
      <c r="E141" s="54">
        <v>118</v>
      </c>
      <c r="F141" s="55">
        <v>4.25</v>
      </c>
      <c r="G141" s="55">
        <f t="shared" si="129"/>
        <v>501.5</v>
      </c>
      <c r="H141" s="55">
        <v>2.25</v>
      </c>
      <c r="I141" s="55">
        <f t="shared" si="119"/>
        <v>265.5</v>
      </c>
      <c r="J141" s="55"/>
      <c r="K141" s="55">
        <f t="shared" si="120"/>
        <v>0</v>
      </c>
      <c r="L141" s="55">
        <v>1.25</v>
      </c>
      <c r="M141" s="55">
        <f t="shared" si="121"/>
        <v>147.5</v>
      </c>
      <c r="N141" s="55"/>
      <c r="O141" s="55">
        <f t="shared" si="122"/>
        <v>0</v>
      </c>
      <c r="P141" s="55"/>
      <c r="Q141" s="55">
        <f t="shared" si="123"/>
        <v>0</v>
      </c>
      <c r="R141" s="55"/>
      <c r="S141" s="55">
        <f t="shared" si="124"/>
        <v>0</v>
      </c>
      <c r="T141" s="55"/>
      <c r="U141" s="55">
        <f t="shared" si="125"/>
        <v>0</v>
      </c>
      <c r="V141" s="55"/>
      <c r="W141" s="55">
        <f t="shared" si="126"/>
        <v>0</v>
      </c>
      <c r="X141" s="56">
        <f t="shared" si="127"/>
        <v>7.75</v>
      </c>
      <c r="Y141" s="55">
        <f t="shared" si="128"/>
        <v>914.5</v>
      </c>
      <c r="Z141" s="614"/>
      <c r="AA141" s="615"/>
      <c r="AB141" s="614"/>
      <c r="AC141" s="615"/>
      <c r="AD141" s="68"/>
      <c r="AE141" s="66"/>
      <c r="AF141" s="68"/>
      <c r="AG141" s="66"/>
    </row>
    <row r="142" spans="2:34" s="3" customFormat="1" x14ac:dyDescent="0.2">
      <c r="B142" s="54" t="s">
        <v>29</v>
      </c>
      <c r="C142" s="54" t="s">
        <v>22</v>
      </c>
      <c r="D142" s="54" t="s">
        <v>8</v>
      </c>
      <c r="E142" s="54">
        <v>118</v>
      </c>
      <c r="F142" s="55">
        <v>0</v>
      </c>
      <c r="G142" s="55">
        <f t="shared" ref="G142" si="130">SUM(E142*F142)</f>
        <v>0</v>
      </c>
      <c r="H142" s="55">
        <v>49.5</v>
      </c>
      <c r="I142" s="55">
        <f t="shared" ref="I142" si="131">SUM(E142*H142)</f>
        <v>5841</v>
      </c>
      <c r="J142" s="55">
        <v>95.5</v>
      </c>
      <c r="K142" s="55">
        <f t="shared" ref="K142" si="132">SUM(E142*J142)</f>
        <v>11269</v>
      </c>
      <c r="L142" s="55">
        <v>95</v>
      </c>
      <c r="M142" s="55">
        <f t="shared" ref="M142" si="133">SUM(E142*L142)</f>
        <v>11210</v>
      </c>
      <c r="N142" s="55">
        <v>62.75</v>
      </c>
      <c r="O142" s="55">
        <f t="shared" ref="O142" si="134">SUM(E142*N142)</f>
        <v>7404.5</v>
      </c>
      <c r="P142" s="55">
        <v>16</v>
      </c>
      <c r="Q142" s="55">
        <f t="shared" ref="Q142" si="135">SUM(E142*P142)</f>
        <v>1888</v>
      </c>
      <c r="R142" s="55"/>
      <c r="S142" s="55">
        <f t="shared" ref="S142" si="136">SUM(E142*R142)</f>
        <v>0</v>
      </c>
      <c r="T142" s="55">
        <v>19</v>
      </c>
      <c r="U142" s="55">
        <f t="shared" ref="U142" si="137">SUM(E142*T142)</f>
        <v>2242</v>
      </c>
      <c r="V142" s="55">
        <v>14.5</v>
      </c>
      <c r="W142" s="55">
        <f t="shared" ref="W142" si="138">SUM(E142*V142)</f>
        <v>1711</v>
      </c>
      <c r="X142" s="56">
        <f t="shared" si="127"/>
        <v>352.25</v>
      </c>
      <c r="Y142" s="55">
        <f t="shared" si="128"/>
        <v>41565.5</v>
      </c>
      <c r="Z142" s="614"/>
      <c r="AA142" s="615"/>
      <c r="AB142" s="614"/>
      <c r="AC142" s="615"/>
      <c r="AD142" s="68"/>
      <c r="AE142" s="66"/>
      <c r="AF142" s="68"/>
      <c r="AG142" s="66"/>
    </row>
    <row r="143" spans="2:34" s="3" customFormat="1" x14ac:dyDescent="0.2">
      <c r="B143" s="54" t="s">
        <v>111</v>
      </c>
      <c r="C143" s="54" t="s">
        <v>22</v>
      </c>
      <c r="D143" s="54" t="s">
        <v>8</v>
      </c>
      <c r="E143" s="54">
        <v>118</v>
      </c>
      <c r="F143" s="55">
        <v>0</v>
      </c>
      <c r="G143" s="55">
        <f t="shared" si="129"/>
        <v>0</v>
      </c>
      <c r="H143" s="55"/>
      <c r="I143" s="55">
        <f t="shared" si="119"/>
        <v>0</v>
      </c>
      <c r="J143" s="55"/>
      <c r="K143" s="55">
        <f t="shared" si="120"/>
        <v>0</v>
      </c>
      <c r="L143" s="55"/>
      <c r="M143" s="55">
        <f t="shared" si="121"/>
        <v>0</v>
      </c>
      <c r="N143" s="55"/>
      <c r="O143" s="55">
        <f t="shared" si="122"/>
        <v>0</v>
      </c>
      <c r="P143" s="55">
        <v>3.5</v>
      </c>
      <c r="Q143" s="55">
        <f t="shared" si="123"/>
        <v>413</v>
      </c>
      <c r="R143" s="55"/>
      <c r="S143" s="55">
        <f t="shared" si="124"/>
        <v>0</v>
      </c>
      <c r="T143" s="55">
        <v>1</v>
      </c>
      <c r="U143" s="55">
        <f t="shared" si="125"/>
        <v>118</v>
      </c>
      <c r="V143" s="55"/>
      <c r="W143" s="55">
        <f t="shared" si="126"/>
        <v>0</v>
      </c>
      <c r="X143" s="56">
        <f t="shared" si="127"/>
        <v>4.5</v>
      </c>
      <c r="Y143" s="55">
        <f t="shared" si="128"/>
        <v>531</v>
      </c>
      <c r="Z143" s="614"/>
      <c r="AA143" s="615"/>
      <c r="AB143" s="614"/>
      <c r="AC143" s="615"/>
      <c r="AD143" s="68"/>
      <c r="AE143" s="66"/>
      <c r="AF143" s="68"/>
      <c r="AG143" s="66"/>
    </row>
    <row r="144" spans="2:34" s="3" customFormat="1" x14ac:dyDescent="0.2">
      <c r="B144" s="54" t="s">
        <v>58</v>
      </c>
      <c r="C144" s="54" t="s">
        <v>22</v>
      </c>
      <c r="D144" s="54" t="s">
        <v>3</v>
      </c>
      <c r="E144" s="54">
        <v>100</v>
      </c>
      <c r="F144" s="55">
        <v>72.5</v>
      </c>
      <c r="G144" s="55">
        <f t="shared" si="129"/>
        <v>7250</v>
      </c>
      <c r="H144" s="55">
        <v>17</v>
      </c>
      <c r="I144" s="55">
        <f t="shared" si="119"/>
        <v>1700</v>
      </c>
      <c r="J144" s="55">
        <v>19.5</v>
      </c>
      <c r="K144" s="55">
        <f t="shared" si="120"/>
        <v>1950</v>
      </c>
      <c r="L144" s="55">
        <v>10.75</v>
      </c>
      <c r="M144" s="55">
        <f t="shared" si="121"/>
        <v>1075</v>
      </c>
      <c r="N144" s="55">
        <v>3</v>
      </c>
      <c r="O144" s="55">
        <f t="shared" si="122"/>
        <v>300</v>
      </c>
      <c r="P144" s="55">
        <v>8.25</v>
      </c>
      <c r="Q144" s="55">
        <f t="shared" si="123"/>
        <v>825</v>
      </c>
      <c r="R144" s="55">
        <v>8.75</v>
      </c>
      <c r="S144" s="55">
        <f t="shared" si="124"/>
        <v>875</v>
      </c>
      <c r="T144" s="55">
        <v>28</v>
      </c>
      <c r="U144" s="55">
        <f t="shared" si="125"/>
        <v>2800</v>
      </c>
      <c r="V144" s="55">
        <v>11</v>
      </c>
      <c r="W144" s="55">
        <f t="shared" si="126"/>
        <v>1100</v>
      </c>
      <c r="X144" s="56">
        <f t="shared" si="127"/>
        <v>178.75</v>
      </c>
      <c r="Y144" s="55">
        <f t="shared" si="128"/>
        <v>17875</v>
      </c>
      <c r="Z144" s="614"/>
      <c r="AA144" s="615"/>
      <c r="AB144" s="614"/>
      <c r="AC144" s="615"/>
      <c r="AD144" s="68"/>
      <c r="AE144" s="66"/>
      <c r="AF144" s="68"/>
      <c r="AG144" s="66"/>
    </row>
    <row r="145" spans="2:33" s="3" customFormat="1" x14ac:dyDescent="0.2">
      <c r="B145" s="54" t="s">
        <v>60</v>
      </c>
      <c r="C145" s="54" t="s">
        <v>22</v>
      </c>
      <c r="D145" s="54" t="s">
        <v>3</v>
      </c>
      <c r="E145" s="54">
        <v>100</v>
      </c>
      <c r="F145" s="55">
        <v>37</v>
      </c>
      <c r="G145" s="55">
        <f t="shared" si="129"/>
        <v>3700</v>
      </c>
      <c r="H145" s="55">
        <v>3.5</v>
      </c>
      <c r="I145" s="55">
        <f t="shared" si="119"/>
        <v>350</v>
      </c>
      <c r="J145" s="55">
        <v>2.25</v>
      </c>
      <c r="K145" s="55">
        <f t="shared" si="120"/>
        <v>225</v>
      </c>
      <c r="L145" s="55">
        <v>1.5</v>
      </c>
      <c r="M145" s="55">
        <f t="shared" si="121"/>
        <v>150</v>
      </c>
      <c r="N145" s="55">
        <v>2.75</v>
      </c>
      <c r="O145" s="55">
        <f t="shared" si="122"/>
        <v>275</v>
      </c>
      <c r="P145" s="55">
        <v>1.25</v>
      </c>
      <c r="Q145" s="55">
        <f t="shared" si="123"/>
        <v>125</v>
      </c>
      <c r="R145" s="55">
        <v>0.5</v>
      </c>
      <c r="S145" s="55">
        <f t="shared" si="124"/>
        <v>50</v>
      </c>
      <c r="T145" s="55">
        <v>0.25</v>
      </c>
      <c r="U145" s="55">
        <f t="shared" si="125"/>
        <v>25</v>
      </c>
      <c r="V145" s="55">
        <v>2.5</v>
      </c>
      <c r="W145" s="55">
        <f t="shared" si="126"/>
        <v>250</v>
      </c>
      <c r="X145" s="56">
        <f t="shared" si="127"/>
        <v>51.5</v>
      </c>
      <c r="Y145" s="55">
        <f t="shared" si="128"/>
        <v>5150</v>
      </c>
      <c r="Z145" s="614"/>
      <c r="AA145" s="615"/>
      <c r="AB145" s="614"/>
      <c r="AC145" s="615"/>
      <c r="AD145" s="68"/>
      <c r="AE145" s="66"/>
      <c r="AF145" s="68"/>
      <c r="AG145" s="66"/>
    </row>
    <row r="146" spans="2:33" s="3" customFormat="1" x14ac:dyDescent="0.2">
      <c r="B146" s="54" t="s">
        <v>23</v>
      </c>
      <c r="C146" s="54" t="s">
        <v>22</v>
      </c>
      <c r="D146" s="54" t="s">
        <v>3</v>
      </c>
      <c r="E146" s="54">
        <v>100</v>
      </c>
      <c r="F146" s="55">
        <v>0</v>
      </c>
      <c r="G146" s="55">
        <f t="shared" si="129"/>
        <v>0</v>
      </c>
      <c r="H146" s="55"/>
      <c r="I146" s="55">
        <f t="shared" si="119"/>
        <v>0</v>
      </c>
      <c r="J146" s="55"/>
      <c r="K146" s="55">
        <f t="shared" si="120"/>
        <v>0</v>
      </c>
      <c r="L146" s="55"/>
      <c r="M146" s="55">
        <f t="shared" si="121"/>
        <v>0</v>
      </c>
      <c r="N146" s="55"/>
      <c r="O146" s="55">
        <f t="shared" si="122"/>
        <v>0</v>
      </c>
      <c r="P146" s="55"/>
      <c r="Q146" s="55">
        <f t="shared" si="123"/>
        <v>0</v>
      </c>
      <c r="R146" s="55"/>
      <c r="S146" s="55">
        <f t="shared" si="124"/>
        <v>0</v>
      </c>
      <c r="T146" s="55"/>
      <c r="U146" s="55">
        <f t="shared" si="125"/>
        <v>0</v>
      </c>
      <c r="V146" s="55"/>
      <c r="W146" s="55">
        <f t="shared" si="126"/>
        <v>0</v>
      </c>
      <c r="X146" s="56">
        <f t="shared" si="127"/>
        <v>0</v>
      </c>
      <c r="Y146" s="55">
        <f t="shared" si="128"/>
        <v>0</v>
      </c>
      <c r="Z146" s="614"/>
      <c r="AA146" s="615"/>
      <c r="AB146" s="614"/>
      <c r="AC146" s="615"/>
      <c r="AD146" s="68"/>
      <c r="AE146" s="66"/>
      <c r="AF146" s="68"/>
      <c r="AG146" s="66"/>
    </row>
    <row r="147" spans="2:33" s="3" customFormat="1" x14ac:dyDescent="0.2">
      <c r="B147" s="54" t="s">
        <v>86</v>
      </c>
      <c r="C147" s="54" t="s">
        <v>22</v>
      </c>
      <c r="D147" s="54" t="s">
        <v>3</v>
      </c>
      <c r="E147" s="54">
        <v>100</v>
      </c>
      <c r="F147" s="55">
        <v>2</v>
      </c>
      <c r="G147" s="55">
        <f t="shared" ref="G147" si="139">SUM(E147*F147)</f>
        <v>200</v>
      </c>
      <c r="H147" s="55"/>
      <c r="I147" s="55">
        <f t="shared" ref="I147" si="140">SUM(E147*H147)</f>
        <v>0</v>
      </c>
      <c r="J147" s="55"/>
      <c r="K147" s="55">
        <f t="shared" ref="K147" si="141">SUM(E147*J147)</f>
        <v>0</v>
      </c>
      <c r="L147" s="55"/>
      <c r="M147" s="55">
        <f t="shared" ref="M147" si="142">SUM(E147*L147)</f>
        <v>0</v>
      </c>
      <c r="N147" s="55"/>
      <c r="O147" s="55">
        <f t="shared" ref="O147" si="143">SUM(E147*N147)</f>
        <v>0</v>
      </c>
      <c r="P147" s="55"/>
      <c r="Q147" s="55">
        <f t="shared" ref="Q147" si="144">SUM(E147*P147)</f>
        <v>0</v>
      </c>
      <c r="R147" s="55"/>
      <c r="S147" s="55">
        <f t="shared" ref="S147" si="145">SUM(E147*R147)</f>
        <v>0</v>
      </c>
      <c r="T147" s="55"/>
      <c r="U147" s="55">
        <f t="shared" ref="U147" si="146">SUM(E147*T147)</f>
        <v>0</v>
      </c>
      <c r="V147" s="55"/>
      <c r="W147" s="55">
        <f t="shared" ref="W147" si="147">SUM(E147*V147)</f>
        <v>0</v>
      </c>
      <c r="X147" s="56">
        <f t="shared" si="127"/>
        <v>2</v>
      </c>
      <c r="Y147" s="55">
        <f t="shared" si="128"/>
        <v>200</v>
      </c>
      <c r="Z147" s="614"/>
      <c r="AA147" s="615"/>
      <c r="AB147" s="614"/>
      <c r="AC147" s="615"/>
      <c r="AD147" s="68"/>
      <c r="AE147" s="66"/>
      <c r="AF147" s="68"/>
      <c r="AG147" s="66"/>
    </row>
    <row r="148" spans="2:33" s="3" customFormat="1" x14ac:dyDescent="0.2">
      <c r="B148" s="54" t="s">
        <v>146</v>
      </c>
      <c r="C148" s="54" t="s">
        <v>22</v>
      </c>
      <c r="D148" s="54" t="s">
        <v>3</v>
      </c>
      <c r="E148" s="54">
        <v>100</v>
      </c>
      <c r="F148" s="55"/>
      <c r="G148" s="55">
        <f t="shared" si="129"/>
        <v>0</v>
      </c>
      <c r="H148" s="55"/>
      <c r="I148" s="55">
        <f t="shared" si="119"/>
        <v>0</v>
      </c>
      <c r="J148" s="55"/>
      <c r="K148" s="55">
        <f t="shared" si="120"/>
        <v>0</v>
      </c>
      <c r="L148" s="55"/>
      <c r="M148" s="55">
        <f t="shared" si="121"/>
        <v>0</v>
      </c>
      <c r="N148" s="55"/>
      <c r="O148" s="55">
        <f t="shared" si="122"/>
        <v>0</v>
      </c>
      <c r="P148" s="55"/>
      <c r="Q148" s="55">
        <f t="shared" si="123"/>
        <v>0</v>
      </c>
      <c r="R148" s="55"/>
      <c r="S148" s="55">
        <f t="shared" si="124"/>
        <v>0</v>
      </c>
      <c r="T148" s="55">
        <v>32.5</v>
      </c>
      <c r="U148" s="55">
        <f t="shared" si="125"/>
        <v>3250</v>
      </c>
      <c r="V148" s="55"/>
      <c r="W148" s="55">
        <f t="shared" si="126"/>
        <v>0</v>
      </c>
      <c r="X148" s="56">
        <f t="shared" si="127"/>
        <v>32.5</v>
      </c>
      <c r="Y148" s="55">
        <f t="shared" si="128"/>
        <v>3250</v>
      </c>
      <c r="Z148" s="614"/>
      <c r="AA148" s="615"/>
      <c r="AB148" s="614"/>
      <c r="AC148" s="615"/>
      <c r="AD148" s="68"/>
      <c r="AE148" s="66"/>
      <c r="AF148" s="68"/>
      <c r="AG148" s="66"/>
    </row>
    <row r="149" spans="2:33" s="3" customFormat="1" x14ac:dyDescent="0.2">
      <c r="B149" s="54" t="s">
        <v>93</v>
      </c>
      <c r="C149" s="54" t="s">
        <v>22</v>
      </c>
      <c r="D149" s="54" t="s">
        <v>3</v>
      </c>
      <c r="E149" s="54">
        <v>100</v>
      </c>
      <c r="F149" s="55">
        <v>0.75</v>
      </c>
      <c r="G149" s="55">
        <f t="shared" si="129"/>
        <v>75</v>
      </c>
      <c r="H149" s="55"/>
      <c r="I149" s="55">
        <f t="shared" si="119"/>
        <v>0</v>
      </c>
      <c r="J149" s="55"/>
      <c r="K149" s="55">
        <f t="shared" si="120"/>
        <v>0</v>
      </c>
      <c r="L149" s="55"/>
      <c r="M149" s="55">
        <f t="shared" si="121"/>
        <v>0</v>
      </c>
      <c r="N149" s="55"/>
      <c r="O149" s="55">
        <f t="shared" si="122"/>
        <v>0</v>
      </c>
      <c r="P149" s="55"/>
      <c r="Q149" s="55">
        <f t="shared" si="123"/>
        <v>0</v>
      </c>
      <c r="R149" s="55"/>
      <c r="S149" s="55">
        <f t="shared" si="124"/>
        <v>0</v>
      </c>
      <c r="T149" s="55"/>
      <c r="U149" s="55">
        <f t="shared" si="125"/>
        <v>0</v>
      </c>
      <c r="V149" s="55"/>
      <c r="W149" s="55">
        <f t="shared" si="126"/>
        <v>0</v>
      </c>
      <c r="X149" s="56">
        <f t="shared" si="127"/>
        <v>0.75</v>
      </c>
      <c r="Y149" s="55">
        <f t="shared" si="128"/>
        <v>75</v>
      </c>
      <c r="Z149" s="614"/>
      <c r="AA149" s="615"/>
      <c r="AB149" s="614"/>
      <c r="AC149" s="615"/>
      <c r="AD149" s="68"/>
      <c r="AE149" s="66"/>
      <c r="AF149" s="68"/>
      <c r="AG149" s="66"/>
    </row>
    <row r="150" spans="2:33" s="3" customFormat="1" x14ac:dyDescent="0.2">
      <c r="B150" s="54" t="s">
        <v>24</v>
      </c>
      <c r="C150" s="54" t="s">
        <v>22</v>
      </c>
      <c r="D150" s="54" t="s">
        <v>3</v>
      </c>
      <c r="E150" s="54">
        <v>100</v>
      </c>
      <c r="F150" s="55">
        <v>0</v>
      </c>
      <c r="G150" s="55">
        <f t="shared" si="129"/>
        <v>0</v>
      </c>
      <c r="H150" s="55"/>
      <c r="I150" s="55">
        <f t="shared" si="119"/>
        <v>0</v>
      </c>
      <c r="J150" s="55"/>
      <c r="K150" s="55">
        <f t="shared" si="120"/>
        <v>0</v>
      </c>
      <c r="L150" s="55"/>
      <c r="M150" s="55">
        <f t="shared" si="121"/>
        <v>0</v>
      </c>
      <c r="N150" s="55"/>
      <c r="O150" s="55">
        <f t="shared" si="122"/>
        <v>0</v>
      </c>
      <c r="P150" s="55"/>
      <c r="Q150" s="55">
        <f t="shared" si="123"/>
        <v>0</v>
      </c>
      <c r="R150" s="55"/>
      <c r="S150" s="55">
        <f t="shared" si="124"/>
        <v>0</v>
      </c>
      <c r="T150" s="55"/>
      <c r="U150" s="55">
        <f t="shared" si="125"/>
        <v>0</v>
      </c>
      <c r="V150" s="55"/>
      <c r="W150" s="55">
        <f t="shared" si="126"/>
        <v>0</v>
      </c>
      <c r="X150" s="56">
        <f t="shared" si="127"/>
        <v>0</v>
      </c>
      <c r="Y150" s="55">
        <f t="shared" si="128"/>
        <v>0</v>
      </c>
      <c r="Z150" s="614"/>
      <c r="AA150" s="615"/>
      <c r="AB150" s="614"/>
      <c r="AC150" s="615"/>
      <c r="AD150" s="68"/>
      <c r="AE150" s="66"/>
      <c r="AF150" s="68"/>
      <c r="AG150" s="66"/>
    </row>
    <row r="151" spans="2:33" s="3" customFormat="1" x14ac:dyDescent="0.2">
      <c r="B151" s="54" t="s">
        <v>19</v>
      </c>
      <c r="C151" s="54" t="s">
        <v>22</v>
      </c>
      <c r="D151" s="54" t="s">
        <v>3</v>
      </c>
      <c r="E151" s="54">
        <v>100</v>
      </c>
      <c r="F151" s="55">
        <v>0</v>
      </c>
      <c r="G151" s="55">
        <f t="shared" si="129"/>
        <v>0</v>
      </c>
      <c r="H151" s="55"/>
      <c r="I151" s="55">
        <f t="shared" si="119"/>
        <v>0</v>
      </c>
      <c r="J151" s="55"/>
      <c r="K151" s="55">
        <f t="shared" si="120"/>
        <v>0</v>
      </c>
      <c r="L151" s="55"/>
      <c r="M151" s="55">
        <f t="shared" si="121"/>
        <v>0</v>
      </c>
      <c r="N151" s="55"/>
      <c r="O151" s="55">
        <f t="shared" si="122"/>
        <v>0</v>
      </c>
      <c r="P151" s="55"/>
      <c r="Q151" s="55">
        <f t="shared" si="123"/>
        <v>0</v>
      </c>
      <c r="R151" s="55"/>
      <c r="S151" s="55">
        <f t="shared" si="124"/>
        <v>0</v>
      </c>
      <c r="T151" s="55"/>
      <c r="U151" s="55">
        <f t="shared" si="125"/>
        <v>0</v>
      </c>
      <c r="V151" s="55"/>
      <c r="W151" s="55">
        <f t="shared" si="126"/>
        <v>0</v>
      </c>
      <c r="X151" s="56">
        <f t="shared" si="127"/>
        <v>0</v>
      </c>
      <c r="Y151" s="55">
        <f t="shared" si="128"/>
        <v>0</v>
      </c>
      <c r="Z151" s="614"/>
      <c r="AA151" s="615"/>
      <c r="AB151" s="614"/>
      <c r="AC151" s="615"/>
      <c r="AD151" s="68"/>
      <c r="AE151" s="66"/>
      <c r="AF151" s="68"/>
      <c r="AG151" s="66"/>
    </row>
    <row r="152" spans="2:33" s="3" customFormat="1" x14ac:dyDescent="0.2">
      <c r="B152" s="54" t="s">
        <v>13</v>
      </c>
      <c r="C152" s="54" t="s">
        <v>22</v>
      </c>
      <c r="D152" s="54" t="s">
        <v>3</v>
      </c>
      <c r="E152" s="54">
        <v>100</v>
      </c>
      <c r="F152" s="55">
        <v>0</v>
      </c>
      <c r="G152" s="55">
        <f t="shared" si="129"/>
        <v>0</v>
      </c>
      <c r="H152" s="55"/>
      <c r="I152" s="55">
        <f t="shared" si="119"/>
        <v>0</v>
      </c>
      <c r="J152" s="55"/>
      <c r="K152" s="55">
        <f t="shared" si="120"/>
        <v>0</v>
      </c>
      <c r="L152" s="55"/>
      <c r="M152" s="55">
        <f t="shared" si="121"/>
        <v>0</v>
      </c>
      <c r="N152" s="55"/>
      <c r="O152" s="55">
        <f t="shared" si="122"/>
        <v>0</v>
      </c>
      <c r="P152" s="55"/>
      <c r="Q152" s="55">
        <f t="shared" si="123"/>
        <v>0</v>
      </c>
      <c r="R152" s="55"/>
      <c r="S152" s="55">
        <f t="shared" si="124"/>
        <v>0</v>
      </c>
      <c r="T152" s="55"/>
      <c r="U152" s="55">
        <f t="shared" si="125"/>
        <v>0</v>
      </c>
      <c r="V152" s="55"/>
      <c r="W152" s="55">
        <f t="shared" si="126"/>
        <v>0</v>
      </c>
      <c r="X152" s="56">
        <f t="shared" si="127"/>
        <v>0</v>
      </c>
      <c r="Y152" s="55">
        <f t="shared" si="128"/>
        <v>0</v>
      </c>
      <c r="Z152" s="614"/>
      <c r="AA152" s="615"/>
      <c r="AB152" s="614"/>
      <c r="AC152" s="615"/>
      <c r="AD152" s="68"/>
      <c r="AE152" s="66"/>
      <c r="AF152" s="68"/>
      <c r="AG152" s="66"/>
    </row>
    <row r="153" spans="2:33" s="3" customFormat="1" x14ac:dyDescent="0.2">
      <c r="B153" s="54" t="s">
        <v>80</v>
      </c>
      <c r="C153" s="54" t="s">
        <v>22</v>
      </c>
      <c r="D153" s="54" t="s">
        <v>3</v>
      </c>
      <c r="E153" s="54">
        <v>100</v>
      </c>
      <c r="F153" s="55">
        <v>325.5</v>
      </c>
      <c r="G153" s="55">
        <f t="shared" si="129"/>
        <v>32550</v>
      </c>
      <c r="H153" s="55">
        <v>78</v>
      </c>
      <c r="I153" s="55">
        <f t="shared" si="119"/>
        <v>7800</v>
      </c>
      <c r="J153" s="55"/>
      <c r="K153" s="55">
        <f t="shared" si="120"/>
        <v>0</v>
      </c>
      <c r="L153" s="55"/>
      <c r="M153" s="55">
        <f t="shared" si="121"/>
        <v>0</v>
      </c>
      <c r="N153" s="55">
        <v>2</v>
      </c>
      <c r="O153" s="55">
        <f t="shared" si="122"/>
        <v>200</v>
      </c>
      <c r="P153" s="55"/>
      <c r="Q153" s="55">
        <f t="shared" si="123"/>
        <v>0</v>
      </c>
      <c r="R153" s="55">
        <v>3</v>
      </c>
      <c r="S153" s="55">
        <f t="shared" si="124"/>
        <v>300</v>
      </c>
      <c r="T153" s="55">
        <v>21</v>
      </c>
      <c r="U153" s="55">
        <f t="shared" si="125"/>
        <v>2100</v>
      </c>
      <c r="V153" s="55">
        <v>40</v>
      </c>
      <c r="W153" s="55">
        <f t="shared" si="126"/>
        <v>4000</v>
      </c>
      <c r="X153" s="56">
        <f t="shared" si="127"/>
        <v>469.5</v>
      </c>
      <c r="Y153" s="55">
        <f t="shared" si="128"/>
        <v>46950</v>
      </c>
      <c r="Z153" s="614"/>
      <c r="AA153" s="615"/>
      <c r="AB153" s="614"/>
      <c r="AC153" s="615"/>
      <c r="AD153" s="68"/>
      <c r="AE153" s="66"/>
      <c r="AF153" s="68"/>
      <c r="AG153" s="66"/>
    </row>
    <row r="154" spans="2:33" s="3" customFormat="1" x14ac:dyDescent="0.2">
      <c r="B154" s="54" t="s">
        <v>104</v>
      </c>
      <c r="C154" s="54" t="s">
        <v>22</v>
      </c>
      <c r="D154" s="54" t="s">
        <v>3</v>
      </c>
      <c r="E154" s="54">
        <v>100</v>
      </c>
      <c r="F154" s="55">
        <v>1.5</v>
      </c>
      <c r="G154" s="55">
        <f t="shared" si="129"/>
        <v>150</v>
      </c>
      <c r="H154" s="55"/>
      <c r="I154" s="55">
        <f t="shared" si="119"/>
        <v>0</v>
      </c>
      <c r="J154" s="55"/>
      <c r="K154" s="55">
        <f t="shared" si="120"/>
        <v>0</v>
      </c>
      <c r="L154" s="55"/>
      <c r="M154" s="55">
        <f t="shared" si="121"/>
        <v>0</v>
      </c>
      <c r="N154" s="55">
        <v>6</v>
      </c>
      <c r="O154" s="55">
        <f t="shared" si="122"/>
        <v>600</v>
      </c>
      <c r="P154" s="55"/>
      <c r="Q154" s="55">
        <f t="shared" si="123"/>
        <v>0</v>
      </c>
      <c r="R154" s="55"/>
      <c r="S154" s="55">
        <f t="shared" si="124"/>
        <v>0</v>
      </c>
      <c r="T154" s="55"/>
      <c r="U154" s="55">
        <f t="shared" si="125"/>
        <v>0</v>
      </c>
      <c r="V154" s="55">
        <v>3</v>
      </c>
      <c r="W154" s="55">
        <f t="shared" si="126"/>
        <v>300</v>
      </c>
      <c r="X154" s="56">
        <f t="shared" si="127"/>
        <v>10.5</v>
      </c>
      <c r="Y154" s="55">
        <f t="shared" si="128"/>
        <v>1050</v>
      </c>
      <c r="Z154" s="614"/>
      <c r="AA154" s="615"/>
      <c r="AB154" s="614"/>
      <c r="AC154" s="615"/>
      <c r="AD154" s="68"/>
      <c r="AE154" s="66"/>
      <c r="AF154" s="68"/>
      <c r="AG154" s="66"/>
    </row>
    <row r="155" spans="2:33" s="3" customFormat="1" x14ac:dyDescent="0.2">
      <c r="B155" s="54" t="s">
        <v>101</v>
      </c>
      <c r="C155" s="54" t="s">
        <v>22</v>
      </c>
      <c r="D155" s="54" t="s">
        <v>9</v>
      </c>
      <c r="E155" s="54">
        <v>75</v>
      </c>
      <c r="F155" s="55">
        <v>0.5</v>
      </c>
      <c r="G155" s="55">
        <f t="shared" si="129"/>
        <v>37.5</v>
      </c>
      <c r="H155" s="55"/>
      <c r="I155" s="55">
        <f t="shared" si="119"/>
        <v>0</v>
      </c>
      <c r="J155" s="55"/>
      <c r="K155" s="55"/>
      <c r="L155" s="55"/>
      <c r="M155" s="55"/>
      <c r="N155" s="55"/>
      <c r="O155" s="55"/>
      <c r="P155" s="55"/>
      <c r="Q155" s="55">
        <f t="shared" si="123"/>
        <v>0</v>
      </c>
      <c r="R155" s="55"/>
      <c r="S155" s="55">
        <f t="shared" si="124"/>
        <v>0</v>
      </c>
      <c r="T155" s="55"/>
      <c r="U155" s="55"/>
      <c r="V155" s="55"/>
      <c r="W155" s="55">
        <f t="shared" si="126"/>
        <v>0</v>
      </c>
      <c r="X155" s="56">
        <f t="shared" si="127"/>
        <v>0.5</v>
      </c>
      <c r="Y155" s="55">
        <f t="shared" si="128"/>
        <v>37.5</v>
      </c>
      <c r="Z155" s="614"/>
      <c r="AA155" s="615"/>
      <c r="AB155" s="614"/>
      <c r="AC155" s="615"/>
      <c r="AD155" s="68"/>
      <c r="AE155" s="66"/>
      <c r="AF155" s="68"/>
      <c r="AG155" s="66"/>
    </row>
    <row r="156" spans="2:33" s="3" customFormat="1" x14ac:dyDescent="0.2">
      <c r="B156" s="54" t="s">
        <v>17</v>
      </c>
      <c r="C156" s="54" t="s">
        <v>22</v>
      </c>
      <c r="D156" s="54" t="s">
        <v>9</v>
      </c>
      <c r="E156" s="54">
        <v>75</v>
      </c>
      <c r="F156" s="55">
        <v>4.75</v>
      </c>
      <c r="G156" s="55">
        <f t="shared" ref="G156" si="148">SUM(E156*F156)</f>
        <v>356.25</v>
      </c>
      <c r="H156" s="55"/>
      <c r="I156" s="55">
        <f t="shared" ref="I156" si="149">SUM(E156*H156)</f>
        <v>0</v>
      </c>
      <c r="J156" s="55"/>
      <c r="K156" s="55">
        <f t="shared" ref="K156" si="150">SUM(E156*J156)</f>
        <v>0</v>
      </c>
      <c r="L156" s="55"/>
      <c r="M156" s="55">
        <f t="shared" ref="M156" si="151">SUM(E156*L156)</f>
        <v>0</v>
      </c>
      <c r="N156" s="55"/>
      <c r="O156" s="55">
        <f t="shared" ref="O156" si="152">SUM(E156*N156)</f>
        <v>0</v>
      </c>
      <c r="P156" s="55"/>
      <c r="Q156" s="55">
        <f t="shared" si="123"/>
        <v>0</v>
      </c>
      <c r="R156" s="55"/>
      <c r="S156" s="55">
        <f t="shared" ref="S156" si="153">SUM(E156*R156)</f>
        <v>0</v>
      </c>
      <c r="T156" s="55"/>
      <c r="U156" s="55">
        <f t="shared" ref="U156" si="154">SUM(E156*T156)</f>
        <v>0</v>
      </c>
      <c r="V156" s="55"/>
      <c r="W156" s="55">
        <f t="shared" ref="W156" si="155">SUM(E156*V156)</f>
        <v>0</v>
      </c>
      <c r="X156" s="56">
        <f t="shared" si="127"/>
        <v>4.75</v>
      </c>
      <c r="Y156" s="55">
        <f t="shared" si="128"/>
        <v>356.25</v>
      </c>
      <c r="Z156" s="614"/>
      <c r="AA156" s="615"/>
      <c r="AB156" s="614"/>
      <c r="AC156" s="615"/>
      <c r="AD156" s="68"/>
      <c r="AE156" s="66"/>
      <c r="AF156" s="68"/>
      <c r="AG156" s="66"/>
    </row>
    <row r="157" spans="2:33" s="3" customFormat="1" x14ac:dyDescent="0.2">
      <c r="B157" s="54" t="s">
        <v>15</v>
      </c>
      <c r="C157" s="54" t="s">
        <v>22</v>
      </c>
      <c r="D157" s="54" t="s">
        <v>9</v>
      </c>
      <c r="E157" s="54">
        <v>75</v>
      </c>
      <c r="F157" s="55"/>
      <c r="G157" s="55">
        <f t="shared" si="129"/>
        <v>0</v>
      </c>
      <c r="H157" s="55"/>
      <c r="I157" s="55">
        <f t="shared" si="119"/>
        <v>0</v>
      </c>
      <c r="J157" s="55"/>
      <c r="K157" s="55">
        <f t="shared" ref="K157:K170" si="156">SUM(E157*J157)</f>
        <v>0</v>
      </c>
      <c r="L157" s="55"/>
      <c r="M157" s="55">
        <f t="shared" ref="M157:M170" si="157">SUM(E157*L157)</f>
        <v>0</v>
      </c>
      <c r="N157" s="55"/>
      <c r="O157" s="55">
        <f t="shared" ref="O157:O170" si="158">SUM(E157*N157)</f>
        <v>0</v>
      </c>
      <c r="P157" s="55">
        <v>2.75</v>
      </c>
      <c r="Q157" s="55">
        <f t="shared" si="123"/>
        <v>206.25</v>
      </c>
      <c r="R157" s="55"/>
      <c r="S157" s="55">
        <f t="shared" si="124"/>
        <v>0</v>
      </c>
      <c r="T157" s="55"/>
      <c r="U157" s="55">
        <f t="shared" ref="U157:U170" si="159">SUM(E157*T157)</f>
        <v>0</v>
      </c>
      <c r="V157" s="55"/>
      <c r="W157" s="55">
        <f t="shared" si="126"/>
        <v>0</v>
      </c>
      <c r="X157" s="56">
        <f t="shared" si="127"/>
        <v>2.75</v>
      </c>
      <c r="Y157" s="55">
        <f t="shared" si="128"/>
        <v>206.25</v>
      </c>
      <c r="Z157" s="614"/>
      <c r="AA157" s="615"/>
      <c r="AB157" s="614"/>
      <c r="AC157" s="615"/>
      <c r="AD157" s="68"/>
      <c r="AE157" s="66"/>
      <c r="AF157" s="68"/>
      <c r="AG157" s="66"/>
    </row>
    <row r="158" spans="2:33" s="3" customFormat="1" x14ac:dyDescent="0.2">
      <c r="B158" s="54" t="s">
        <v>119</v>
      </c>
      <c r="C158" s="54" t="s">
        <v>22</v>
      </c>
      <c r="D158" s="54" t="s">
        <v>9</v>
      </c>
      <c r="E158" s="54">
        <v>75</v>
      </c>
      <c r="F158" s="55">
        <v>0.25</v>
      </c>
      <c r="G158" s="55">
        <f t="shared" ref="G158" si="160">SUM(E158*F158)</f>
        <v>18.75</v>
      </c>
      <c r="H158" s="55"/>
      <c r="I158" s="55">
        <f t="shared" ref="I158" si="161">SUM(E158*H158)</f>
        <v>0</v>
      </c>
      <c r="J158" s="55"/>
      <c r="K158" s="55">
        <f t="shared" ref="K158" si="162">SUM(E158*J158)</f>
        <v>0</v>
      </c>
      <c r="L158" s="55"/>
      <c r="M158" s="55">
        <f t="shared" ref="M158" si="163">SUM(E158*L158)</f>
        <v>0</v>
      </c>
      <c r="N158" s="55"/>
      <c r="O158" s="55">
        <f t="shared" ref="O158" si="164">SUM(E158*N158)</f>
        <v>0</v>
      </c>
      <c r="P158" s="55"/>
      <c r="Q158" s="55">
        <f t="shared" ref="Q158" si="165">SUM(E158*P158)</f>
        <v>0</v>
      </c>
      <c r="R158" s="55"/>
      <c r="S158" s="55">
        <f t="shared" ref="S158" si="166">SUM(E158*R158)</f>
        <v>0</v>
      </c>
      <c r="T158" s="55"/>
      <c r="U158" s="55">
        <f t="shared" ref="U158" si="167">SUM(E158*T158)</f>
        <v>0</v>
      </c>
      <c r="V158" s="55"/>
      <c r="W158" s="55">
        <f t="shared" ref="W158" si="168">SUM(E158*V158)</f>
        <v>0</v>
      </c>
      <c r="X158" s="56">
        <f t="shared" si="127"/>
        <v>0.25</v>
      </c>
      <c r="Y158" s="55">
        <f t="shared" si="128"/>
        <v>18.75</v>
      </c>
      <c r="Z158" s="614"/>
      <c r="AA158" s="615"/>
      <c r="AB158" s="614"/>
      <c r="AC158" s="615"/>
      <c r="AD158" s="68"/>
      <c r="AE158" s="66"/>
      <c r="AF158" s="68"/>
      <c r="AG158" s="66"/>
    </row>
    <row r="159" spans="2:33" s="3" customFormat="1" x14ac:dyDescent="0.2">
      <c r="B159" s="54" t="s">
        <v>148</v>
      </c>
      <c r="C159" s="54" t="s">
        <v>22</v>
      </c>
      <c r="D159" s="54" t="s">
        <v>9</v>
      </c>
      <c r="E159" s="54">
        <v>75</v>
      </c>
      <c r="F159" s="55"/>
      <c r="G159" s="55">
        <f t="shared" si="129"/>
        <v>0</v>
      </c>
      <c r="H159" s="55"/>
      <c r="I159" s="55">
        <f t="shared" si="119"/>
        <v>0</v>
      </c>
      <c r="J159" s="55"/>
      <c r="K159" s="55">
        <f t="shared" si="156"/>
        <v>0</v>
      </c>
      <c r="L159" s="55"/>
      <c r="M159" s="55">
        <f t="shared" si="157"/>
        <v>0</v>
      </c>
      <c r="N159" s="55"/>
      <c r="O159" s="55">
        <f t="shared" si="158"/>
        <v>0</v>
      </c>
      <c r="P159" s="55"/>
      <c r="Q159" s="55">
        <f t="shared" si="123"/>
        <v>0</v>
      </c>
      <c r="R159" s="55"/>
      <c r="S159" s="55">
        <f t="shared" si="124"/>
        <v>0</v>
      </c>
      <c r="T159" s="55"/>
      <c r="U159" s="55">
        <f t="shared" si="159"/>
        <v>0</v>
      </c>
      <c r="V159" s="55">
        <v>0.5</v>
      </c>
      <c r="W159" s="55">
        <f t="shared" si="126"/>
        <v>37.5</v>
      </c>
      <c r="X159" s="56">
        <f t="shared" si="127"/>
        <v>0.5</v>
      </c>
      <c r="Y159" s="55">
        <f t="shared" si="128"/>
        <v>37.5</v>
      </c>
      <c r="Z159" s="614"/>
      <c r="AA159" s="615"/>
      <c r="AB159" s="614"/>
      <c r="AC159" s="615"/>
      <c r="AD159" s="68"/>
      <c r="AE159" s="66"/>
      <c r="AF159" s="68"/>
      <c r="AG159" s="66"/>
    </row>
    <row r="160" spans="2:33" s="3" customFormat="1" x14ac:dyDescent="0.2">
      <c r="B160" s="54" t="s">
        <v>18</v>
      </c>
      <c r="C160" s="54" t="s">
        <v>22</v>
      </c>
      <c r="D160" s="54" t="s">
        <v>16</v>
      </c>
      <c r="E160" s="54">
        <v>60</v>
      </c>
      <c r="F160" s="55"/>
      <c r="G160" s="55">
        <f>SUM(E160*F160)</f>
        <v>0</v>
      </c>
      <c r="H160" s="55"/>
      <c r="I160" s="55">
        <f>SUM(E160*H160)</f>
        <v>0</v>
      </c>
      <c r="J160" s="55"/>
      <c r="K160" s="55">
        <f t="shared" si="156"/>
        <v>0</v>
      </c>
      <c r="L160" s="55">
        <v>0.5</v>
      </c>
      <c r="M160" s="55">
        <f t="shared" si="157"/>
        <v>30</v>
      </c>
      <c r="N160" s="55"/>
      <c r="O160" s="55">
        <f t="shared" si="158"/>
        <v>0</v>
      </c>
      <c r="P160" s="55"/>
      <c r="Q160" s="55">
        <f t="shared" si="123"/>
        <v>0</v>
      </c>
      <c r="R160" s="55"/>
      <c r="S160" s="55">
        <f>SUM(E160*R160)</f>
        <v>0</v>
      </c>
      <c r="T160" s="55"/>
      <c r="U160" s="55">
        <f t="shared" si="159"/>
        <v>0</v>
      </c>
      <c r="V160" s="55"/>
      <c r="W160" s="55">
        <f>SUM(E160*V160)</f>
        <v>0</v>
      </c>
      <c r="X160" s="56">
        <f t="shared" si="127"/>
        <v>0.5</v>
      </c>
      <c r="Y160" s="55">
        <f t="shared" si="128"/>
        <v>30</v>
      </c>
      <c r="Z160" s="614"/>
      <c r="AA160" s="615"/>
      <c r="AB160" s="614"/>
      <c r="AC160" s="615"/>
      <c r="AD160" s="68"/>
      <c r="AE160" s="66"/>
      <c r="AF160" s="68"/>
      <c r="AG160" s="66"/>
    </row>
    <row r="161" spans="2:34" s="3" customFormat="1" x14ac:dyDescent="0.2">
      <c r="B161" s="54" t="s">
        <v>133</v>
      </c>
      <c r="C161" s="54" t="s">
        <v>22</v>
      </c>
      <c r="D161" s="54" t="s">
        <v>16</v>
      </c>
      <c r="E161" s="54">
        <v>60</v>
      </c>
      <c r="F161" s="55"/>
      <c r="G161" s="55">
        <f>SUM(E161*F161)</f>
        <v>0</v>
      </c>
      <c r="H161" s="55"/>
      <c r="I161" s="55">
        <f>SUM(E161*H161)</f>
        <v>0</v>
      </c>
      <c r="J161" s="55"/>
      <c r="K161" s="55">
        <f>SUM(E161*J161)</f>
        <v>0</v>
      </c>
      <c r="L161" s="55"/>
      <c r="M161" s="55">
        <f>SUM(E161*L161)</f>
        <v>0</v>
      </c>
      <c r="N161" s="55">
        <v>8.5</v>
      </c>
      <c r="O161" s="55">
        <f>SUM(E161*N161)</f>
        <v>510</v>
      </c>
      <c r="P161" s="55"/>
      <c r="Q161" s="55">
        <f t="shared" si="123"/>
        <v>0</v>
      </c>
      <c r="R161" s="55"/>
      <c r="S161" s="55">
        <f>SUM(E161*R161)</f>
        <v>0</v>
      </c>
      <c r="T161" s="55"/>
      <c r="U161" s="55">
        <f>SUM(E161*T161)</f>
        <v>0</v>
      </c>
      <c r="V161" s="55"/>
      <c r="W161" s="55">
        <f>SUM(E161*V161)</f>
        <v>0</v>
      </c>
      <c r="X161" s="56">
        <f t="shared" si="127"/>
        <v>8.5</v>
      </c>
      <c r="Y161" s="55">
        <f t="shared" si="128"/>
        <v>510</v>
      </c>
      <c r="Z161" s="614"/>
      <c r="AA161" s="615"/>
      <c r="AB161" s="614"/>
      <c r="AC161" s="615"/>
      <c r="AD161" s="68"/>
      <c r="AE161" s="66"/>
      <c r="AF161" s="68"/>
      <c r="AG161" s="66"/>
    </row>
    <row r="162" spans="2:34" s="3" customFormat="1" x14ac:dyDescent="0.2">
      <c r="B162" s="54" t="s">
        <v>30</v>
      </c>
      <c r="C162" s="54" t="s">
        <v>22</v>
      </c>
      <c r="D162" s="54" t="s">
        <v>20</v>
      </c>
      <c r="E162" s="54">
        <v>35</v>
      </c>
      <c r="F162" s="55"/>
      <c r="G162" s="55">
        <f t="shared" si="129"/>
        <v>0</v>
      </c>
      <c r="H162" s="55"/>
      <c r="I162" s="55">
        <f t="shared" si="119"/>
        <v>0</v>
      </c>
      <c r="J162" s="55"/>
      <c r="K162" s="55">
        <f t="shared" si="156"/>
        <v>0</v>
      </c>
      <c r="L162" s="55"/>
      <c r="M162" s="55">
        <f t="shared" si="157"/>
        <v>0</v>
      </c>
      <c r="N162" s="55"/>
      <c r="O162" s="55">
        <f t="shared" si="158"/>
        <v>0</v>
      </c>
      <c r="P162" s="55"/>
      <c r="Q162" s="55">
        <f t="shared" si="123"/>
        <v>0</v>
      </c>
      <c r="R162" s="55"/>
      <c r="S162" s="55">
        <f t="shared" si="124"/>
        <v>0</v>
      </c>
      <c r="T162" s="55"/>
      <c r="U162" s="55">
        <f t="shared" si="159"/>
        <v>0</v>
      </c>
      <c r="V162" s="55"/>
      <c r="W162" s="55">
        <f t="shared" si="126"/>
        <v>0</v>
      </c>
      <c r="X162" s="56">
        <f t="shared" si="127"/>
        <v>0</v>
      </c>
      <c r="Y162" s="55">
        <f t="shared" si="128"/>
        <v>0</v>
      </c>
      <c r="Z162" s="614"/>
      <c r="AA162" s="615"/>
      <c r="AB162" s="614"/>
      <c r="AC162" s="615"/>
      <c r="AD162" s="68"/>
      <c r="AE162" s="66"/>
      <c r="AF162" s="68"/>
      <c r="AG162" s="66"/>
    </row>
    <row r="163" spans="2:34" s="3" customFormat="1" x14ac:dyDescent="0.2">
      <c r="B163" s="54" t="s">
        <v>59</v>
      </c>
      <c r="C163" s="54" t="s">
        <v>22</v>
      </c>
      <c r="D163" s="54" t="s">
        <v>20</v>
      </c>
      <c r="E163" s="54">
        <v>35</v>
      </c>
      <c r="F163" s="55">
        <v>8.25</v>
      </c>
      <c r="G163" s="55">
        <f t="shared" si="129"/>
        <v>288.75</v>
      </c>
      <c r="H163" s="55"/>
      <c r="I163" s="55">
        <f t="shared" si="119"/>
        <v>0</v>
      </c>
      <c r="J163" s="55"/>
      <c r="K163" s="55">
        <f t="shared" si="156"/>
        <v>0</v>
      </c>
      <c r="L163" s="55"/>
      <c r="M163" s="55">
        <f t="shared" si="157"/>
        <v>0</v>
      </c>
      <c r="N163" s="55"/>
      <c r="O163" s="55">
        <f t="shared" si="158"/>
        <v>0</v>
      </c>
      <c r="P163" s="55"/>
      <c r="Q163" s="55">
        <f t="shared" si="123"/>
        <v>0</v>
      </c>
      <c r="R163" s="55"/>
      <c r="S163" s="55">
        <f t="shared" si="124"/>
        <v>0</v>
      </c>
      <c r="T163" s="55"/>
      <c r="U163" s="55">
        <f t="shared" si="159"/>
        <v>0</v>
      </c>
      <c r="V163" s="55"/>
      <c r="W163" s="55">
        <f t="shared" si="126"/>
        <v>0</v>
      </c>
      <c r="X163" s="56">
        <f t="shared" si="127"/>
        <v>8.25</v>
      </c>
      <c r="Y163" s="55">
        <f t="shared" si="128"/>
        <v>288.75</v>
      </c>
      <c r="Z163" s="614"/>
      <c r="AA163" s="615"/>
      <c r="AB163" s="614"/>
      <c r="AC163" s="615"/>
      <c r="AD163" s="68"/>
      <c r="AE163" s="66"/>
      <c r="AF163" s="68"/>
      <c r="AG163" s="66"/>
    </row>
    <row r="164" spans="2:34" s="3" customFormat="1" x14ac:dyDescent="0.2">
      <c r="B164" s="54" t="s">
        <v>68</v>
      </c>
      <c r="C164" s="54" t="s">
        <v>22</v>
      </c>
      <c r="D164" s="54" t="s">
        <v>20</v>
      </c>
      <c r="E164" s="54">
        <v>35</v>
      </c>
      <c r="F164" s="55">
        <v>0</v>
      </c>
      <c r="G164" s="55">
        <f t="shared" si="129"/>
        <v>0</v>
      </c>
      <c r="H164" s="55"/>
      <c r="I164" s="55">
        <f t="shared" si="119"/>
        <v>0</v>
      </c>
      <c r="J164" s="55"/>
      <c r="K164" s="55">
        <f t="shared" si="156"/>
        <v>0</v>
      </c>
      <c r="L164" s="55"/>
      <c r="M164" s="55">
        <f t="shared" si="157"/>
        <v>0</v>
      </c>
      <c r="N164" s="55"/>
      <c r="O164" s="55">
        <f t="shared" si="158"/>
        <v>0</v>
      </c>
      <c r="P164" s="55"/>
      <c r="Q164" s="55">
        <f t="shared" si="123"/>
        <v>0</v>
      </c>
      <c r="R164" s="55"/>
      <c r="S164" s="55">
        <f t="shared" si="124"/>
        <v>0</v>
      </c>
      <c r="T164" s="55"/>
      <c r="U164" s="55">
        <f t="shared" si="159"/>
        <v>0</v>
      </c>
      <c r="V164" s="55"/>
      <c r="W164" s="55">
        <f t="shared" si="126"/>
        <v>0</v>
      </c>
      <c r="X164" s="56">
        <f t="shared" si="127"/>
        <v>0</v>
      </c>
      <c r="Y164" s="55">
        <f t="shared" si="128"/>
        <v>0</v>
      </c>
      <c r="Z164" s="614"/>
      <c r="AA164" s="615"/>
      <c r="AB164" s="614"/>
      <c r="AC164" s="615"/>
      <c r="AD164" s="68"/>
      <c r="AE164" s="66"/>
      <c r="AF164" s="68"/>
      <c r="AG164" s="66"/>
    </row>
    <row r="165" spans="2:34" s="3" customFormat="1" x14ac:dyDescent="0.2">
      <c r="B165" s="54" t="s">
        <v>120</v>
      </c>
      <c r="C165" s="54" t="s">
        <v>22</v>
      </c>
      <c r="D165" s="54" t="s">
        <v>20</v>
      </c>
      <c r="E165" s="54">
        <v>35</v>
      </c>
      <c r="F165" s="55">
        <v>0.5</v>
      </c>
      <c r="G165" s="55">
        <f t="shared" si="129"/>
        <v>17.5</v>
      </c>
      <c r="H165" s="55"/>
      <c r="I165" s="55">
        <f t="shared" si="119"/>
        <v>0</v>
      </c>
      <c r="J165" s="55"/>
      <c r="K165" s="55">
        <f t="shared" si="156"/>
        <v>0</v>
      </c>
      <c r="L165" s="55"/>
      <c r="M165" s="55">
        <f t="shared" si="157"/>
        <v>0</v>
      </c>
      <c r="N165" s="55"/>
      <c r="O165" s="55">
        <f t="shared" si="158"/>
        <v>0</v>
      </c>
      <c r="P165" s="55"/>
      <c r="Q165" s="55">
        <f t="shared" si="123"/>
        <v>0</v>
      </c>
      <c r="R165" s="55">
        <v>15</v>
      </c>
      <c r="S165" s="55">
        <f t="shared" si="124"/>
        <v>525</v>
      </c>
      <c r="T165" s="55">
        <v>41.5</v>
      </c>
      <c r="U165" s="55">
        <f t="shared" si="159"/>
        <v>1452.5</v>
      </c>
      <c r="V165" s="55">
        <v>40.5</v>
      </c>
      <c r="W165" s="55">
        <f t="shared" si="126"/>
        <v>1417.5</v>
      </c>
      <c r="X165" s="56">
        <f t="shared" si="127"/>
        <v>97.5</v>
      </c>
      <c r="Y165" s="55">
        <f t="shared" si="128"/>
        <v>3412.5</v>
      </c>
      <c r="Z165" s="614"/>
      <c r="AA165" s="615"/>
      <c r="AB165" s="614"/>
      <c r="AC165" s="615"/>
      <c r="AD165" s="68"/>
      <c r="AE165" s="66"/>
      <c r="AF165" s="68"/>
      <c r="AG165" s="66"/>
    </row>
    <row r="166" spans="2:34" s="3" customFormat="1" x14ac:dyDescent="0.2">
      <c r="B166" s="54" t="s">
        <v>29</v>
      </c>
      <c r="C166" s="54" t="s">
        <v>22</v>
      </c>
      <c r="D166" s="54" t="s">
        <v>20</v>
      </c>
      <c r="E166" s="54">
        <v>35</v>
      </c>
      <c r="F166" s="55"/>
      <c r="G166" s="55">
        <f t="shared" ref="G166" si="169">SUM(E166*F166)</f>
        <v>0</v>
      </c>
      <c r="H166" s="55"/>
      <c r="I166" s="55">
        <f t="shared" ref="I166" si="170">SUM(E166*H166)</f>
        <v>0</v>
      </c>
      <c r="J166" s="55"/>
      <c r="K166" s="55">
        <f t="shared" ref="K166" si="171">SUM(E166*J166)</f>
        <v>0</v>
      </c>
      <c r="L166" s="55"/>
      <c r="M166" s="55">
        <f t="shared" ref="M166" si="172">SUM(E166*L166)</f>
        <v>0</v>
      </c>
      <c r="N166" s="55"/>
      <c r="O166" s="55">
        <f t="shared" ref="O166" si="173">SUM(E166*N166)</f>
        <v>0</v>
      </c>
      <c r="P166" s="55"/>
      <c r="Q166" s="55">
        <f t="shared" ref="Q166" si="174">SUM(E166*P166)</f>
        <v>0</v>
      </c>
      <c r="R166" s="55"/>
      <c r="S166" s="55">
        <f t="shared" ref="S166" si="175">SUM(E166*R166)</f>
        <v>0</v>
      </c>
      <c r="T166" s="55">
        <v>21.5</v>
      </c>
      <c r="U166" s="55">
        <f t="shared" ref="U166" si="176">SUM(E166*T166)</f>
        <v>752.5</v>
      </c>
      <c r="V166" s="55"/>
      <c r="W166" s="55">
        <f t="shared" ref="W166" si="177">SUM(E166*V166)</f>
        <v>0</v>
      </c>
      <c r="X166" s="56">
        <f t="shared" si="127"/>
        <v>21.5</v>
      </c>
      <c r="Y166" s="55">
        <f t="shared" si="128"/>
        <v>752.5</v>
      </c>
      <c r="Z166" s="614"/>
      <c r="AA166" s="615"/>
      <c r="AB166" s="614"/>
      <c r="AC166" s="615"/>
      <c r="AD166" s="68"/>
      <c r="AE166" s="66"/>
      <c r="AF166" s="68"/>
      <c r="AG166" s="66"/>
    </row>
    <row r="167" spans="2:34" s="3" customFormat="1" x14ac:dyDescent="0.2">
      <c r="B167" s="54" t="s">
        <v>115</v>
      </c>
      <c r="C167" s="54" t="s">
        <v>22</v>
      </c>
      <c r="D167" s="54" t="s">
        <v>20</v>
      </c>
      <c r="E167" s="54">
        <v>35</v>
      </c>
      <c r="F167" s="55">
        <v>3.5</v>
      </c>
      <c r="G167" s="55">
        <f t="shared" si="129"/>
        <v>122.5</v>
      </c>
      <c r="H167" s="55"/>
      <c r="I167" s="55">
        <f t="shared" si="119"/>
        <v>0</v>
      </c>
      <c r="J167" s="55"/>
      <c r="K167" s="55">
        <f t="shared" si="156"/>
        <v>0</v>
      </c>
      <c r="L167" s="55">
        <v>42.5</v>
      </c>
      <c r="M167" s="55">
        <f t="shared" si="157"/>
        <v>1487.5</v>
      </c>
      <c r="N167" s="55"/>
      <c r="O167" s="55">
        <f t="shared" si="158"/>
        <v>0</v>
      </c>
      <c r="P167" s="55"/>
      <c r="Q167" s="55">
        <f t="shared" si="123"/>
        <v>0</v>
      </c>
      <c r="R167" s="55"/>
      <c r="S167" s="55">
        <f t="shared" si="124"/>
        <v>0</v>
      </c>
      <c r="T167" s="55"/>
      <c r="U167" s="55">
        <f t="shared" si="159"/>
        <v>0</v>
      </c>
      <c r="V167" s="55"/>
      <c r="W167" s="55">
        <f t="shared" si="126"/>
        <v>0</v>
      </c>
      <c r="X167" s="56">
        <f t="shared" si="127"/>
        <v>46</v>
      </c>
      <c r="Y167" s="55">
        <f t="shared" si="128"/>
        <v>1610</v>
      </c>
      <c r="Z167" s="614"/>
      <c r="AA167" s="615"/>
      <c r="AB167" s="614"/>
      <c r="AC167" s="615"/>
      <c r="AD167" s="68"/>
      <c r="AE167" s="66"/>
      <c r="AF167" s="68"/>
      <c r="AG167" s="66"/>
    </row>
    <row r="168" spans="2:34" s="3" customFormat="1" x14ac:dyDescent="0.2">
      <c r="B168" s="54" t="s">
        <v>140</v>
      </c>
      <c r="C168" s="54" t="s">
        <v>22</v>
      </c>
      <c r="D168" s="54" t="s">
        <v>20</v>
      </c>
      <c r="E168" s="54">
        <v>35</v>
      </c>
      <c r="F168" s="55"/>
      <c r="G168" s="55">
        <f t="shared" ref="G168" si="178">SUM(E168*F168)</f>
        <v>0</v>
      </c>
      <c r="H168" s="55"/>
      <c r="I168" s="55">
        <f t="shared" ref="I168" si="179">SUM(E168*H168)</f>
        <v>0</v>
      </c>
      <c r="J168" s="55"/>
      <c r="K168" s="55">
        <f t="shared" ref="K168" si="180">SUM(E168*J168)</f>
        <v>0</v>
      </c>
      <c r="L168" s="55"/>
      <c r="M168" s="55">
        <f t="shared" ref="M168" si="181">SUM(E168*L168)</f>
        <v>0</v>
      </c>
      <c r="N168" s="55"/>
      <c r="O168" s="55">
        <f t="shared" ref="O168" si="182">SUM(E168*N168)</f>
        <v>0</v>
      </c>
      <c r="P168" s="55"/>
      <c r="Q168" s="55">
        <f t="shared" ref="Q168" si="183">SUM(E168*P168)</f>
        <v>0</v>
      </c>
      <c r="R168" s="55">
        <v>1.5</v>
      </c>
      <c r="S168" s="55">
        <f t="shared" ref="S168" si="184">SUM(E168*R168)</f>
        <v>52.5</v>
      </c>
      <c r="T168" s="55"/>
      <c r="U168" s="55">
        <f t="shared" ref="U168" si="185">SUM(E168*T168)</f>
        <v>0</v>
      </c>
      <c r="V168" s="55">
        <v>8.5</v>
      </c>
      <c r="W168" s="55">
        <f t="shared" ref="W168" si="186">SUM(E168*V168)</f>
        <v>297.5</v>
      </c>
      <c r="X168" s="56">
        <f t="shared" si="127"/>
        <v>10</v>
      </c>
      <c r="Y168" s="55">
        <f t="shared" si="128"/>
        <v>350</v>
      </c>
      <c r="Z168" s="614"/>
      <c r="AA168" s="615"/>
      <c r="AB168" s="614"/>
      <c r="AC168" s="615"/>
      <c r="AD168" s="68"/>
      <c r="AE168" s="66"/>
      <c r="AF168" s="68"/>
      <c r="AG168" s="66"/>
    </row>
    <row r="169" spans="2:34" s="3" customFormat="1" x14ac:dyDescent="0.2">
      <c r="B169" s="54" t="s">
        <v>30</v>
      </c>
      <c r="C169" s="54" t="s">
        <v>22</v>
      </c>
      <c r="D169" s="54" t="s">
        <v>20</v>
      </c>
      <c r="E169" s="54">
        <v>35</v>
      </c>
      <c r="F169" s="55">
        <v>111.75</v>
      </c>
      <c r="G169" s="55">
        <f t="shared" si="129"/>
        <v>3911.25</v>
      </c>
      <c r="H169" s="55"/>
      <c r="I169" s="55">
        <f t="shared" si="119"/>
        <v>0</v>
      </c>
      <c r="J169" s="55"/>
      <c r="K169" s="55">
        <f t="shared" si="156"/>
        <v>0</v>
      </c>
      <c r="L169" s="55">
        <v>9.75</v>
      </c>
      <c r="M169" s="55">
        <f t="shared" si="157"/>
        <v>341.25</v>
      </c>
      <c r="N169" s="55">
        <v>53</v>
      </c>
      <c r="O169" s="55">
        <f t="shared" si="158"/>
        <v>1855</v>
      </c>
      <c r="P169" s="55">
        <v>28</v>
      </c>
      <c r="Q169" s="55">
        <f t="shared" si="123"/>
        <v>980</v>
      </c>
      <c r="R169" s="55">
        <v>1.25</v>
      </c>
      <c r="S169" s="55">
        <f t="shared" si="124"/>
        <v>43.75</v>
      </c>
      <c r="T169" s="55">
        <v>67.5</v>
      </c>
      <c r="U169" s="55">
        <f t="shared" si="159"/>
        <v>2362.5</v>
      </c>
      <c r="V169" s="55"/>
      <c r="W169" s="55">
        <f t="shared" si="126"/>
        <v>0</v>
      </c>
      <c r="X169" s="56">
        <f t="shared" si="127"/>
        <v>271.25</v>
      </c>
      <c r="Y169" s="55">
        <f t="shared" si="128"/>
        <v>9493.75</v>
      </c>
      <c r="Z169" s="614"/>
      <c r="AA169" s="615"/>
      <c r="AB169" s="614"/>
      <c r="AC169" s="615"/>
      <c r="AD169" s="68"/>
      <c r="AE169" s="66"/>
      <c r="AF169" s="68"/>
      <c r="AG169" s="66"/>
    </row>
    <row r="170" spans="2:34" s="3" customFormat="1" x14ac:dyDescent="0.2">
      <c r="B170" s="54"/>
      <c r="C170" s="54"/>
      <c r="D170" s="54"/>
      <c r="E170" s="54"/>
      <c r="F170" s="55">
        <v>0</v>
      </c>
      <c r="G170" s="55">
        <f t="shared" si="129"/>
        <v>0</v>
      </c>
      <c r="H170" s="55"/>
      <c r="I170" s="55">
        <f t="shared" si="119"/>
        <v>0</v>
      </c>
      <c r="J170" s="55"/>
      <c r="K170" s="55">
        <f t="shared" si="156"/>
        <v>0</v>
      </c>
      <c r="L170" s="55"/>
      <c r="M170" s="55">
        <f t="shared" si="157"/>
        <v>0</v>
      </c>
      <c r="N170" s="55"/>
      <c r="O170" s="55">
        <f t="shared" si="158"/>
        <v>0</v>
      </c>
      <c r="P170" s="55"/>
      <c r="Q170" s="55">
        <f t="shared" si="123"/>
        <v>0</v>
      </c>
      <c r="R170" s="55"/>
      <c r="S170" s="55">
        <f t="shared" si="124"/>
        <v>0</v>
      </c>
      <c r="T170" s="55"/>
      <c r="U170" s="55">
        <f t="shared" si="159"/>
        <v>0</v>
      </c>
      <c r="V170" s="55"/>
      <c r="W170" s="55">
        <f t="shared" si="126"/>
        <v>0</v>
      </c>
      <c r="X170" s="56">
        <f>SUM(H170+J170+L170+N170+P170+R170+T170+V170+F170)</f>
        <v>0</v>
      </c>
      <c r="Y170" s="55">
        <f t="shared" si="128"/>
        <v>0</v>
      </c>
      <c r="Z170" s="614"/>
      <c r="AA170" s="615"/>
      <c r="AB170" s="614"/>
      <c r="AC170" s="615"/>
      <c r="AD170" s="68"/>
      <c r="AE170" s="66"/>
      <c r="AF170" s="68"/>
      <c r="AG170" s="66"/>
    </row>
    <row r="171" spans="2:34" s="3" customFormat="1" x14ac:dyDescent="0.2">
      <c r="B171" s="62" t="s">
        <v>4</v>
      </c>
      <c r="C171" s="62" t="s">
        <v>22</v>
      </c>
      <c r="D171" s="23"/>
      <c r="E171" s="23"/>
      <c r="F171" s="24">
        <f t="shared" ref="F171:Y171" si="187">SUM(F133:F170)</f>
        <v>1143.5</v>
      </c>
      <c r="G171" s="24">
        <f t="shared" si="187"/>
        <v>122058.5</v>
      </c>
      <c r="H171" s="24">
        <f t="shared" si="187"/>
        <v>202</v>
      </c>
      <c r="I171" s="24">
        <f t="shared" si="187"/>
        <v>23201.5</v>
      </c>
      <c r="J171" s="24">
        <f t="shared" si="187"/>
        <v>182.5</v>
      </c>
      <c r="K171" s="24">
        <f t="shared" si="187"/>
        <v>22474.5</v>
      </c>
      <c r="L171" s="24">
        <f t="shared" si="187"/>
        <v>256</v>
      </c>
      <c r="M171" s="24">
        <f t="shared" si="187"/>
        <v>27447.75</v>
      </c>
      <c r="N171" s="24">
        <f t="shared" si="187"/>
        <v>214.25</v>
      </c>
      <c r="O171" s="24">
        <f t="shared" si="187"/>
        <v>21258.5</v>
      </c>
      <c r="P171" s="24">
        <f t="shared" si="187"/>
        <v>135.5</v>
      </c>
      <c r="Q171" s="24">
        <f t="shared" si="187"/>
        <v>15042.25</v>
      </c>
      <c r="R171" s="24">
        <f t="shared" si="187"/>
        <v>105.5</v>
      </c>
      <c r="S171" s="24">
        <f t="shared" si="187"/>
        <v>12416.25</v>
      </c>
      <c r="T171" s="24">
        <f t="shared" si="187"/>
        <v>354.75</v>
      </c>
      <c r="U171" s="24">
        <f t="shared" si="187"/>
        <v>31779.5</v>
      </c>
      <c r="V171" s="24">
        <f t="shared" si="187"/>
        <v>237.5</v>
      </c>
      <c r="W171" s="24">
        <f t="shared" si="187"/>
        <v>24839</v>
      </c>
      <c r="X171" s="63">
        <f t="shared" si="187"/>
        <v>2831.5</v>
      </c>
      <c r="Y171" s="63">
        <f t="shared" si="187"/>
        <v>300517.75</v>
      </c>
      <c r="Z171" s="621"/>
      <c r="AA171" s="617">
        <f>Z171*AH131</f>
        <v>0</v>
      </c>
      <c r="AB171" s="621"/>
      <c r="AC171" s="617">
        <f>AB171*AH131</f>
        <v>0</v>
      </c>
      <c r="AD171" s="616">
        <f>X171+Z171+AB171</f>
        <v>2831.5</v>
      </c>
      <c r="AE171" s="626">
        <f>AD171*AH131</f>
        <v>267718.32500000001</v>
      </c>
      <c r="AF171" s="616">
        <f>1249+1325</f>
        <v>2574</v>
      </c>
      <c r="AG171" s="626">
        <f>AF171*AH131</f>
        <v>243371.69999999998</v>
      </c>
      <c r="AH171" s="630">
        <f>(1/AG171)*AE171</f>
        <v>1.10003885003885</v>
      </c>
    </row>
    <row r="172" spans="2:34" s="3" customFormat="1" x14ac:dyDescent="0.2"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618"/>
      <c r="AA172" s="618"/>
      <c r="AB172" s="618"/>
      <c r="AC172" s="618"/>
    </row>
    <row r="173" spans="2:34" s="3" customFormat="1" x14ac:dyDescent="0.2"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618"/>
      <c r="AA173" s="618"/>
      <c r="AB173" s="618"/>
      <c r="AC173" s="618"/>
    </row>
    <row r="174" spans="2:34" s="3" customFormat="1" ht="12.75" x14ac:dyDescent="0.2">
      <c r="B174" s="48" t="s">
        <v>83</v>
      </c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632" t="s">
        <v>310</v>
      </c>
      <c r="AA174" s="633"/>
      <c r="AB174" s="632" t="s">
        <v>311</v>
      </c>
      <c r="AC174" s="633"/>
      <c r="AD174" s="634" t="s">
        <v>154</v>
      </c>
      <c r="AE174" s="635"/>
      <c r="AF174" s="634" t="s">
        <v>152</v>
      </c>
      <c r="AG174" s="635"/>
    </row>
    <row r="175" spans="2:34" s="3" customFormat="1" ht="24" x14ac:dyDescent="0.2">
      <c r="B175" s="50" t="s">
        <v>0</v>
      </c>
      <c r="C175" s="50" t="s">
        <v>10</v>
      </c>
      <c r="D175" s="51" t="s">
        <v>1</v>
      </c>
      <c r="E175" s="51" t="s">
        <v>7</v>
      </c>
      <c r="F175" s="51" t="s">
        <v>121</v>
      </c>
      <c r="G175" s="51" t="s">
        <v>122</v>
      </c>
      <c r="H175" s="52" t="s">
        <v>34</v>
      </c>
      <c r="I175" s="52" t="s">
        <v>35</v>
      </c>
      <c r="J175" s="52" t="s">
        <v>36</v>
      </c>
      <c r="K175" s="52" t="s">
        <v>37</v>
      </c>
      <c r="L175" s="52" t="s">
        <v>38</v>
      </c>
      <c r="M175" s="52" t="s">
        <v>39</v>
      </c>
      <c r="N175" s="52" t="s">
        <v>40</v>
      </c>
      <c r="O175" s="52" t="s">
        <v>41</v>
      </c>
      <c r="P175" s="52" t="s">
        <v>42</v>
      </c>
      <c r="Q175" s="52" t="s">
        <v>43</v>
      </c>
      <c r="R175" s="52" t="s">
        <v>44</v>
      </c>
      <c r="S175" s="52" t="s">
        <v>45</v>
      </c>
      <c r="T175" s="52" t="s">
        <v>46</v>
      </c>
      <c r="U175" s="52" t="s">
        <v>47</v>
      </c>
      <c r="V175" s="52" t="s">
        <v>48</v>
      </c>
      <c r="W175" s="52" t="s">
        <v>49</v>
      </c>
      <c r="X175" s="53" t="s">
        <v>5</v>
      </c>
      <c r="Y175" s="53" t="s">
        <v>6</v>
      </c>
      <c r="Z175" s="622" t="s">
        <v>5</v>
      </c>
      <c r="AA175" s="623" t="s">
        <v>6</v>
      </c>
      <c r="AB175" s="622" t="s">
        <v>5</v>
      </c>
      <c r="AC175" s="623" t="s">
        <v>6</v>
      </c>
      <c r="AD175" s="624" t="s">
        <v>5</v>
      </c>
      <c r="AE175" s="625" t="s">
        <v>6</v>
      </c>
      <c r="AF175" s="624" t="s">
        <v>5</v>
      </c>
      <c r="AG175" s="625" t="s">
        <v>6</v>
      </c>
    </row>
    <row r="176" spans="2:34" s="3" customFormat="1" x14ac:dyDescent="0.2">
      <c r="B176" s="54" t="s">
        <v>69</v>
      </c>
      <c r="C176" s="54" t="s">
        <v>25</v>
      </c>
      <c r="D176" s="54" t="s">
        <v>2</v>
      </c>
      <c r="E176" s="54">
        <v>140</v>
      </c>
      <c r="F176" s="55">
        <v>0</v>
      </c>
      <c r="G176" s="55">
        <f>SUM(E176*F176)</f>
        <v>0</v>
      </c>
      <c r="H176" s="55"/>
      <c r="I176" s="55">
        <f t="shared" ref="I176:I204" si="188">SUM(E176*H176)</f>
        <v>0</v>
      </c>
      <c r="J176" s="55"/>
      <c r="K176" s="55">
        <f t="shared" ref="K176:K204" si="189">SUM(E176*J176)</f>
        <v>0</v>
      </c>
      <c r="L176" s="55"/>
      <c r="M176" s="55">
        <f t="shared" ref="M176:M204" si="190">SUM(E176*L176)</f>
        <v>0</v>
      </c>
      <c r="N176" s="55"/>
      <c r="O176" s="55">
        <f t="shared" ref="O176:O204" si="191">SUM(E176*N176)</f>
        <v>0</v>
      </c>
      <c r="P176" s="55"/>
      <c r="Q176" s="55">
        <f>SUM(E176*P176)</f>
        <v>0</v>
      </c>
      <c r="R176" s="55"/>
      <c r="S176" s="55">
        <f t="shared" ref="S176:S204" si="192">SUM(E176*R176)</f>
        <v>0</v>
      </c>
      <c r="T176" s="55"/>
      <c r="U176" s="55">
        <f t="shared" ref="U176:U204" si="193">SUM(E176*T176)</f>
        <v>0</v>
      </c>
      <c r="V176" s="55"/>
      <c r="W176" s="55">
        <f t="shared" ref="W176:W204" si="194">SUM(E176*V176)</f>
        <v>0</v>
      </c>
      <c r="X176" s="56">
        <f t="shared" ref="X176:X204" si="195">SUM(H176+J176+L176+N176+P176+R176+T176+V176+F176)</f>
        <v>0</v>
      </c>
      <c r="Y176" s="55">
        <f t="shared" ref="Y176:Y204" si="196">ROUND(X176*E176*2,1)/2</f>
        <v>0</v>
      </c>
      <c r="Z176" s="614"/>
      <c r="AA176" s="615"/>
      <c r="AB176" s="614"/>
      <c r="AC176" s="615"/>
      <c r="AD176" s="68"/>
      <c r="AE176" s="66"/>
      <c r="AF176" s="68"/>
      <c r="AG176" s="66"/>
    </row>
    <row r="177" spans="2:33" s="3" customFormat="1" x14ac:dyDescent="0.2">
      <c r="B177" s="54" t="s">
        <v>95</v>
      </c>
      <c r="C177" s="54" t="s">
        <v>22</v>
      </c>
      <c r="D177" s="54" t="s">
        <v>2</v>
      </c>
      <c r="E177" s="54">
        <v>140</v>
      </c>
      <c r="F177" s="55">
        <v>1.5</v>
      </c>
      <c r="G177" s="55">
        <f t="shared" ref="G177:G204" si="197">SUM(E177*F177)</f>
        <v>210</v>
      </c>
      <c r="H177" s="55"/>
      <c r="I177" s="55">
        <f t="shared" si="188"/>
        <v>0</v>
      </c>
      <c r="J177" s="55"/>
      <c r="K177" s="55">
        <f t="shared" si="189"/>
        <v>0</v>
      </c>
      <c r="L177" s="55"/>
      <c r="M177" s="55">
        <f t="shared" si="190"/>
        <v>0</v>
      </c>
      <c r="N177" s="55"/>
      <c r="O177" s="55">
        <f t="shared" si="191"/>
        <v>0</v>
      </c>
      <c r="P177" s="55"/>
      <c r="Q177" s="55">
        <f t="shared" ref="Q177:Q204" si="198">SUM(E177*P177)</f>
        <v>0</v>
      </c>
      <c r="R177" s="55"/>
      <c r="S177" s="55">
        <f t="shared" si="192"/>
        <v>0</v>
      </c>
      <c r="T177" s="55"/>
      <c r="U177" s="55">
        <f t="shared" si="193"/>
        <v>0</v>
      </c>
      <c r="V177" s="55"/>
      <c r="W177" s="55">
        <f t="shared" si="194"/>
        <v>0</v>
      </c>
      <c r="X177" s="56">
        <f t="shared" si="195"/>
        <v>1.5</v>
      </c>
      <c r="Y177" s="55">
        <f t="shared" si="196"/>
        <v>210</v>
      </c>
      <c r="Z177" s="614"/>
      <c r="AA177" s="615"/>
      <c r="AB177" s="614"/>
      <c r="AC177" s="615"/>
      <c r="AD177" s="68"/>
      <c r="AE177" s="66"/>
      <c r="AF177" s="68"/>
      <c r="AG177" s="66"/>
    </row>
    <row r="178" spans="2:33" s="3" customFormat="1" x14ac:dyDescent="0.2">
      <c r="B178" s="54" t="s">
        <v>26</v>
      </c>
      <c r="C178" s="54" t="s">
        <v>25</v>
      </c>
      <c r="D178" s="54" t="s">
        <v>2</v>
      </c>
      <c r="E178" s="54">
        <v>140</v>
      </c>
      <c r="F178" s="55">
        <v>210.5</v>
      </c>
      <c r="G178" s="55">
        <f t="shared" si="197"/>
        <v>29470</v>
      </c>
      <c r="H178" s="55">
        <v>1.5</v>
      </c>
      <c r="I178" s="55">
        <f t="shared" si="188"/>
        <v>210</v>
      </c>
      <c r="J178" s="55"/>
      <c r="K178" s="55">
        <f t="shared" si="189"/>
        <v>0</v>
      </c>
      <c r="L178" s="55">
        <v>20.5</v>
      </c>
      <c r="M178" s="55">
        <f t="shared" si="190"/>
        <v>2870</v>
      </c>
      <c r="N178" s="55">
        <v>8.5</v>
      </c>
      <c r="O178" s="55">
        <f t="shared" si="191"/>
        <v>1190</v>
      </c>
      <c r="P178" s="55">
        <v>36</v>
      </c>
      <c r="Q178" s="55">
        <f t="shared" si="198"/>
        <v>5040</v>
      </c>
      <c r="R178" s="55">
        <v>74.25</v>
      </c>
      <c r="S178" s="55">
        <f t="shared" si="192"/>
        <v>10395</v>
      </c>
      <c r="T178" s="55">
        <v>21</v>
      </c>
      <c r="U178" s="55">
        <f t="shared" si="193"/>
        <v>2940</v>
      </c>
      <c r="V178" s="55">
        <v>11.5</v>
      </c>
      <c r="W178" s="55">
        <f t="shared" si="194"/>
        <v>1610</v>
      </c>
      <c r="X178" s="56">
        <f t="shared" si="195"/>
        <v>383.75</v>
      </c>
      <c r="Y178" s="55">
        <f t="shared" si="196"/>
        <v>53725</v>
      </c>
      <c r="Z178" s="614"/>
      <c r="AA178" s="615"/>
      <c r="AB178" s="614"/>
      <c r="AC178" s="615"/>
      <c r="AD178" s="68"/>
      <c r="AE178" s="66"/>
      <c r="AF178" s="68"/>
      <c r="AG178" s="66"/>
    </row>
    <row r="179" spans="2:33" s="3" customFormat="1" x14ac:dyDescent="0.2">
      <c r="B179" s="54" t="s">
        <v>78</v>
      </c>
      <c r="C179" s="54" t="s">
        <v>25</v>
      </c>
      <c r="D179" s="54" t="s">
        <v>2</v>
      </c>
      <c r="E179" s="54">
        <v>140</v>
      </c>
      <c r="F179" s="55">
        <v>2.5</v>
      </c>
      <c r="G179" s="55">
        <f t="shared" si="197"/>
        <v>350</v>
      </c>
      <c r="H179" s="55"/>
      <c r="I179" s="55">
        <f t="shared" si="188"/>
        <v>0</v>
      </c>
      <c r="J179" s="55"/>
      <c r="K179" s="55">
        <f t="shared" si="189"/>
        <v>0</v>
      </c>
      <c r="L179" s="55"/>
      <c r="M179" s="55">
        <f t="shared" si="190"/>
        <v>0</v>
      </c>
      <c r="N179" s="55"/>
      <c r="O179" s="55">
        <f t="shared" si="191"/>
        <v>0</v>
      </c>
      <c r="P179" s="55"/>
      <c r="Q179" s="55">
        <f t="shared" si="198"/>
        <v>0</v>
      </c>
      <c r="R179" s="55">
        <v>2</v>
      </c>
      <c r="S179" s="55">
        <f t="shared" si="192"/>
        <v>280</v>
      </c>
      <c r="T179" s="55"/>
      <c r="U179" s="55">
        <f t="shared" si="193"/>
        <v>0</v>
      </c>
      <c r="V179" s="55"/>
      <c r="W179" s="55">
        <f t="shared" si="194"/>
        <v>0</v>
      </c>
      <c r="X179" s="56">
        <f t="shared" si="195"/>
        <v>4.5</v>
      </c>
      <c r="Y179" s="55">
        <f t="shared" si="196"/>
        <v>630</v>
      </c>
      <c r="Z179" s="614"/>
      <c r="AA179" s="615"/>
      <c r="AB179" s="614"/>
      <c r="AC179" s="615"/>
      <c r="AD179" s="68"/>
      <c r="AE179" s="66"/>
      <c r="AF179" s="68"/>
      <c r="AG179" s="66"/>
    </row>
    <row r="180" spans="2:33" s="3" customFormat="1" x14ac:dyDescent="0.2">
      <c r="B180" s="54" t="s">
        <v>109</v>
      </c>
      <c r="C180" s="54" t="s">
        <v>25</v>
      </c>
      <c r="D180" s="54" t="s">
        <v>2</v>
      </c>
      <c r="E180" s="54">
        <v>140</v>
      </c>
      <c r="F180" s="55">
        <v>36</v>
      </c>
      <c r="G180" s="55">
        <f t="shared" si="197"/>
        <v>5040</v>
      </c>
      <c r="H180" s="55">
        <v>3.5</v>
      </c>
      <c r="I180" s="55">
        <f t="shared" si="188"/>
        <v>490</v>
      </c>
      <c r="J180" s="55">
        <v>14.75</v>
      </c>
      <c r="K180" s="55">
        <f t="shared" si="189"/>
        <v>2065</v>
      </c>
      <c r="L180" s="55">
        <v>26.75</v>
      </c>
      <c r="M180" s="55">
        <f t="shared" si="190"/>
        <v>3745</v>
      </c>
      <c r="N180" s="55">
        <v>18.25</v>
      </c>
      <c r="O180" s="55">
        <f t="shared" si="191"/>
        <v>2555</v>
      </c>
      <c r="P180" s="55">
        <v>3.5</v>
      </c>
      <c r="Q180" s="55">
        <f t="shared" si="198"/>
        <v>490</v>
      </c>
      <c r="R180" s="55">
        <v>21</v>
      </c>
      <c r="S180" s="55">
        <f t="shared" si="192"/>
        <v>2940</v>
      </c>
      <c r="T180" s="55">
        <v>3</v>
      </c>
      <c r="U180" s="55">
        <f t="shared" si="193"/>
        <v>420</v>
      </c>
      <c r="V180" s="55"/>
      <c r="W180" s="55">
        <f t="shared" si="194"/>
        <v>0</v>
      </c>
      <c r="X180" s="56">
        <f t="shared" si="195"/>
        <v>126.75</v>
      </c>
      <c r="Y180" s="55">
        <f t="shared" si="196"/>
        <v>17745</v>
      </c>
      <c r="Z180" s="614"/>
      <c r="AA180" s="615"/>
      <c r="AB180" s="614"/>
      <c r="AC180" s="615"/>
      <c r="AD180" s="68"/>
      <c r="AE180" s="66"/>
      <c r="AF180" s="68"/>
      <c r="AG180" s="66"/>
    </row>
    <row r="181" spans="2:33" s="3" customFormat="1" x14ac:dyDescent="0.2">
      <c r="B181" s="54" t="s">
        <v>79</v>
      </c>
      <c r="C181" s="54" t="s">
        <v>25</v>
      </c>
      <c r="D181" s="54" t="s">
        <v>2</v>
      </c>
      <c r="E181" s="54">
        <v>140</v>
      </c>
      <c r="F181" s="55">
        <v>144.5</v>
      </c>
      <c r="G181" s="55">
        <f t="shared" si="197"/>
        <v>20230</v>
      </c>
      <c r="H181" s="55">
        <v>4</v>
      </c>
      <c r="I181" s="55">
        <f t="shared" si="188"/>
        <v>560</v>
      </c>
      <c r="J181" s="55"/>
      <c r="K181" s="55">
        <f t="shared" si="189"/>
        <v>0</v>
      </c>
      <c r="L181" s="55"/>
      <c r="M181" s="55">
        <f t="shared" si="190"/>
        <v>0</v>
      </c>
      <c r="N181" s="55"/>
      <c r="O181" s="55">
        <f t="shared" si="191"/>
        <v>0</v>
      </c>
      <c r="P181" s="55"/>
      <c r="Q181" s="55">
        <f t="shared" si="198"/>
        <v>0</v>
      </c>
      <c r="R181" s="55"/>
      <c r="S181" s="55">
        <f t="shared" si="192"/>
        <v>0</v>
      </c>
      <c r="T181" s="55"/>
      <c r="U181" s="55">
        <f t="shared" si="193"/>
        <v>0</v>
      </c>
      <c r="V181" s="55"/>
      <c r="W181" s="55">
        <f t="shared" si="194"/>
        <v>0</v>
      </c>
      <c r="X181" s="56">
        <f t="shared" si="195"/>
        <v>148.5</v>
      </c>
      <c r="Y181" s="55">
        <f t="shared" si="196"/>
        <v>20790</v>
      </c>
      <c r="Z181" s="614"/>
      <c r="AA181" s="615"/>
      <c r="AB181" s="614"/>
      <c r="AC181" s="615"/>
      <c r="AD181" s="68"/>
      <c r="AE181" s="66"/>
      <c r="AF181" s="68"/>
      <c r="AG181" s="66"/>
    </row>
    <row r="182" spans="2:33" s="3" customFormat="1" x14ac:dyDescent="0.2">
      <c r="B182" s="54" t="s">
        <v>75</v>
      </c>
      <c r="C182" s="54" t="s">
        <v>25</v>
      </c>
      <c r="D182" s="54" t="s">
        <v>2</v>
      </c>
      <c r="E182" s="54">
        <v>140</v>
      </c>
      <c r="F182" s="55"/>
      <c r="G182" s="55">
        <f t="shared" si="197"/>
        <v>0</v>
      </c>
      <c r="H182" s="55"/>
      <c r="I182" s="55">
        <f t="shared" si="188"/>
        <v>0</v>
      </c>
      <c r="J182" s="55"/>
      <c r="K182" s="55">
        <f t="shared" si="189"/>
        <v>0</v>
      </c>
      <c r="L182" s="55"/>
      <c r="M182" s="55">
        <f t="shared" si="190"/>
        <v>0</v>
      </c>
      <c r="N182" s="55"/>
      <c r="O182" s="55">
        <f t="shared" si="191"/>
        <v>0</v>
      </c>
      <c r="P182" s="55"/>
      <c r="Q182" s="55">
        <f t="shared" si="198"/>
        <v>0</v>
      </c>
      <c r="R182" s="55"/>
      <c r="S182" s="55">
        <f t="shared" si="192"/>
        <v>0</v>
      </c>
      <c r="T182" s="55"/>
      <c r="U182" s="55">
        <f t="shared" si="193"/>
        <v>0</v>
      </c>
      <c r="V182" s="55"/>
      <c r="W182" s="55">
        <f t="shared" si="194"/>
        <v>0</v>
      </c>
      <c r="X182" s="56">
        <f t="shared" si="195"/>
        <v>0</v>
      </c>
      <c r="Y182" s="55">
        <f t="shared" si="196"/>
        <v>0</v>
      </c>
      <c r="Z182" s="614"/>
      <c r="AA182" s="615"/>
      <c r="AB182" s="614"/>
      <c r="AC182" s="615"/>
      <c r="AD182" s="68"/>
      <c r="AE182" s="66"/>
      <c r="AF182" s="68"/>
      <c r="AG182" s="66"/>
    </row>
    <row r="183" spans="2:33" s="3" customFormat="1" x14ac:dyDescent="0.2">
      <c r="B183" s="54" t="s">
        <v>55</v>
      </c>
      <c r="C183" s="54" t="s">
        <v>25</v>
      </c>
      <c r="D183" s="54" t="s">
        <v>2</v>
      </c>
      <c r="E183" s="54">
        <v>140</v>
      </c>
      <c r="F183" s="55">
        <v>65.25</v>
      </c>
      <c r="G183" s="55">
        <f t="shared" si="197"/>
        <v>9135</v>
      </c>
      <c r="H183" s="55">
        <f>4+3.75</f>
        <v>7.75</v>
      </c>
      <c r="I183" s="55">
        <f t="shared" si="188"/>
        <v>1085</v>
      </c>
      <c r="J183" s="55">
        <v>1.75</v>
      </c>
      <c r="K183" s="55">
        <f t="shared" si="189"/>
        <v>245</v>
      </c>
      <c r="L183" s="55">
        <f>4+4.25</f>
        <v>8.25</v>
      </c>
      <c r="M183" s="55">
        <f t="shared" si="190"/>
        <v>1155</v>
      </c>
      <c r="N183" s="55">
        <v>11.5</v>
      </c>
      <c r="O183" s="55">
        <f t="shared" si="191"/>
        <v>1610</v>
      </c>
      <c r="P183" s="55">
        <f>3.25+21.5</f>
        <v>24.75</v>
      </c>
      <c r="Q183" s="55">
        <f t="shared" si="198"/>
        <v>3465</v>
      </c>
      <c r="R183" s="55">
        <v>19.75</v>
      </c>
      <c r="S183" s="55">
        <f t="shared" si="192"/>
        <v>2765</v>
      </c>
      <c r="T183" s="55">
        <f>9+2</f>
        <v>11</v>
      </c>
      <c r="U183" s="55">
        <f t="shared" si="193"/>
        <v>1540</v>
      </c>
      <c r="V183" s="55">
        <f>2.25+1</f>
        <v>3.25</v>
      </c>
      <c r="W183" s="55">
        <f t="shared" si="194"/>
        <v>455</v>
      </c>
      <c r="X183" s="56">
        <f t="shared" si="195"/>
        <v>153.25</v>
      </c>
      <c r="Y183" s="55">
        <f t="shared" si="196"/>
        <v>21455</v>
      </c>
      <c r="Z183" s="614"/>
      <c r="AA183" s="615"/>
      <c r="AB183" s="614"/>
      <c r="AC183" s="615"/>
      <c r="AD183" s="68"/>
      <c r="AE183" s="66"/>
      <c r="AF183" s="68"/>
      <c r="AG183" s="66"/>
    </row>
    <row r="184" spans="2:33" s="3" customFormat="1" x14ac:dyDescent="0.2">
      <c r="B184" s="54" t="s">
        <v>126</v>
      </c>
      <c r="C184" s="54" t="s">
        <v>25</v>
      </c>
      <c r="D184" s="54" t="s">
        <v>8</v>
      </c>
      <c r="E184" s="54">
        <v>118</v>
      </c>
      <c r="F184" s="55"/>
      <c r="G184" s="55">
        <f t="shared" ref="G184" si="199">SUM(E184*F184)</f>
        <v>0</v>
      </c>
      <c r="H184" s="55">
        <v>9</v>
      </c>
      <c r="I184" s="55">
        <f t="shared" ref="I184" si="200">SUM(E184*H184)</f>
        <v>1062</v>
      </c>
      <c r="J184" s="55">
        <v>92</v>
      </c>
      <c r="K184" s="55">
        <f t="shared" ref="K184:K188" si="201">SUM(E184*J184)</f>
        <v>10856</v>
      </c>
      <c r="L184" s="55">
        <v>50</v>
      </c>
      <c r="M184" s="55">
        <f t="shared" ref="M184" si="202">SUM(E184*L184)</f>
        <v>5900</v>
      </c>
      <c r="N184" s="55">
        <v>30.5</v>
      </c>
      <c r="O184" s="55">
        <f t="shared" ref="O184" si="203">SUM(E184*N184)</f>
        <v>3599</v>
      </c>
      <c r="P184" s="55">
        <v>4.5</v>
      </c>
      <c r="Q184" s="55">
        <f t="shared" si="198"/>
        <v>531</v>
      </c>
      <c r="R184" s="55">
        <v>32.5</v>
      </c>
      <c r="S184" s="55">
        <f t="shared" ref="S184" si="204">SUM(E184*R184)</f>
        <v>3835</v>
      </c>
      <c r="T184" s="55">
        <v>8</v>
      </c>
      <c r="U184" s="55">
        <f t="shared" ref="U184" si="205">SUM(E184*T184)</f>
        <v>944</v>
      </c>
      <c r="V184" s="55">
        <v>14</v>
      </c>
      <c r="W184" s="55">
        <f t="shared" ref="W184" si="206">SUM(E184*V184)</f>
        <v>1652</v>
      </c>
      <c r="X184" s="56">
        <f t="shared" si="195"/>
        <v>240.5</v>
      </c>
      <c r="Y184" s="55">
        <f t="shared" si="196"/>
        <v>28379</v>
      </c>
      <c r="Z184" s="614"/>
      <c r="AA184" s="615"/>
      <c r="AB184" s="614"/>
      <c r="AC184" s="615"/>
      <c r="AD184" s="68"/>
      <c r="AE184" s="66"/>
      <c r="AF184" s="68"/>
      <c r="AG184" s="66"/>
    </row>
    <row r="185" spans="2:33" s="3" customFormat="1" x14ac:dyDescent="0.2">
      <c r="B185" s="54" t="s">
        <v>135</v>
      </c>
      <c r="C185" s="54" t="s">
        <v>25</v>
      </c>
      <c r="D185" s="54" t="s">
        <v>8</v>
      </c>
      <c r="E185" s="54">
        <v>118</v>
      </c>
      <c r="F185" s="55"/>
      <c r="G185" s="55">
        <f t="shared" si="197"/>
        <v>0</v>
      </c>
      <c r="H185" s="55"/>
      <c r="I185" s="55">
        <f t="shared" si="188"/>
        <v>0</v>
      </c>
      <c r="J185" s="55"/>
      <c r="K185" s="55">
        <f t="shared" si="201"/>
        <v>0</v>
      </c>
      <c r="L185" s="55"/>
      <c r="M185" s="55">
        <f t="shared" si="190"/>
        <v>0</v>
      </c>
      <c r="N185" s="55"/>
      <c r="O185" s="55">
        <f t="shared" si="191"/>
        <v>0</v>
      </c>
      <c r="P185" s="55">
        <v>7</v>
      </c>
      <c r="Q185" s="55">
        <f t="shared" si="198"/>
        <v>826</v>
      </c>
      <c r="R185" s="55"/>
      <c r="S185" s="55">
        <f t="shared" si="192"/>
        <v>0</v>
      </c>
      <c r="T185" s="55">
        <v>1</v>
      </c>
      <c r="U185" s="55">
        <f t="shared" si="193"/>
        <v>118</v>
      </c>
      <c r="V185" s="55"/>
      <c r="W185" s="55">
        <f t="shared" si="194"/>
        <v>0</v>
      </c>
      <c r="X185" s="56">
        <f t="shared" si="195"/>
        <v>8</v>
      </c>
      <c r="Y185" s="55">
        <f t="shared" si="196"/>
        <v>944</v>
      </c>
      <c r="Z185" s="614"/>
      <c r="AA185" s="615"/>
      <c r="AB185" s="614"/>
      <c r="AC185" s="615"/>
      <c r="AD185" s="68"/>
      <c r="AE185" s="66"/>
      <c r="AF185" s="68"/>
      <c r="AG185" s="66"/>
    </row>
    <row r="186" spans="2:33" s="3" customFormat="1" x14ac:dyDescent="0.2">
      <c r="B186" s="54" t="s">
        <v>56</v>
      </c>
      <c r="C186" s="54" t="s">
        <v>25</v>
      </c>
      <c r="D186" s="54" t="s">
        <v>8</v>
      </c>
      <c r="E186" s="54">
        <v>118</v>
      </c>
      <c r="F186" s="55">
        <v>11.5</v>
      </c>
      <c r="G186" s="55">
        <f t="shared" ref="G186" si="207">SUM(E186*F186)</f>
        <v>1357</v>
      </c>
      <c r="H186" s="55"/>
      <c r="I186" s="55">
        <f t="shared" ref="I186" si="208">SUM(E186*H186)</f>
        <v>0</v>
      </c>
      <c r="J186" s="55"/>
      <c r="K186" s="55">
        <f t="shared" ref="K186" si="209">SUM(E186*J186)</f>
        <v>0</v>
      </c>
      <c r="L186" s="55"/>
      <c r="M186" s="55">
        <f t="shared" ref="M186" si="210">SUM(E186*L186)</f>
        <v>0</v>
      </c>
      <c r="N186" s="55"/>
      <c r="O186" s="55">
        <f t="shared" ref="O186" si="211">SUM(E186*N186)</f>
        <v>0</v>
      </c>
      <c r="P186" s="55"/>
      <c r="Q186" s="55">
        <f t="shared" ref="Q186" si="212">SUM(E186*P186)</f>
        <v>0</v>
      </c>
      <c r="R186" s="55"/>
      <c r="S186" s="55">
        <f t="shared" ref="S186" si="213">SUM(E186*R186)</f>
        <v>0</v>
      </c>
      <c r="T186" s="55"/>
      <c r="U186" s="55">
        <f t="shared" ref="U186" si="214">SUM(E186*T186)</f>
        <v>0</v>
      </c>
      <c r="V186" s="55"/>
      <c r="W186" s="55">
        <f t="shared" ref="W186" si="215">SUM(E186*V186)</f>
        <v>0</v>
      </c>
      <c r="X186" s="56">
        <f t="shared" si="195"/>
        <v>11.5</v>
      </c>
      <c r="Y186" s="55">
        <f t="shared" si="196"/>
        <v>1357</v>
      </c>
      <c r="Z186" s="614"/>
      <c r="AA186" s="615"/>
      <c r="AB186" s="614"/>
      <c r="AC186" s="615"/>
      <c r="AD186" s="68"/>
      <c r="AE186" s="66"/>
      <c r="AF186" s="68"/>
      <c r="AG186" s="66"/>
    </row>
    <row r="187" spans="2:33" s="3" customFormat="1" x14ac:dyDescent="0.2">
      <c r="B187" s="54" t="s">
        <v>137</v>
      </c>
      <c r="C187" s="54" t="s">
        <v>25</v>
      </c>
      <c r="D187" s="54" t="s">
        <v>8</v>
      </c>
      <c r="E187" s="54">
        <v>118</v>
      </c>
      <c r="F187" s="55"/>
      <c r="G187" s="55">
        <f t="shared" si="197"/>
        <v>0</v>
      </c>
      <c r="H187" s="55"/>
      <c r="I187" s="55">
        <f t="shared" si="188"/>
        <v>0</v>
      </c>
      <c r="J187" s="55"/>
      <c r="K187" s="55">
        <f t="shared" si="201"/>
        <v>0</v>
      </c>
      <c r="L187" s="55"/>
      <c r="M187" s="55">
        <f t="shared" si="190"/>
        <v>0</v>
      </c>
      <c r="N187" s="55"/>
      <c r="O187" s="55">
        <f t="shared" si="191"/>
        <v>0</v>
      </c>
      <c r="P187" s="55"/>
      <c r="Q187" s="55">
        <f t="shared" si="198"/>
        <v>0</v>
      </c>
      <c r="R187" s="55">
        <v>5</v>
      </c>
      <c r="S187" s="55">
        <f t="shared" si="192"/>
        <v>590</v>
      </c>
      <c r="T187" s="55"/>
      <c r="U187" s="55">
        <f t="shared" si="193"/>
        <v>0</v>
      </c>
      <c r="V187" s="55"/>
      <c r="W187" s="55">
        <f t="shared" si="194"/>
        <v>0</v>
      </c>
      <c r="X187" s="56">
        <f t="shared" si="195"/>
        <v>5</v>
      </c>
      <c r="Y187" s="55">
        <f t="shared" si="196"/>
        <v>590</v>
      </c>
      <c r="Z187" s="614"/>
      <c r="AA187" s="615"/>
      <c r="AB187" s="614"/>
      <c r="AC187" s="615"/>
      <c r="AD187" s="68"/>
      <c r="AE187" s="66"/>
      <c r="AF187" s="68"/>
      <c r="AG187" s="66"/>
    </row>
    <row r="188" spans="2:33" s="3" customFormat="1" x14ac:dyDescent="0.2">
      <c r="B188" s="54" t="s">
        <v>89</v>
      </c>
      <c r="C188" s="54" t="s">
        <v>25</v>
      </c>
      <c r="D188" s="54" t="s">
        <v>3</v>
      </c>
      <c r="E188" s="54">
        <v>100</v>
      </c>
      <c r="F188" s="55">
        <v>2</v>
      </c>
      <c r="G188" s="55">
        <f t="shared" si="197"/>
        <v>200</v>
      </c>
      <c r="H188" s="55"/>
      <c r="I188" s="55">
        <f t="shared" si="188"/>
        <v>0</v>
      </c>
      <c r="J188" s="55"/>
      <c r="K188" s="55">
        <f t="shared" si="201"/>
        <v>0</v>
      </c>
      <c r="L188" s="55"/>
      <c r="M188" s="55">
        <f t="shared" si="190"/>
        <v>0</v>
      </c>
      <c r="N188" s="55"/>
      <c r="O188" s="55">
        <f t="shared" si="191"/>
        <v>0</v>
      </c>
      <c r="P188" s="55"/>
      <c r="Q188" s="55">
        <f t="shared" si="198"/>
        <v>0</v>
      </c>
      <c r="R188" s="55"/>
      <c r="S188" s="55">
        <f t="shared" si="192"/>
        <v>0</v>
      </c>
      <c r="T188" s="55"/>
      <c r="U188" s="55">
        <f t="shared" si="193"/>
        <v>0</v>
      </c>
      <c r="V188" s="55"/>
      <c r="W188" s="55">
        <f t="shared" si="194"/>
        <v>0</v>
      </c>
      <c r="X188" s="56">
        <f t="shared" si="195"/>
        <v>2</v>
      </c>
      <c r="Y188" s="55">
        <f t="shared" si="196"/>
        <v>200</v>
      </c>
      <c r="Z188" s="614"/>
      <c r="AA188" s="615"/>
      <c r="AB188" s="614"/>
      <c r="AC188" s="615"/>
      <c r="AD188" s="68"/>
      <c r="AE188" s="66"/>
      <c r="AF188" s="68"/>
      <c r="AG188" s="66"/>
    </row>
    <row r="189" spans="2:33" s="3" customFormat="1" x14ac:dyDescent="0.2">
      <c r="B189" s="54" t="s">
        <v>70</v>
      </c>
      <c r="C189" s="54" t="s">
        <v>25</v>
      </c>
      <c r="D189" s="54" t="s">
        <v>3</v>
      </c>
      <c r="E189" s="54">
        <v>100</v>
      </c>
      <c r="F189" s="55">
        <v>11</v>
      </c>
      <c r="G189" s="55">
        <f t="shared" si="197"/>
        <v>1100</v>
      </c>
      <c r="H189" s="55">
        <v>0.5</v>
      </c>
      <c r="I189" s="55">
        <f t="shared" si="188"/>
        <v>50</v>
      </c>
      <c r="J189" s="55">
        <v>1</v>
      </c>
      <c r="K189" s="55">
        <f t="shared" si="189"/>
        <v>100</v>
      </c>
      <c r="L189" s="55"/>
      <c r="M189" s="55">
        <f t="shared" si="190"/>
        <v>0</v>
      </c>
      <c r="N189" s="55">
        <v>1.5</v>
      </c>
      <c r="O189" s="55">
        <f t="shared" si="191"/>
        <v>150</v>
      </c>
      <c r="P189" s="55">
        <v>0.5</v>
      </c>
      <c r="Q189" s="55">
        <f t="shared" si="198"/>
        <v>50</v>
      </c>
      <c r="R189" s="55">
        <v>2</v>
      </c>
      <c r="S189" s="55">
        <f t="shared" si="192"/>
        <v>200</v>
      </c>
      <c r="T189" s="55">
        <v>0.5</v>
      </c>
      <c r="U189" s="55">
        <f t="shared" si="193"/>
        <v>50</v>
      </c>
      <c r="V189" s="55"/>
      <c r="W189" s="55">
        <f t="shared" si="194"/>
        <v>0</v>
      </c>
      <c r="X189" s="56">
        <f t="shared" si="195"/>
        <v>17</v>
      </c>
      <c r="Y189" s="55">
        <f t="shared" si="196"/>
        <v>1700</v>
      </c>
      <c r="Z189" s="614"/>
      <c r="AA189" s="615"/>
      <c r="AB189" s="614"/>
      <c r="AC189" s="615"/>
      <c r="AD189" s="68"/>
      <c r="AE189" s="66"/>
      <c r="AF189" s="68"/>
      <c r="AG189" s="66"/>
    </row>
    <row r="190" spans="2:33" s="3" customFormat="1" x14ac:dyDescent="0.2">
      <c r="B190" s="54" t="s">
        <v>90</v>
      </c>
      <c r="C190" s="54" t="s">
        <v>25</v>
      </c>
      <c r="D190" s="54" t="s">
        <v>3</v>
      </c>
      <c r="E190" s="54">
        <v>100</v>
      </c>
      <c r="F190" s="55">
        <v>311.5</v>
      </c>
      <c r="G190" s="55">
        <f t="shared" si="197"/>
        <v>31150</v>
      </c>
      <c r="H190" s="55">
        <v>58</v>
      </c>
      <c r="I190" s="55">
        <f t="shared" si="188"/>
        <v>5800</v>
      </c>
      <c r="J190" s="55">
        <v>123.25</v>
      </c>
      <c r="K190" s="55">
        <f t="shared" si="189"/>
        <v>12325</v>
      </c>
      <c r="L190" s="55">
        <v>87</v>
      </c>
      <c r="M190" s="55">
        <f t="shared" si="190"/>
        <v>8700</v>
      </c>
      <c r="N190" s="55">
        <v>66.5</v>
      </c>
      <c r="O190" s="55">
        <f t="shared" si="191"/>
        <v>6650</v>
      </c>
      <c r="P190" s="55"/>
      <c r="Q190" s="55">
        <f t="shared" si="198"/>
        <v>0</v>
      </c>
      <c r="R190" s="55">
        <v>23.25</v>
      </c>
      <c r="S190" s="55">
        <f t="shared" si="192"/>
        <v>2325</v>
      </c>
      <c r="T190" s="55">
        <v>16</v>
      </c>
      <c r="U190" s="55">
        <f t="shared" si="193"/>
        <v>1600</v>
      </c>
      <c r="V190" s="55"/>
      <c r="W190" s="55">
        <f t="shared" si="194"/>
        <v>0</v>
      </c>
      <c r="X190" s="56">
        <f t="shared" si="195"/>
        <v>685.5</v>
      </c>
      <c r="Y190" s="55">
        <f t="shared" si="196"/>
        <v>68550</v>
      </c>
      <c r="Z190" s="614"/>
      <c r="AA190" s="615"/>
      <c r="AB190" s="614"/>
      <c r="AC190" s="615"/>
      <c r="AD190" s="68"/>
      <c r="AE190" s="66"/>
      <c r="AF190" s="68"/>
      <c r="AG190" s="66"/>
    </row>
    <row r="191" spans="2:33" s="3" customFormat="1" x14ac:dyDescent="0.2">
      <c r="B191" s="54" t="s">
        <v>113</v>
      </c>
      <c r="C191" s="54" t="s">
        <v>25</v>
      </c>
      <c r="D191" s="54" t="s">
        <v>3</v>
      </c>
      <c r="E191" s="54">
        <v>100</v>
      </c>
      <c r="F191" s="55">
        <v>1.5</v>
      </c>
      <c r="G191" s="55">
        <f t="shared" si="197"/>
        <v>150</v>
      </c>
      <c r="H191" s="55"/>
      <c r="I191" s="55">
        <f t="shared" si="188"/>
        <v>0</v>
      </c>
      <c r="J191" s="55"/>
      <c r="K191" s="55">
        <f t="shared" si="189"/>
        <v>0</v>
      </c>
      <c r="L191" s="55"/>
      <c r="M191" s="55">
        <f t="shared" si="190"/>
        <v>0</v>
      </c>
      <c r="N191" s="55"/>
      <c r="O191" s="55">
        <f t="shared" si="191"/>
        <v>0</v>
      </c>
      <c r="P191" s="55"/>
      <c r="Q191" s="55">
        <f t="shared" si="198"/>
        <v>0</v>
      </c>
      <c r="R191" s="55"/>
      <c r="S191" s="55">
        <f t="shared" si="192"/>
        <v>0</v>
      </c>
      <c r="T191" s="55"/>
      <c r="U191" s="55">
        <f t="shared" si="193"/>
        <v>0</v>
      </c>
      <c r="V191" s="55"/>
      <c r="W191" s="55">
        <f t="shared" si="194"/>
        <v>0</v>
      </c>
      <c r="X191" s="56">
        <f t="shared" si="195"/>
        <v>1.5</v>
      </c>
      <c r="Y191" s="55">
        <f t="shared" si="196"/>
        <v>150</v>
      </c>
      <c r="Z191" s="614"/>
      <c r="AA191" s="615"/>
      <c r="AB191" s="614"/>
      <c r="AC191" s="615"/>
      <c r="AD191" s="68"/>
      <c r="AE191" s="66"/>
      <c r="AF191" s="68"/>
      <c r="AG191" s="66"/>
    </row>
    <row r="192" spans="2:33" s="3" customFormat="1" x14ac:dyDescent="0.2">
      <c r="B192" s="54" t="s">
        <v>91</v>
      </c>
      <c r="C192" s="54" t="s">
        <v>25</v>
      </c>
      <c r="D192" s="54" t="s">
        <v>3</v>
      </c>
      <c r="E192" s="54">
        <v>100</v>
      </c>
      <c r="F192" s="55">
        <v>355.25</v>
      </c>
      <c r="G192" s="55">
        <f t="shared" si="197"/>
        <v>35525</v>
      </c>
      <c r="H192" s="55"/>
      <c r="I192" s="55">
        <f t="shared" si="188"/>
        <v>0</v>
      </c>
      <c r="J192" s="55"/>
      <c r="K192" s="55">
        <f t="shared" si="189"/>
        <v>0</v>
      </c>
      <c r="L192" s="55"/>
      <c r="M192" s="55">
        <f t="shared" si="190"/>
        <v>0</v>
      </c>
      <c r="N192" s="55"/>
      <c r="O192" s="55">
        <f t="shared" si="191"/>
        <v>0</v>
      </c>
      <c r="P192" s="55"/>
      <c r="Q192" s="55">
        <f t="shared" si="198"/>
        <v>0</v>
      </c>
      <c r="R192" s="55">
        <v>18.75</v>
      </c>
      <c r="S192" s="55">
        <f t="shared" si="192"/>
        <v>1875</v>
      </c>
      <c r="T192" s="55"/>
      <c r="U192" s="55">
        <f t="shared" si="193"/>
        <v>0</v>
      </c>
      <c r="V192" s="55"/>
      <c r="W192" s="55">
        <f t="shared" si="194"/>
        <v>0</v>
      </c>
      <c r="X192" s="56">
        <f t="shared" si="195"/>
        <v>374</v>
      </c>
      <c r="Y192" s="55">
        <f t="shared" si="196"/>
        <v>37400</v>
      </c>
      <c r="Z192" s="614"/>
      <c r="AA192" s="615"/>
      <c r="AB192" s="614"/>
      <c r="AC192" s="615"/>
      <c r="AD192" s="68"/>
      <c r="AE192" s="66"/>
      <c r="AF192" s="68"/>
      <c r="AG192" s="66"/>
    </row>
    <row r="193" spans="2:34" s="3" customFormat="1" x14ac:dyDescent="0.2">
      <c r="B193" s="54" t="s">
        <v>71</v>
      </c>
      <c r="C193" s="54" t="s">
        <v>25</v>
      </c>
      <c r="D193" s="54" t="s">
        <v>3</v>
      </c>
      <c r="E193" s="54">
        <v>100</v>
      </c>
      <c r="F193" s="55">
        <v>0.25</v>
      </c>
      <c r="G193" s="55">
        <f t="shared" si="197"/>
        <v>25</v>
      </c>
      <c r="H193" s="55"/>
      <c r="I193" s="55">
        <f t="shared" si="188"/>
        <v>0</v>
      </c>
      <c r="J193" s="55"/>
      <c r="K193" s="55">
        <f t="shared" si="189"/>
        <v>0</v>
      </c>
      <c r="L193" s="55"/>
      <c r="M193" s="55">
        <f t="shared" si="190"/>
        <v>0</v>
      </c>
      <c r="N193" s="55"/>
      <c r="O193" s="55">
        <f t="shared" si="191"/>
        <v>0</v>
      </c>
      <c r="P193" s="55">
        <v>0.5</v>
      </c>
      <c r="Q193" s="55">
        <f t="shared" si="198"/>
        <v>50</v>
      </c>
      <c r="R193" s="55"/>
      <c r="S193" s="55">
        <f t="shared" si="192"/>
        <v>0</v>
      </c>
      <c r="T193" s="55"/>
      <c r="U193" s="55">
        <f t="shared" si="193"/>
        <v>0</v>
      </c>
      <c r="V193" s="55"/>
      <c r="W193" s="55">
        <f t="shared" si="194"/>
        <v>0</v>
      </c>
      <c r="X193" s="56">
        <f t="shared" si="195"/>
        <v>0.75</v>
      </c>
      <c r="Y193" s="55">
        <f t="shared" si="196"/>
        <v>75</v>
      </c>
      <c r="Z193" s="614"/>
      <c r="AA193" s="615"/>
      <c r="AB193" s="614"/>
      <c r="AC193" s="615"/>
      <c r="AD193" s="68"/>
      <c r="AE193" s="66"/>
      <c r="AF193" s="68"/>
      <c r="AG193" s="66"/>
    </row>
    <row r="194" spans="2:34" s="3" customFormat="1" x14ac:dyDescent="0.2">
      <c r="B194" s="54" t="s">
        <v>31</v>
      </c>
      <c r="C194" s="54" t="s">
        <v>25</v>
      </c>
      <c r="D194" s="54" t="s">
        <v>3</v>
      </c>
      <c r="E194" s="54">
        <v>100</v>
      </c>
      <c r="F194" s="55"/>
      <c r="G194" s="55">
        <f t="shared" si="197"/>
        <v>0</v>
      </c>
      <c r="H194" s="55"/>
      <c r="I194" s="55">
        <f t="shared" si="188"/>
        <v>0</v>
      </c>
      <c r="J194" s="55"/>
      <c r="K194" s="55">
        <f t="shared" si="189"/>
        <v>0</v>
      </c>
      <c r="L194" s="55"/>
      <c r="M194" s="55">
        <f t="shared" si="190"/>
        <v>0</v>
      </c>
      <c r="N194" s="55"/>
      <c r="O194" s="55">
        <f t="shared" si="191"/>
        <v>0</v>
      </c>
      <c r="P194" s="55">
        <v>2.5</v>
      </c>
      <c r="Q194" s="55">
        <f t="shared" si="198"/>
        <v>250</v>
      </c>
      <c r="R194" s="55"/>
      <c r="S194" s="55">
        <f t="shared" si="192"/>
        <v>0</v>
      </c>
      <c r="T194" s="55"/>
      <c r="U194" s="55">
        <f t="shared" si="193"/>
        <v>0</v>
      </c>
      <c r="V194" s="55"/>
      <c r="W194" s="55">
        <f t="shared" si="194"/>
        <v>0</v>
      </c>
      <c r="X194" s="56">
        <f t="shared" si="195"/>
        <v>2.5</v>
      </c>
      <c r="Y194" s="55">
        <f t="shared" si="196"/>
        <v>250</v>
      </c>
      <c r="Z194" s="614"/>
      <c r="AA194" s="615"/>
      <c r="AB194" s="614"/>
      <c r="AC194" s="615"/>
      <c r="AD194" s="68"/>
      <c r="AE194" s="66"/>
      <c r="AF194" s="68"/>
      <c r="AG194" s="66"/>
    </row>
    <row r="195" spans="2:34" s="3" customFormat="1" x14ac:dyDescent="0.2">
      <c r="B195" s="54" t="s">
        <v>114</v>
      </c>
      <c r="C195" s="54" t="s">
        <v>25</v>
      </c>
      <c r="D195" s="54" t="s">
        <v>3</v>
      </c>
      <c r="E195" s="54">
        <v>100</v>
      </c>
      <c r="F195" s="55">
        <v>203.75</v>
      </c>
      <c r="G195" s="55">
        <f t="shared" si="197"/>
        <v>20375</v>
      </c>
      <c r="H195" s="55"/>
      <c r="I195" s="55">
        <f t="shared" si="188"/>
        <v>0</v>
      </c>
      <c r="J195" s="55">
        <v>64.25</v>
      </c>
      <c r="K195" s="55">
        <f t="shared" si="189"/>
        <v>6425</v>
      </c>
      <c r="L195" s="55">
        <v>39</v>
      </c>
      <c r="M195" s="55">
        <f t="shared" si="190"/>
        <v>3900</v>
      </c>
      <c r="N195" s="55">
        <v>35.75</v>
      </c>
      <c r="O195" s="55">
        <f t="shared" si="191"/>
        <v>3575</v>
      </c>
      <c r="P195" s="55">
        <v>43.5</v>
      </c>
      <c r="Q195" s="55">
        <f t="shared" si="198"/>
        <v>4350</v>
      </c>
      <c r="R195" s="55">
        <v>7.5</v>
      </c>
      <c r="S195" s="55">
        <f t="shared" si="192"/>
        <v>750</v>
      </c>
      <c r="T195" s="55">
        <v>20.5</v>
      </c>
      <c r="U195" s="55">
        <f t="shared" si="193"/>
        <v>2050</v>
      </c>
      <c r="V195" s="55">
        <v>10</v>
      </c>
      <c r="W195" s="55">
        <f t="shared" si="194"/>
        <v>1000</v>
      </c>
      <c r="X195" s="56">
        <f t="shared" si="195"/>
        <v>424.25</v>
      </c>
      <c r="Y195" s="55">
        <f t="shared" si="196"/>
        <v>42425</v>
      </c>
      <c r="Z195" s="614"/>
      <c r="AA195" s="615"/>
      <c r="AB195" s="614"/>
      <c r="AC195" s="615"/>
      <c r="AD195" s="68"/>
      <c r="AE195" s="66"/>
      <c r="AF195" s="68"/>
      <c r="AG195" s="66"/>
    </row>
    <row r="196" spans="2:34" s="3" customFormat="1" x14ac:dyDescent="0.2">
      <c r="B196" s="54" t="s">
        <v>81</v>
      </c>
      <c r="C196" s="54" t="s">
        <v>25</v>
      </c>
      <c r="D196" s="54" t="s">
        <v>3</v>
      </c>
      <c r="E196" s="54">
        <v>100</v>
      </c>
      <c r="F196" s="55">
        <v>233</v>
      </c>
      <c r="G196" s="55">
        <f t="shared" si="197"/>
        <v>23300</v>
      </c>
      <c r="H196" s="55"/>
      <c r="I196" s="55">
        <f t="shared" si="188"/>
        <v>0</v>
      </c>
      <c r="J196" s="55"/>
      <c r="K196" s="55">
        <f t="shared" si="189"/>
        <v>0</v>
      </c>
      <c r="L196" s="55"/>
      <c r="M196" s="55">
        <f t="shared" si="190"/>
        <v>0</v>
      </c>
      <c r="N196" s="55"/>
      <c r="O196" s="55">
        <f t="shared" si="191"/>
        <v>0</v>
      </c>
      <c r="P196" s="55"/>
      <c r="Q196" s="55">
        <f t="shared" si="198"/>
        <v>0</v>
      </c>
      <c r="R196" s="55"/>
      <c r="S196" s="55">
        <f t="shared" si="192"/>
        <v>0</v>
      </c>
      <c r="T196" s="55"/>
      <c r="U196" s="55">
        <f t="shared" si="193"/>
        <v>0</v>
      </c>
      <c r="V196" s="55"/>
      <c r="W196" s="55">
        <f t="shared" si="194"/>
        <v>0</v>
      </c>
      <c r="X196" s="56">
        <f t="shared" si="195"/>
        <v>233</v>
      </c>
      <c r="Y196" s="55">
        <f t="shared" si="196"/>
        <v>23300</v>
      </c>
      <c r="Z196" s="614"/>
      <c r="AA196" s="615"/>
      <c r="AB196" s="614"/>
      <c r="AC196" s="615"/>
      <c r="AD196" s="68"/>
      <c r="AE196" s="66"/>
      <c r="AF196" s="68"/>
      <c r="AG196" s="66"/>
    </row>
    <row r="197" spans="2:34" s="3" customFormat="1" x14ac:dyDescent="0.2">
      <c r="B197" s="54" t="s">
        <v>76</v>
      </c>
      <c r="C197" s="54" t="s">
        <v>25</v>
      </c>
      <c r="D197" s="54" t="s">
        <v>3</v>
      </c>
      <c r="E197" s="54">
        <v>100</v>
      </c>
      <c r="F197" s="55">
        <v>1.25</v>
      </c>
      <c r="G197" s="55">
        <f t="shared" si="197"/>
        <v>125</v>
      </c>
      <c r="H197" s="55"/>
      <c r="I197" s="55">
        <f t="shared" si="188"/>
        <v>0</v>
      </c>
      <c r="J197" s="55"/>
      <c r="K197" s="55">
        <f t="shared" si="189"/>
        <v>0</v>
      </c>
      <c r="L197" s="55">
        <v>0.75</v>
      </c>
      <c r="M197" s="55">
        <f t="shared" si="190"/>
        <v>75</v>
      </c>
      <c r="N197" s="55"/>
      <c r="O197" s="55">
        <f t="shared" si="191"/>
        <v>0</v>
      </c>
      <c r="P197" s="55"/>
      <c r="Q197" s="55">
        <f t="shared" si="198"/>
        <v>0</v>
      </c>
      <c r="R197" s="55"/>
      <c r="S197" s="55">
        <f t="shared" si="192"/>
        <v>0</v>
      </c>
      <c r="T197" s="55"/>
      <c r="U197" s="55">
        <f t="shared" si="193"/>
        <v>0</v>
      </c>
      <c r="V197" s="55"/>
      <c r="W197" s="55">
        <f t="shared" si="194"/>
        <v>0</v>
      </c>
      <c r="X197" s="56">
        <f t="shared" si="195"/>
        <v>2</v>
      </c>
      <c r="Y197" s="55">
        <f t="shared" si="196"/>
        <v>200</v>
      </c>
      <c r="Z197" s="614"/>
      <c r="AA197" s="615"/>
      <c r="AB197" s="614"/>
      <c r="AC197" s="615"/>
      <c r="AD197" s="68"/>
      <c r="AE197" s="66"/>
      <c r="AF197" s="68"/>
      <c r="AG197" s="66"/>
    </row>
    <row r="198" spans="2:34" s="3" customFormat="1" x14ac:dyDescent="0.2">
      <c r="B198" s="54" t="s">
        <v>105</v>
      </c>
      <c r="C198" s="54" t="s">
        <v>25</v>
      </c>
      <c r="D198" s="54" t="s">
        <v>3</v>
      </c>
      <c r="E198" s="54">
        <v>100</v>
      </c>
      <c r="F198" s="55">
        <v>73.75</v>
      </c>
      <c r="G198" s="55">
        <f>SUM(E198*F198)</f>
        <v>7375</v>
      </c>
      <c r="H198" s="55"/>
      <c r="I198" s="55">
        <f>SUM(E198*H198)</f>
        <v>0</v>
      </c>
      <c r="J198" s="55">
        <v>2</v>
      </c>
      <c r="K198" s="55">
        <f>SUM(E198*J198)</f>
        <v>200</v>
      </c>
      <c r="L198" s="55">
        <v>19</v>
      </c>
      <c r="M198" s="55">
        <f>SUM(E198*L198)</f>
        <v>1900</v>
      </c>
      <c r="N198" s="55">
        <v>10.5</v>
      </c>
      <c r="O198" s="55">
        <f>SUM(E198*N198)</f>
        <v>1050</v>
      </c>
      <c r="P198" s="55"/>
      <c r="Q198" s="55">
        <f t="shared" si="198"/>
        <v>0</v>
      </c>
      <c r="R198" s="55"/>
      <c r="S198" s="55">
        <f>SUM(E198*R198)</f>
        <v>0</v>
      </c>
      <c r="T198" s="55"/>
      <c r="U198" s="55">
        <f>SUM(E198*T198)</f>
        <v>0</v>
      </c>
      <c r="V198" s="55"/>
      <c r="W198" s="55">
        <f>SUM(E198*V198)</f>
        <v>0</v>
      </c>
      <c r="X198" s="56">
        <f t="shared" si="195"/>
        <v>105.25</v>
      </c>
      <c r="Y198" s="55">
        <f t="shared" si="196"/>
        <v>10525</v>
      </c>
      <c r="Z198" s="614"/>
      <c r="AA198" s="615"/>
      <c r="AB198" s="614"/>
      <c r="AC198" s="615"/>
      <c r="AD198" s="68"/>
      <c r="AE198" s="66"/>
      <c r="AF198" s="68"/>
      <c r="AG198" s="66"/>
    </row>
    <row r="199" spans="2:34" s="3" customFormat="1" x14ac:dyDescent="0.2">
      <c r="B199" s="54" t="s">
        <v>72</v>
      </c>
      <c r="C199" s="54" t="s">
        <v>25</v>
      </c>
      <c r="D199" s="54" t="s">
        <v>3</v>
      </c>
      <c r="E199" s="54">
        <v>100</v>
      </c>
      <c r="F199" s="55">
        <v>22</v>
      </c>
      <c r="G199" s="55">
        <f t="shared" si="197"/>
        <v>2200</v>
      </c>
      <c r="H199" s="55">
        <f>3.75+0.5</f>
        <v>4.25</v>
      </c>
      <c r="I199" s="55">
        <f t="shared" si="188"/>
        <v>425</v>
      </c>
      <c r="J199" s="55">
        <v>0.5</v>
      </c>
      <c r="K199" s="55">
        <f t="shared" si="189"/>
        <v>50</v>
      </c>
      <c r="L199" s="55">
        <v>0.5</v>
      </c>
      <c r="M199" s="55">
        <f t="shared" si="190"/>
        <v>50</v>
      </c>
      <c r="N199" s="55">
        <v>5.75</v>
      </c>
      <c r="O199" s="55">
        <f>SUM(E199*N199)</f>
        <v>575</v>
      </c>
      <c r="P199" s="55">
        <v>7.75</v>
      </c>
      <c r="Q199" s="55">
        <f t="shared" si="198"/>
        <v>775</v>
      </c>
      <c r="R199" s="55">
        <v>16.5</v>
      </c>
      <c r="S199" s="55">
        <f t="shared" si="192"/>
        <v>1650</v>
      </c>
      <c r="T199" s="55"/>
      <c r="U199" s="55">
        <f t="shared" si="193"/>
        <v>0</v>
      </c>
      <c r="V199" s="55"/>
      <c r="W199" s="55">
        <f t="shared" si="194"/>
        <v>0</v>
      </c>
      <c r="X199" s="56">
        <f t="shared" si="195"/>
        <v>57.25</v>
      </c>
      <c r="Y199" s="55">
        <f t="shared" si="196"/>
        <v>5725</v>
      </c>
      <c r="Z199" s="614"/>
      <c r="AA199" s="615"/>
      <c r="AB199" s="614"/>
      <c r="AC199" s="615"/>
      <c r="AD199" s="68"/>
      <c r="AE199" s="66"/>
      <c r="AF199" s="68"/>
      <c r="AG199" s="66"/>
    </row>
    <row r="200" spans="2:34" s="3" customFormat="1" x14ac:dyDescent="0.2">
      <c r="B200" s="54" t="s">
        <v>32</v>
      </c>
      <c r="C200" s="54" t="s">
        <v>25</v>
      </c>
      <c r="D200" s="54" t="s">
        <v>16</v>
      </c>
      <c r="E200" s="54">
        <v>60</v>
      </c>
      <c r="F200" s="55"/>
      <c r="G200" s="55">
        <f t="shared" si="197"/>
        <v>0</v>
      </c>
      <c r="H200" s="55"/>
      <c r="I200" s="55">
        <f t="shared" si="188"/>
        <v>0</v>
      </c>
      <c r="J200" s="55"/>
      <c r="K200" s="55">
        <f t="shared" si="189"/>
        <v>0</v>
      </c>
      <c r="L200" s="55"/>
      <c r="M200" s="55">
        <f t="shared" si="190"/>
        <v>0</v>
      </c>
      <c r="N200" s="55"/>
      <c r="O200" s="55">
        <f t="shared" si="191"/>
        <v>0</v>
      </c>
      <c r="P200" s="55"/>
      <c r="Q200" s="55">
        <f t="shared" si="198"/>
        <v>0</v>
      </c>
      <c r="R200" s="55"/>
      <c r="S200" s="55">
        <f t="shared" si="192"/>
        <v>0</v>
      </c>
      <c r="T200" s="55"/>
      <c r="U200" s="55">
        <f t="shared" si="193"/>
        <v>0</v>
      </c>
      <c r="V200" s="55"/>
      <c r="W200" s="55">
        <f t="shared" si="194"/>
        <v>0</v>
      </c>
      <c r="X200" s="56">
        <f t="shared" si="195"/>
        <v>0</v>
      </c>
      <c r="Y200" s="55">
        <f t="shared" si="196"/>
        <v>0</v>
      </c>
      <c r="Z200" s="614"/>
      <c r="AA200" s="615"/>
      <c r="AB200" s="614"/>
      <c r="AC200" s="615"/>
      <c r="AD200" s="68"/>
      <c r="AE200" s="66"/>
      <c r="AF200" s="68"/>
      <c r="AG200" s="66"/>
    </row>
    <row r="201" spans="2:34" s="3" customFormat="1" x14ac:dyDescent="0.2">
      <c r="B201" s="54" t="s">
        <v>138</v>
      </c>
      <c r="C201" s="54" t="s">
        <v>25</v>
      </c>
      <c r="D201" s="54" t="s">
        <v>20</v>
      </c>
      <c r="E201" s="54">
        <v>35</v>
      </c>
      <c r="F201" s="55"/>
      <c r="G201" s="55">
        <f>SUM(E201*F201)</f>
        <v>0</v>
      </c>
      <c r="H201" s="55"/>
      <c r="I201" s="55">
        <f>SUM(E201*H201)</f>
        <v>0</v>
      </c>
      <c r="J201" s="55"/>
      <c r="K201" s="55">
        <f>SUM(E201*J201)</f>
        <v>0</v>
      </c>
      <c r="L201" s="55"/>
      <c r="M201" s="55">
        <f>SUM(E201*L201)</f>
        <v>0</v>
      </c>
      <c r="N201" s="55"/>
      <c r="O201" s="55">
        <f>SUM(E201*N201)</f>
        <v>0</v>
      </c>
      <c r="P201" s="55"/>
      <c r="Q201" s="55">
        <f t="shared" ref="Q201:Q202" si="216">SUM(E201*P201)</f>
        <v>0</v>
      </c>
      <c r="R201" s="55">
        <v>6</v>
      </c>
      <c r="S201" s="55">
        <f>SUM(E201*R201)</f>
        <v>210</v>
      </c>
      <c r="T201" s="55"/>
      <c r="U201" s="55">
        <f>SUM(E201*T201)</f>
        <v>0</v>
      </c>
      <c r="V201" s="55"/>
      <c r="W201" s="55">
        <f>SUM(E201*V201)</f>
        <v>0</v>
      </c>
      <c r="X201" s="56">
        <f t="shared" si="195"/>
        <v>6</v>
      </c>
      <c r="Y201" s="55">
        <f t="shared" si="196"/>
        <v>210</v>
      </c>
      <c r="Z201" s="614"/>
      <c r="AA201" s="615"/>
      <c r="AB201" s="614"/>
      <c r="AC201" s="615"/>
      <c r="AD201" s="68"/>
      <c r="AE201" s="66"/>
      <c r="AF201" s="68"/>
      <c r="AG201" s="66"/>
    </row>
    <row r="202" spans="2:34" s="3" customFormat="1" x14ac:dyDescent="0.2">
      <c r="B202" s="54" t="s">
        <v>139</v>
      </c>
      <c r="C202" s="54" t="s">
        <v>25</v>
      </c>
      <c r="D202" s="54" t="s">
        <v>20</v>
      </c>
      <c r="E202" s="54">
        <v>35</v>
      </c>
      <c r="F202" s="55"/>
      <c r="G202" s="55">
        <f>SUM(E202*F202)</f>
        <v>0</v>
      </c>
      <c r="H202" s="55"/>
      <c r="I202" s="55">
        <f>SUM(E202*H202)</f>
        <v>0</v>
      </c>
      <c r="J202" s="55"/>
      <c r="K202" s="55">
        <f>SUM(E202*J202)</f>
        <v>0</v>
      </c>
      <c r="L202" s="55"/>
      <c r="M202" s="55">
        <f>SUM(E202*L202)</f>
        <v>0</v>
      </c>
      <c r="N202" s="55"/>
      <c r="O202" s="55">
        <f>SUM(E202*N202)</f>
        <v>0</v>
      </c>
      <c r="P202" s="55"/>
      <c r="Q202" s="55">
        <f t="shared" si="216"/>
        <v>0</v>
      </c>
      <c r="R202" s="55">
        <v>28</v>
      </c>
      <c r="S202" s="55">
        <f>SUM(E202*R202)</f>
        <v>980</v>
      </c>
      <c r="T202" s="55"/>
      <c r="U202" s="55">
        <f>SUM(E202*T202)</f>
        <v>0</v>
      </c>
      <c r="V202" s="55"/>
      <c r="W202" s="55">
        <f>SUM(E202*V202)</f>
        <v>0</v>
      </c>
      <c r="X202" s="56">
        <f t="shared" si="195"/>
        <v>28</v>
      </c>
      <c r="Y202" s="55">
        <f t="shared" si="196"/>
        <v>980</v>
      </c>
      <c r="Z202" s="614"/>
      <c r="AA202" s="615"/>
      <c r="AB202" s="614"/>
      <c r="AC202" s="615"/>
      <c r="AD202" s="68"/>
      <c r="AE202" s="66"/>
      <c r="AF202" s="68"/>
      <c r="AG202" s="66"/>
    </row>
    <row r="203" spans="2:34" s="3" customFormat="1" x14ac:dyDescent="0.2">
      <c r="B203" s="54" t="s">
        <v>92</v>
      </c>
      <c r="C203" s="54" t="s">
        <v>25</v>
      </c>
      <c r="D203" s="54" t="s">
        <v>20</v>
      </c>
      <c r="E203" s="54">
        <v>35</v>
      </c>
      <c r="F203" s="55">
        <v>71.5</v>
      </c>
      <c r="G203" s="55">
        <f>SUM(E203*F203)</f>
        <v>2502.5</v>
      </c>
      <c r="H203" s="55"/>
      <c r="I203" s="55">
        <f>SUM(E203*H203)</f>
        <v>0</v>
      </c>
      <c r="J203" s="55"/>
      <c r="K203" s="55">
        <f>SUM(E203*J203)</f>
        <v>0</v>
      </c>
      <c r="L203" s="55"/>
      <c r="M203" s="55">
        <f>SUM(E203*L203)</f>
        <v>0</v>
      </c>
      <c r="N203" s="55"/>
      <c r="O203" s="55">
        <f>SUM(E203*N203)</f>
        <v>0</v>
      </c>
      <c r="P203" s="55"/>
      <c r="Q203" s="55">
        <f t="shared" si="198"/>
        <v>0</v>
      </c>
      <c r="R203" s="55"/>
      <c r="S203" s="55">
        <f>SUM(E203*R203)</f>
        <v>0</v>
      </c>
      <c r="T203" s="55"/>
      <c r="U203" s="55">
        <f>SUM(E203*T203)</f>
        <v>0</v>
      </c>
      <c r="V203" s="55"/>
      <c r="W203" s="55">
        <f>SUM(E203*V203)</f>
        <v>0</v>
      </c>
      <c r="X203" s="56">
        <f t="shared" si="195"/>
        <v>71.5</v>
      </c>
      <c r="Y203" s="55">
        <f t="shared" si="196"/>
        <v>2502.5</v>
      </c>
      <c r="Z203" s="614"/>
      <c r="AA203" s="615"/>
      <c r="AB203" s="614"/>
      <c r="AC203" s="615"/>
      <c r="AD203" s="68"/>
      <c r="AE203" s="66"/>
      <c r="AF203" s="68"/>
      <c r="AG203" s="66"/>
    </row>
    <row r="204" spans="2:34" s="3" customFormat="1" x14ac:dyDescent="0.2">
      <c r="B204" s="54" t="s">
        <v>134</v>
      </c>
      <c r="C204" s="54" t="s">
        <v>25</v>
      </c>
      <c r="D204" s="54" t="s">
        <v>20</v>
      </c>
      <c r="E204" s="54">
        <v>35</v>
      </c>
      <c r="F204" s="55"/>
      <c r="G204" s="55">
        <f t="shared" si="197"/>
        <v>0</v>
      </c>
      <c r="H204" s="55"/>
      <c r="I204" s="55">
        <f t="shared" si="188"/>
        <v>0</v>
      </c>
      <c r="J204" s="55"/>
      <c r="K204" s="55">
        <f t="shared" si="189"/>
        <v>0</v>
      </c>
      <c r="L204" s="55"/>
      <c r="M204" s="55">
        <f t="shared" si="190"/>
        <v>0</v>
      </c>
      <c r="N204" s="55">
        <v>26.25</v>
      </c>
      <c r="O204" s="55">
        <f t="shared" si="191"/>
        <v>918.75</v>
      </c>
      <c r="P204" s="55">
        <v>1.5</v>
      </c>
      <c r="Q204" s="55">
        <f t="shared" si="198"/>
        <v>52.5</v>
      </c>
      <c r="R204" s="55">
        <v>47.5</v>
      </c>
      <c r="S204" s="55">
        <f t="shared" si="192"/>
        <v>1662.5</v>
      </c>
      <c r="T204" s="55">
        <v>99</v>
      </c>
      <c r="U204" s="55">
        <f t="shared" si="193"/>
        <v>3465</v>
      </c>
      <c r="V204" s="55">
        <v>96.75</v>
      </c>
      <c r="W204" s="55">
        <f t="shared" si="194"/>
        <v>3386.25</v>
      </c>
      <c r="X204" s="56">
        <f t="shared" si="195"/>
        <v>271</v>
      </c>
      <c r="Y204" s="55">
        <f t="shared" si="196"/>
        <v>9485</v>
      </c>
      <c r="Z204" s="614"/>
      <c r="AA204" s="615"/>
      <c r="AB204" s="614"/>
      <c r="AC204" s="615"/>
      <c r="AD204" s="68"/>
      <c r="AE204" s="66"/>
      <c r="AF204" s="68"/>
      <c r="AG204" s="66"/>
    </row>
    <row r="205" spans="2:34" s="3" customFormat="1" x14ac:dyDescent="0.2">
      <c r="B205" s="62" t="s">
        <v>4</v>
      </c>
      <c r="C205" s="62" t="s">
        <v>25</v>
      </c>
      <c r="D205" s="23"/>
      <c r="E205" s="23"/>
      <c r="F205" s="24">
        <f t="shared" ref="F205:Y205" si="217">SUM(F176:F204)</f>
        <v>1758.5</v>
      </c>
      <c r="G205" s="24">
        <f t="shared" si="217"/>
        <v>189819.5</v>
      </c>
      <c r="H205" s="24">
        <f t="shared" si="217"/>
        <v>88.5</v>
      </c>
      <c r="I205" s="24">
        <f t="shared" si="217"/>
        <v>9682</v>
      </c>
      <c r="J205" s="24">
        <f t="shared" si="217"/>
        <v>299.5</v>
      </c>
      <c r="K205" s="24">
        <f t="shared" si="217"/>
        <v>32266</v>
      </c>
      <c r="L205" s="24">
        <f t="shared" si="217"/>
        <v>251.75</v>
      </c>
      <c r="M205" s="24">
        <f t="shared" si="217"/>
        <v>28295</v>
      </c>
      <c r="N205" s="24">
        <f t="shared" si="217"/>
        <v>215</v>
      </c>
      <c r="O205" s="24">
        <f t="shared" si="217"/>
        <v>21872.75</v>
      </c>
      <c r="P205" s="24">
        <f t="shared" si="217"/>
        <v>132</v>
      </c>
      <c r="Q205" s="24">
        <f t="shared" si="217"/>
        <v>15879.5</v>
      </c>
      <c r="R205" s="24">
        <f t="shared" si="217"/>
        <v>304</v>
      </c>
      <c r="S205" s="24">
        <f t="shared" si="217"/>
        <v>30457.5</v>
      </c>
      <c r="T205" s="24">
        <f t="shared" si="217"/>
        <v>180</v>
      </c>
      <c r="U205" s="24">
        <f t="shared" si="217"/>
        <v>13127</v>
      </c>
      <c r="V205" s="24">
        <f t="shared" si="217"/>
        <v>135.5</v>
      </c>
      <c r="W205" s="24">
        <f t="shared" si="217"/>
        <v>8103.25</v>
      </c>
      <c r="X205" s="63">
        <f t="shared" si="217"/>
        <v>3364.75</v>
      </c>
      <c r="Y205" s="63">
        <f t="shared" si="217"/>
        <v>349502.5</v>
      </c>
      <c r="Z205" s="621"/>
      <c r="AA205" s="617">
        <f>Z205*AH131</f>
        <v>0</v>
      </c>
      <c r="AB205" s="621"/>
      <c r="AC205" s="617">
        <f>AB205*AH131</f>
        <v>0</v>
      </c>
      <c r="AD205" s="616">
        <f>X205+Z205+AB205</f>
        <v>3364.75</v>
      </c>
      <c r="AE205" s="626">
        <f>AD205*AH131</f>
        <v>318137.11249999999</v>
      </c>
      <c r="AF205" s="616">
        <f>1325+2027</f>
        <v>3352</v>
      </c>
      <c r="AG205" s="626">
        <f>AF205*AH131</f>
        <v>316931.59999999998</v>
      </c>
      <c r="AH205" s="630">
        <f>(1/AG205)*AE205</f>
        <v>1.0038036992840096</v>
      </c>
    </row>
    <row r="206" spans="2:34" s="3" customFormat="1" x14ac:dyDescent="0.2"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618"/>
      <c r="AA206" s="618"/>
      <c r="AB206" s="618"/>
      <c r="AC206" s="618"/>
    </row>
    <row r="207" spans="2:34" s="3" customFormat="1" x14ac:dyDescent="0.2">
      <c r="B207" s="57" t="s">
        <v>33</v>
      </c>
      <c r="C207" s="57" t="s">
        <v>82</v>
      </c>
      <c r="D207" s="58"/>
      <c r="E207" s="59"/>
      <c r="F207" s="60">
        <v>2902</v>
      </c>
      <c r="G207" s="60">
        <v>311878</v>
      </c>
      <c r="H207" s="60">
        <v>290.5</v>
      </c>
      <c r="I207" s="60">
        <v>32884</v>
      </c>
      <c r="J207" s="60">
        <v>482</v>
      </c>
      <c r="K207" s="60">
        <v>54741</v>
      </c>
      <c r="L207" s="60">
        <v>507.75</v>
      </c>
      <c r="M207" s="60">
        <v>55743</v>
      </c>
      <c r="N207" s="60">
        <v>430.5</v>
      </c>
      <c r="O207" s="60">
        <v>43306</v>
      </c>
      <c r="P207" s="60">
        <v>267.5</v>
      </c>
      <c r="Q207" s="60">
        <v>30922</v>
      </c>
      <c r="R207" s="60">
        <v>409.5</v>
      </c>
      <c r="S207" s="60">
        <v>42874</v>
      </c>
      <c r="T207" s="60">
        <v>534.75</v>
      </c>
      <c r="U207" s="60">
        <v>44906.5</v>
      </c>
      <c r="V207" s="60">
        <v>373</v>
      </c>
      <c r="W207" s="60">
        <v>32942</v>
      </c>
      <c r="X207" s="60">
        <v>6196.25</v>
      </c>
      <c r="Y207" s="60">
        <v>650020</v>
      </c>
      <c r="Z207" s="616">
        <f>Z205+Z171</f>
        <v>0</v>
      </c>
      <c r="AA207" s="617">
        <f>Z207*AH131</f>
        <v>0</v>
      </c>
      <c r="AB207" s="616">
        <f>AB205+AB171</f>
        <v>0</v>
      </c>
      <c r="AC207" s="617">
        <f>AB207*AH131</f>
        <v>0</v>
      </c>
      <c r="AD207" s="616">
        <f>X207+Z207+AB207</f>
        <v>6196.25</v>
      </c>
      <c r="AE207" s="626">
        <f>AD207*AH131</f>
        <v>585855.4375</v>
      </c>
      <c r="AF207" s="616">
        <f>AF205+AF171</f>
        <v>5926</v>
      </c>
      <c r="AG207" s="626">
        <f>AF207*AH131</f>
        <v>560303.29999999993</v>
      </c>
      <c r="AH207" s="630">
        <f>(1/AG207)*AE207</f>
        <v>1.045604117448532</v>
      </c>
    </row>
    <row r="208" spans="2:34" s="3" customFormat="1" x14ac:dyDescent="0.2">
      <c r="B208" s="49"/>
      <c r="C208" s="49"/>
      <c r="D208" s="49"/>
      <c r="E208" s="49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8"/>
      <c r="AA208" s="618"/>
      <c r="AB208" s="618"/>
      <c r="AC208" s="618"/>
    </row>
    <row r="210" spans="16:34" x14ac:dyDescent="0.2">
      <c r="P210" s="2"/>
      <c r="Q210" s="2"/>
      <c r="X210" s="627">
        <f>X207+X129+X71</f>
        <v>14837.75</v>
      </c>
      <c r="Y210" s="627">
        <f>Y207+Y129+Y71</f>
        <v>1547057</v>
      </c>
      <c r="Z210" s="627">
        <f>Z207+Z129+Z71</f>
        <v>550</v>
      </c>
      <c r="AA210" s="628">
        <f>Z210*AH210</f>
        <v>50297.5</v>
      </c>
      <c r="AB210" s="627">
        <f>AB207+AB129+AB71</f>
        <v>500</v>
      </c>
      <c r="AC210" s="629">
        <f>AB210*AH210</f>
        <v>45725</v>
      </c>
      <c r="AD210" s="627">
        <f>AD207+AD129+AD71</f>
        <v>15887.75</v>
      </c>
      <c r="AE210" s="629">
        <f>AD210*AH210</f>
        <v>1452934.7375</v>
      </c>
      <c r="AF210" s="627">
        <f>AF207+AF129+AF71</f>
        <v>14262</v>
      </c>
      <c r="AG210" s="628">
        <f>AF210*AH210</f>
        <v>1304259.9000000001</v>
      </c>
      <c r="AH210" s="15">
        <v>91.45</v>
      </c>
    </row>
    <row r="211" spans="16:34" x14ac:dyDescent="0.2">
      <c r="P211" s="640"/>
      <c r="Q211" s="640"/>
    </row>
    <row r="214" spans="16:34" x14ac:dyDescent="0.2">
      <c r="V214" s="2"/>
    </row>
  </sheetData>
  <mergeCells count="30">
    <mergeCell ref="P211:Q211"/>
    <mergeCell ref="M106:N106"/>
    <mergeCell ref="Z4:AA4"/>
    <mergeCell ref="AD4:AE4"/>
    <mergeCell ref="AF4:AG4"/>
    <mergeCell ref="Z29:AA29"/>
    <mergeCell ref="AD29:AE29"/>
    <mergeCell ref="AF29:AG29"/>
    <mergeCell ref="Z55:AA55"/>
    <mergeCell ref="AD55:AE55"/>
    <mergeCell ref="AF55:AG55"/>
    <mergeCell ref="Z73:AA73"/>
    <mergeCell ref="AD73:AE73"/>
    <mergeCell ref="AF73:AG73"/>
    <mergeCell ref="Z174:AA174"/>
    <mergeCell ref="AD174:AE174"/>
    <mergeCell ref="AF174:AG174"/>
    <mergeCell ref="AB4:AC4"/>
    <mergeCell ref="AB29:AC29"/>
    <mergeCell ref="AB55:AC55"/>
    <mergeCell ref="AB73:AC73"/>
    <mergeCell ref="AB108:AC108"/>
    <mergeCell ref="AB131:AC131"/>
    <mergeCell ref="AB174:AC174"/>
    <mergeCell ref="Z108:AA108"/>
    <mergeCell ref="AD108:AE108"/>
    <mergeCell ref="AF108:AG108"/>
    <mergeCell ref="Z131:AA131"/>
    <mergeCell ref="AD131:AE131"/>
    <mergeCell ref="AF131:AG131"/>
  </mergeCells>
  <pageMargins left="0.15748031496062992" right="0.19685039370078741" top="0.70866141732283472" bottom="0.39370078740157483" header="0.15748031496062992" footer="0.19685039370078741"/>
  <pageSetup paperSize="9" scale="16" fitToHeight="0" orientation="landscape" r:id="rId1"/>
  <headerFooter alignWithMargins="0">
    <oddHeader>&amp;L&amp;8INGE EPSI (&amp;UJauslin + Stebler&amp;U, AeBo, PNP)</oddHeader>
    <oddFooter>&amp;L&amp;8Muttenz, &amp;D/SR/cd&amp;R&amp;8&amp;Z&amp;F</oddFooter>
  </headerFooter>
  <rowBreaks count="3" manualBreakCount="3">
    <brk id="3" max="16383" man="1"/>
    <brk id="71" max="16383" man="1"/>
    <brk id="13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96"/>
  <sheetViews>
    <sheetView zoomScale="60" zoomScaleNormal="60" workbookViewId="0">
      <selection activeCell="BT7" sqref="BT7:BU51"/>
    </sheetView>
  </sheetViews>
  <sheetFormatPr baseColWidth="10" defaultRowHeight="12.75" x14ac:dyDescent="0.2"/>
  <cols>
    <col min="1" max="1" width="11.42578125" style="70"/>
    <col min="2" max="2" width="31.42578125" style="70" customWidth="1"/>
    <col min="3" max="3" width="14.28515625" style="71" bestFit="1" customWidth="1"/>
    <col min="4" max="4" width="14.42578125" style="72" customWidth="1"/>
    <col min="5" max="5" width="11.42578125" style="70" customWidth="1"/>
    <col min="6" max="7" width="18.140625" style="607" customWidth="1"/>
    <col min="8" max="13" width="7" style="607" customWidth="1"/>
    <col min="14" max="14" width="3.7109375" style="70" customWidth="1"/>
    <col min="15" max="15" width="7.5703125" style="70" bestFit="1" customWidth="1"/>
    <col min="16" max="16" width="11.7109375" style="70" bestFit="1" customWidth="1"/>
    <col min="17" max="17" width="10.140625" style="70" bestFit="1" customWidth="1"/>
    <col min="18" max="18" width="8.42578125" style="70" bestFit="1" customWidth="1"/>
    <col min="19" max="19" width="0.140625" style="70" customWidth="1"/>
    <col min="20" max="20" width="3.7109375" style="70" hidden="1" customWidth="1"/>
    <col min="21" max="21" width="3.42578125" style="70" customWidth="1"/>
    <col min="22" max="22" width="0.5703125" style="607" customWidth="1"/>
    <col min="23" max="29" width="7" style="607" hidden="1" customWidth="1"/>
    <col min="30" max="30" width="3.7109375" style="70" hidden="1" customWidth="1"/>
    <col min="31" max="31" width="4.85546875" style="70" hidden="1" customWidth="1"/>
    <col min="32" max="32" width="11.7109375" style="70" hidden="1" customWidth="1"/>
    <col min="33" max="33" width="10.140625" style="70" hidden="1" customWidth="1"/>
    <col min="34" max="34" width="3.28515625" style="70" hidden="1" customWidth="1"/>
    <col min="35" max="35" width="3.5703125" style="70" hidden="1" customWidth="1"/>
    <col min="36" max="36" width="18.140625" style="607" hidden="1" customWidth="1"/>
    <col min="37" max="38" width="10.7109375" style="607" hidden="1" customWidth="1"/>
    <col min="39" max="39" width="8" style="607" hidden="1" customWidth="1"/>
    <col min="40" max="42" width="7" style="607" hidden="1" customWidth="1"/>
    <col min="43" max="43" width="3.7109375" style="70" hidden="1" customWidth="1"/>
    <col min="44" max="44" width="4.85546875" style="70" hidden="1" customWidth="1"/>
    <col min="45" max="45" width="11.7109375" style="70" hidden="1" customWidth="1"/>
    <col min="46" max="46" width="10.140625" style="70" hidden="1" customWidth="1"/>
    <col min="47" max="47" width="9.140625" style="70" hidden="1" customWidth="1"/>
    <col min="48" max="48" width="4.28515625" style="70" hidden="1" customWidth="1"/>
    <col min="49" max="49" width="18.140625" style="607" hidden="1" customWidth="1"/>
    <col min="50" max="55" width="7" style="607" hidden="1" customWidth="1"/>
    <col min="56" max="56" width="3.7109375" style="70" hidden="1" customWidth="1"/>
    <col min="57" max="57" width="4.85546875" style="70" hidden="1" customWidth="1"/>
    <col min="58" max="58" width="11.7109375" style="70" hidden="1" customWidth="1"/>
    <col min="59" max="59" width="10.140625" style="70" hidden="1" customWidth="1"/>
    <col min="60" max="60" width="8.42578125" style="70" hidden="1" customWidth="1"/>
    <col min="61" max="61" width="5.7109375" style="70" hidden="1" customWidth="1"/>
    <col min="62" max="64" width="11.42578125" style="70"/>
    <col min="65" max="65" width="13" style="70" customWidth="1"/>
    <col min="66" max="66" width="3.28515625" style="70" hidden="1" customWidth="1"/>
    <col min="67" max="67" width="8.7109375" style="70" hidden="1" customWidth="1"/>
    <col min="68" max="68" width="5.7109375" style="70" hidden="1" customWidth="1"/>
    <col min="69" max="69" width="11.5703125" style="70" hidden="1" customWidth="1"/>
    <col min="70" max="70" width="13.28515625" style="70" hidden="1" customWidth="1"/>
    <col min="71" max="71" width="3.140625" style="70" customWidth="1"/>
    <col min="72" max="73" width="12.28515625" style="70" bestFit="1" customWidth="1"/>
    <col min="74" max="74" width="13.28515625" style="70" bestFit="1" customWidth="1"/>
    <col min="75" max="75" width="13.7109375" style="70" bestFit="1" customWidth="1"/>
    <col min="76" max="76" width="14" style="70" bestFit="1" customWidth="1"/>
    <col min="77" max="77" width="13" style="70" customWidth="1"/>
    <col min="78" max="78" width="4.7109375" style="70" customWidth="1"/>
    <col min="79" max="81" width="8.7109375" style="70" hidden="1" customWidth="1"/>
    <col min="82" max="82" width="10.140625" style="70" hidden="1" customWidth="1"/>
    <col min="83" max="83" width="11.5703125" style="70" hidden="1" customWidth="1"/>
    <col min="84" max="86" width="11.42578125" style="70"/>
    <col min="87" max="87" width="14" style="70" bestFit="1" customWidth="1"/>
    <col min="88" max="16384" width="11.42578125" style="70"/>
  </cols>
  <sheetData>
    <row r="1" spans="1:87" ht="12.75" customHeight="1" x14ac:dyDescent="0.25">
      <c r="F1" s="684" t="s">
        <v>155</v>
      </c>
      <c r="G1" s="685"/>
      <c r="H1" s="685"/>
      <c r="I1" s="685"/>
      <c r="J1" s="685"/>
      <c r="K1" s="685"/>
      <c r="L1" s="685"/>
      <c r="M1" s="685"/>
      <c r="N1" s="685"/>
      <c r="O1" s="685"/>
      <c r="P1" s="685"/>
      <c r="Q1" s="685"/>
      <c r="R1" s="686"/>
      <c r="V1" s="684" t="s">
        <v>156</v>
      </c>
      <c r="W1" s="685"/>
      <c r="X1" s="685"/>
      <c r="Y1" s="685"/>
      <c r="Z1" s="685"/>
      <c r="AA1" s="685"/>
      <c r="AB1" s="685"/>
      <c r="AC1" s="685"/>
      <c r="AD1" s="685"/>
      <c r="AE1" s="685"/>
      <c r="AF1" s="685"/>
      <c r="AG1" s="685"/>
      <c r="AH1" s="686"/>
      <c r="AJ1" s="684" t="s">
        <v>157</v>
      </c>
      <c r="AK1" s="685"/>
      <c r="AL1" s="685"/>
      <c r="AM1" s="685"/>
      <c r="AN1" s="685"/>
      <c r="AO1" s="685"/>
      <c r="AP1" s="685"/>
      <c r="AQ1" s="685"/>
      <c r="AR1" s="685"/>
      <c r="AS1" s="685"/>
      <c r="AT1" s="685"/>
      <c r="AU1" s="686"/>
      <c r="AW1" s="684" t="s">
        <v>158</v>
      </c>
      <c r="AX1" s="685"/>
      <c r="AY1" s="685"/>
      <c r="AZ1" s="685"/>
      <c r="BA1" s="685"/>
      <c r="BB1" s="685"/>
      <c r="BC1" s="685"/>
      <c r="BD1" s="685"/>
      <c r="BE1" s="685"/>
      <c r="BF1" s="685"/>
      <c r="BG1" s="685"/>
      <c r="BH1" s="686"/>
      <c r="BJ1" s="687" t="s">
        <v>159</v>
      </c>
      <c r="BK1" s="688"/>
      <c r="BL1" s="688"/>
      <c r="BM1" s="689"/>
      <c r="BN1" s="73"/>
      <c r="BO1" s="74"/>
      <c r="BP1" s="75"/>
      <c r="BQ1" s="75"/>
      <c r="BR1" s="76"/>
      <c r="BS1" s="73"/>
      <c r="BT1" s="687" t="s">
        <v>160</v>
      </c>
      <c r="BU1" s="688"/>
      <c r="BV1" s="688"/>
      <c r="BW1" s="688"/>
      <c r="BX1" s="688"/>
      <c r="BY1" s="689"/>
      <c r="BZ1" s="77">
        <v>8.5</v>
      </c>
      <c r="CB1" s="78"/>
      <c r="CC1" s="79"/>
      <c r="CD1" s="79"/>
      <c r="CE1" s="80"/>
      <c r="CF1" s="103"/>
      <c r="CG1" s="103"/>
      <c r="CH1" s="103"/>
      <c r="CI1" s="103"/>
    </row>
    <row r="2" spans="1:87" ht="21" thickBot="1" x14ac:dyDescent="0.35">
      <c r="A2" s="81" t="s">
        <v>161</v>
      </c>
      <c r="F2" s="82"/>
      <c r="G2" s="83"/>
      <c r="H2" s="675" t="s">
        <v>162</v>
      </c>
      <c r="I2" s="676"/>
      <c r="J2" s="676"/>
      <c r="K2" s="676"/>
      <c r="L2" s="676"/>
      <c r="M2" s="677"/>
      <c r="O2" s="84"/>
      <c r="R2" s="84"/>
      <c r="V2" s="82"/>
      <c r="W2" s="675" t="s">
        <v>162</v>
      </c>
      <c r="X2" s="676"/>
      <c r="Y2" s="676"/>
      <c r="Z2" s="676"/>
      <c r="AA2" s="676"/>
      <c r="AB2" s="676"/>
      <c r="AC2" s="677"/>
      <c r="AE2" s="84"/>
      <c r="AH2" s="84"/>
      <c r="AJ2" s="82"/>
      <c r="AK2" s="675" t="s">
        <v>162</v>
      </c>
      <c r="AL2" s="676"/>
      <c r="AM2" s="676"/>
      <c r="AN2" s="676"/>
      <c r="AO2" s="676"/>
      <c r="AP2" s="677"/>
      <c r="AR2" s="84"/>
      <c r="AU2" s="84"/>
      <c r="AW2" s="82"/>
      <c r="AX2" s="675" t="s">
        <v>162</v>
      </c>
      <c r="AY2" s="676"/>
      <c r="AZ2" s="676"/>
      <c r="BA2" s="676"/>
      <c r="BB2" s="676"/>
      <c r="BC2" s="677"/>
      <c r="BE2" s="84"/>
      <c r="BH2" s="84"/>
      <c r="BJ2" s="690"/>
      <c r="BK2" s="691"/>
      <c r="BL2" s="691"/>
      <c r="BM2" s="692"/>
      <c r="BN2" s="73"/>
      <c r="BO2" s="85"/>
      <c r="BP2" s="86"/>
      <c r="BQ2" s="86"/>
      <c r="BR2" s="87"/>
      <c r="BS2" s="73"/>
      <c r="BT2" s="690"/>
      <c r="BU2" s="691"/>
      <c r="BV2" s="691"/>
      <c r="BW2" s="691"/>
      <c r="BX2" s="691"/>
      <c r="BY2" s="692"/>
      <c r="CB2" s="88"/>
      <c r="CC2" s="89"/>
      <c r="CD2" s="89"/>
      <c r="CE2" s="90"/>
      <c r="CF2" s="103"/>
      <c r="CG2" s="103"/>
      <c r="CH2" s="103"/>
      <c r="CI2" s="103"/>
    </row>
    <row r="3" spans="1:87" ht="39.75" thickBot="1" x14ac:dyDescent="0.3">
      <c r="F3" s="82" t="s">
        <v>163</v>
      </c>
      <c r="G3" s="83" t="s">
        <v>164</v>
      </c>
      <c r="H3" s="91" t="s">
        <v>165</v>
      </c>
      <c r="I3" s="92" t="s">
        <v>166</v>
      </c>
      <c r="J3" s="92" t="s">
        <v>167</v>
      </c>
      <c r="K3" s="92" t="s">
        <v>168</v>
      </c>
      <c r="L3" s="92" t="s">
        <v>169</v>
      </c>
      <c r="M3" s="93" t="s">
        <v>170</v>
      </c>
      <c r="N3" s="94"/>
      <c r="O3" s="95"/>
      <c r="P3" s="92" t="s">
        <v>171</v>
      </c>
      <c r="Q3" s="92" t="s">
        <v>172</v>
      </c>
      <c r="R3" s="93" t="s">
        <v>173</v>
      </c>
      <c r="V3" s="82" t="s">
        <v>163</v>
      </c>
      <c r="W3" s="91" t="s">
        <v>165</v>
      </c>
      <c r="X3" s="92" t="s">
        <v>166</v>
      </c>
      <c r="Y3" s="92" t="s">
        <v>167</v>
      </c>
      <c r="Z3" s="92" t="s">
        <v>168</v>
      </c>
      <c r="AA3" s="92" t="s">
        <v>169</v>
      </c>
      <c r="AB3" s="93" t="s">
        <v>170</v>
      </c>
      <c r="AC3" s="93" t="s">
        <v>174</v>
      </c>
      <c r="AD3" s="94"/>
      <c r="AE3" s="95"/>
      <c r="AF3" s="92" t="s">
        <v>171</v>
      </c>
      <c r="AG3" s="92" t="s">
        <v>172</v>
      </c>
      <c r="AH3" s="93" t="s">
        <v>173</v>
      </c>
      <c r="AJ3" s="82" t="s">
        <v>163</v>
      </c>
      <c r="AK3" s="96" t="s">
        <v>175</v>
      </c>
      <c r="AL3" s="97" t="s">
        <v>176</v>
      </c>
      <c r="AM3" s="97" t="s">
        <v>177</v>
      </c>
      <c r="AN3" s="92"/>
      <c r="AO3" s="92"/>
      <c r="AP3" s="93"/>
      <c r="AQ3" s="94"/>
      <c r="AR3" s="95"/>
      <c r="AS3" s="92" t="s">
        <v>171</v>
      </c>
      <c r="AT3" s="92" t="s">
        <v>172</v>
      </c>
      <c r="AU3" s="93" t="s">
        <v>173</v>
      </c>
      <c r="AW3" s="82" t="s">
        <v>163</v>
      </c>
      <c r="AX3" s="96" t="s">
        <v>178</v>
      </c>
      <c r="AY3" s="97" t="s">
        <v>179</v>
      </c>
      <c r="AZ3" s="97" t="s">
        <v>180</v>
      </c>
      <c r="BA3" s="97" t="s">
        <v>181</v>
      </c>
      <c r="BB3" s="97" t="s">
        <v>107</v>
      </c>
      <c r="BC3" s="98"/>
      <c r="BD3" s="94"/>
      <c r="BE3" s="95"/>
      <c r="BF3" s="92" t="s">
        <v>171</v>
      </c>
      <c r="BG3" s="92" t="s">
        <v>172</v>
      </c>
      <c r="BH3" s="93" t="s">
        <v>173</v>
      </c>
      <c r="BJ3" s="99" t="s">
        <v>25</v>
      </c>
      <c r="BK3" s="100" t="s">
        <v>182</v>
      </c>
      <c r="BL3" s="101" t="s">
        <v>183</v>
      </c>
      <c r="BM3" s="102" t="s">
        <v>184</v>
      </c>
      <c r="BN3" s="103"/>
      <c r="BO3" s="104" t="s">
        <v>25</v>
      </c>
      <c r="BP3" s="105" t="s">
        <v>182</v>
      </c>
      <c r="BQ3" s="105" t="s">
        <v>183</v>
      </c>
      <c r="BR3" s="106" t="s">
        <v>184</v>
      </c>
      <c r="BS3" s="103"/>
      <c r="BT3" s="107" t="s">
        <v>25</v>
      </c>
      <c r="BU3" s="108" t="s">
        <v>185</v>
      </c>
      <c r="BV3" s="109" t="s">
        <v>182</v>
      </c>
      <c r="BW3" s="110" t="s">
        <v>183</v>
      </c>
      <c r="BX3" s="111" t="s">
        <v>184</v>
      </c>
      <c r="BY3" s="112" t="s">
        <v>186</v>
      </c>
      <c r="CA3" s="112" t="s">
        <v>187</v>
      </c>
      <c r="CB3" s="113" t="s">
        <v>25</v>
      </c>
      <c r="CC3" s="114" t="s">
        <v>182</v>
      </c>
      <c r="CD3" s="114" t="s">
        <v>183</v>
      </c>
      <c r="CE3" s="115" t="s">
        <v>184</v>
      </c>
      <c r="CF3" s="103"/>
      <c r="CG3" s="103"/>
      <c r="CH3" s="103"/>
      <c r="CI3" s="103"/>
    </row>
    <row r="4" spans="1:87" ht="64.5" customHeight="1" x14ac:dyDescent="0.25">
      <c r="B4" s="70" t="s">
        <v>188</v>
      </c>
      <c r="C4" s="71" t="s">
        <v>189</v>
      </c>
      <c r="D4" s="72" t="s">
        <v>190</v>
      </c>
      <c r="E4" s="70" t="s">
        <v>97</v>
      </c>
      <c r="F4" s="116" t="s">
        <v>191</v>
      </c>
      <c r="G4" s="117" t="s">
        <v>192</v>
      </c>
      <c r="H4" s="118"/>
      <c r="I4" s="119"/>
      <c r="J4" s="119"/>
      <c r="K4" s="119"/>
      <c r="L4" s="119"/>
      <c r="M4" s="120"/>
      <c r="O4" s="84"/>
      <c r="P4" s="121">
        <f>P6+P12+P53+P79</f>
        <v>1129.5</v>
      </c>
      <c r="Q4" s="121">
        <f>Q6+Q12+Q53+Q79</f>
        <v>9600.75</v>
      </c>
      <c r="R4" s="122">
        <f>R6+R12+R53+R79</f>
        <v>9600</v>
      </c>
      <c r="V4" s="678" t="s">
        <v>193</v>
      </c>
      <c r="W4" s="118"/>
      <c r="X4" s="119"/>
      <c r="Y4" s="119"/>
      <c r="Z4" s="119"/>
      <c r="AA4" s="119"/>
      <c r="AB4" s="120"/>
      <c r="AC4" s="120"/>
      <c r="AE4" s="84"/>
      <c r="AF4" s="121">
        <f>AF6+AF12+AF53+AF79</f>
        <v>0</v>
      </c>
      <c r="AG4" s="121">
        <f>AG6+AG12+AG53+AG79</f>
        <v>0</v>
      </c>
      <c r="AH4" s="122">
        <f>AH6+AH12+AH53+AH79</f>
        <v>11450</v>
      </c>
      <c r="AJ4" s="678" t="s">
        <v>193</v>
      </c>
      <c r="AK4" s="118"/>
      <c r="AL4" s="119"/>
      <c r="AM4" s="119"/>
      <c r="AN4" s="119"/>
      <c r="AO4" s="119"/>
      <c r="AP4" s="120"/>
      <c r="AR4" s="84"/>
      <c r="AS4" s="121">
        <f>AS6+AS12+AS53+AS79</f>
        <v>0</v>
      </c>
      <c r="AT4" s="121">
        <f>AT6+AT12+AT53+AT79</f>
        <v>0</v>
      </c>
      <c r="AU4" s="122">
        <f>AU6+AU12+AU53+AU79</f>
        <v>16500</v>
      </c>
      <c r="AW4" s="678" t="s">
        <v>193</v>
      </c>
      <c r="AX4" s="118"/>
      <c r="AY4" s="119"/>
      <c r="AZ4" s="119"/>
      <c r="BA4" s="119"/>
      <c r="BB4" s="119"/>
      <c r="BC4" s="120"/>
      <c r="BE4" s="84"/>
      <c r="BF4" s="121">
        <f>BF6+BF12+BF53+BF79</f>
        <v>0</v>
      </c>
      <c r="BG4" s="121">
        <f>BG6+BG12+BG53+BG79</f>
        <v>0</v>
      </c>
      <c r="BH4" s="122">
        <f>BH6+BH12+BH53+BH79</f>
        <v>3400</v>
      </c>
      <c r="BJ4" s="123"/>
      <c r="BK4" s="124"/>
      <c r="BL4" s="124"/>
      <c r="BM4" s="125"/>
      <c r="BN4" s="103"/>
      <c r="BO4" s="126"/>
      <c r="BP4" s="126"/>
      <c r="BQ4" s="126"/>
      <c r="BR4" s="126"/>
      <c r="BS4" s="103"/>
      <c r="BT4" s="127">
        <f t="shared" ref="BT4:BX4" si="0">SUM(BT7:BT92)</f>
        <v>3272.9249999999997</v>
      </c>
      <c r="BU4" s="128">
        <f t="shared" si="0"/>
        <v>288.02250000000004</v>
      </c>
      <c r="BV4" s="129">
        <f t="shared" si="0"/>
        <v>1433.2593750000003</v>
      </c>
      <c r="BW4" s="129">
        <f t="shared" si="0"/>
        <v>1677.1031249999999</v>
      </c>
      <c r="BX4" s="130">
        <f t="shared" si="0"/>
        <v>1777.35</v>
      </c>
      <c r="BY4" s="131">
        <f>SUM(BY7:BY92)</f>
        <v>1152.0900000000001</v>
      </c>
      <c r="CA4" s="131">
        <f>SUM(CA7:CA92)</f>
        <v>1440.1124999999997</v>
      </c>
      <c r="CB4" s="84"/>
      <c r="CC4" s="84"/>
      <c r="CD4" s="84"/>
      <c r="CE4" s="84"/>
      <c r="CF4" s="103"/>
      <c r="CG4" s="103"/>
      <c r="CH4" s="103"/>
      <c r="CI4" s="103"/>
    </row>
    <row r="5" spans="1:87" ht="15" x14ac:dyDescent="0.25">
      <c r="F5" s="82"/>
      <c r="G5" s="83"/>
      <c r="H5" s="82"/>
      <c r="I5" s="83"/>
      <c r="J5" s="83"/>
      <c r="K5" s="83"/>
      <c r="L5" s="83"/>
      <c r="M5" s="132"/>
      <c r="O5" s="84"/>
      <c r="P5" s="133"/>
      <c r="Q5" s="133"/>
      <c r="R5" s="84"/>
      <c r="V5" s="678"/>
      <c r="W5" s="82"/>
      <c r="X5" s="83"/>
      <c r="Y5" s="83"/>
      <c r="Z5" s="83"/>
      <c r="AA5" s="83"/>
      <c r="AB5" s="132"/>
      <c r="AC5" s="132"/>
      <c r="AE5" s="84"/>
      <c r="AF5" s="133"/>
      <c r="AG5" s="133"/>
      <c r="AH5" s="84"/>
      <c r="AJ5" s="678"/>
      <c r="AK5" s="82"/>
      <c r="AL5" s="83"/>
      <c r="AM5" s="83"/>
      <c r="AN5" s="83"/>
      <c r="AO5" s="83"/>
      <c r="AP5" s="132"/>
      <c r="AR5" s="84"/>
      <c r="AS5" s="133"/>
      <c r="AT5" s="133"/>
      <c r="AU5" s="84"/>
      <c r="AW5" s="678"/>
      <c r="AX5" s="82"/>
      <c r="AY5" s="83"/>
      <c r="AZ5" s="83"/>
      <c r="BA5" s="83"/>
      <c r="BB5" s="83"/>
      <c r="BC5" s="132"/>
      <c r="BE5" s="84"/>
      <c r="BF5" s="133"/>
      <c r="BG5" s="133"/>
      <c r="BH5" s="84"/>
      <c r="BJ5" s="123"/>
      <c r="BK5" s="124"/>
      <c r="BL5" s="124"/>
      <c r="BM5" s="125"/>
      <c r="BN5" s="103"/>
      <c r="BO5" s="126"/>
      <c r="BP5" s="126"/>
      <c r="BQ5" s="126"/>
      <c r="BR5" s="126"/>
      <c r="BS5" s="103"/>
      <c r="BT5" s="679">
        <f>SUM(BT4:BU4)</f>
        <v>3560.9474999999998</v>
      </c>
      <c r="BU5" s="680"/>
      <c r="BV5" s="134"/>
      <c r="BW5" s="681">
        <f>SUM(BW4:BY4)</f>
        <v>4606.5431250000001</v>
      </c>
      <c r="BX5" s="682"/>
      <c r="BY5" s="683"/>
      <c r="CB5" s="84"/>
      <c r="CC5" s="84"/>
      <c r="CD5" s="84"/>
      <c r="CE5" s="84"/>
      <c r="CF5" s="103"/>
      <c r="CG5" s="103"/>
      <c r="CH5" s="103"/>
      <c r="CI5" s="103"/>
    </row>
    <row r="6" spans="1:87" ht="15.75" thickBot="1" x14ac:dyDescent="0.3">
      <c r="B6" s="135"/>
      <c r="C6" s="136"/>
      <c r="D6" s="137"/>
      <c r="F6" s="82">
        <f>SUM(F7:F8)</f>
        <v>8</v>
      </c>
      <c r="G6" s="83">
        <f>SUM(G7:G8)</f>
        <v>20</v>
      </c>
      <c r="H6" s="82">
        <f>SUM(H7:H8)</f>
        <v>7</v>
      </c>
      <c r="I6" s="83">
        <f t="shared" ref="I6:M6" si="1">SUM(I7:I8)</f>
        <v>20</v>
      </c>
      <c r="J6" s="83">
        <f t="shared" si="1"/>
        <v>1</v>
      </c>
      <c r="K6" s="83">
        <f t="shared" si="1"/>
        <v>45</v>
      </c>
      <c r="L6" s="83">
        <f t="shared" si="1"/>
        <v>18</v>
      </c>
      <c r="M6" s="132">
        <f t="shared" si="1"/>
        <v>7</v>
      </c>
      <c r="N6" s="138"/>
      <c r="O6" s="139"/>
      <c r="P6" s="138">
        <f>SUM(F6:M6)</f>
        <v>126</v>
      </c>
      <c r="Q6" s="138">
        <f>P6*8.5</f>
        <v>1071</v>
      </c>
      <c r="R6" s="140">
        <v>1250</v>
      </c>
      <c r="S6" s="141"/>
      <c r="T6" s="141"/>
      <c r="U6" s="142"/>
      <c r="V6" s="82">
        <f>SUM(V7:V8)</f>
        <v>0</v>
      </c>
      <c r="W6" s="82">
        <f>SUM(W7:W8)</f>
        <v>0</v>
      </c>
      <c r="X6" s="83">
        <f t="shared" ref="X6:AC6" si="2">SUM(X7:X8)</f>
        <v>0</v>
      </c>
      <c r="Y6" s="83">
        <f t="shared" si="2"/>
        <v>0</v>
      </c>
      <c r="Z6" s="83">
        <f t="shared" si="2"/>
        <v>0</v>
      </c>
      <c r="AA6" s="83">
        <f t="shared" si="2"/>
        <v>0</v>
      </c>
      <c r="AB6" s="132">
        <f t="shared" si="2"/>
        <v>0</v>
      </c>
      <c r="AC6" s="132">
        <f t="shared" si="2"/>
        <v>0</v>
      </c>
      <c r="AD6" s="138"/>
      <c r="AE6" s="139"/>
      <c r="AF6" s="138">
        <f>SUM(V6:AC6)</f>
        <v>0</v>
      </c>
      <c r="AG6" s="138">
        <f>AF6*8.5</f>
        <v>0</v>
      </c>
      <c r="AH6" s="140">
        <v>1500</v>
      </c>
      <c r="AI6" s="142"/>
      <c r="AJ6" s="82">
        <f>SUM(AJ7:AJ8)</f>
        <v>0</v>
      </c>
      <c r="AK6" s="82">
        <f>SUM(AK7:AK8)</f>
        <v>0</v>
      </c>
      <c r="AL6" s="83">
        <f t="shared" ref="AL6:AP6" si="3">SUM(AL7:AL8)</f>
        <v>0</v>
      </c>
      <c r="AM6" s="83">
        <f t="shared" si="3"/>
        <v>0</v>
      </c>
      <c r="AN6" s="83">
        <f t="shared" si="3"/>
        <v>0</v>
      </c>
      <c r="AO6" s="83">
        <f t="shared" si="3"/>
        <v>0</v>
      </c>
      <c r="AP6" s="132">
        <f t="shared" si="3"/>
        <v>0</v>
      </c>
      <c r="AQ6" s="138"/>
      <c r="AR6" s="139"/>
      <c r="AS6" s="138">
        <f>SUM(AJ6:AP6)</f>
        <v>0</v>
      </c>
      <c r="AT6" s="138">
        <f>AS6*8.5</f>
        <v>0</v>
      </c>
      <c r="AU6" s="140">
        <v>2700</v>
      </c>
      <c r="AV6" s="142"/>
      <c r="AW6" s="82">
        <f>SUM(AW7:AW8)</f>
        <v>0</v>
      </c>
      <c r="AX6" s="82">
        <f>SUM(AX7:AX8)</f>
        <v>0</v>
      </c>
      <c r="AY6" s="83">
        <f t="shared" ref="AY6:BC6" si="4">SUM(AY7:AY8)</f>
        <v>0</v>
      </c>
      <c r="AZ6" s="83">
        <f t="shared" si="4"/>
        <v>0</v>
      </c>
      <c r="BA6" s="83">
        <f t="shared" si="4"/>
        <v>0</v>
      </c>
      <c r="BB6" s="83">
        <f t="shared" si="4"/>
        <v>0</v>
      </c>
      <c r="BC6" s="132">
        <f t="shared" si="4"/>
        <v>0</v>
      </c>
      <c r="BD6" s="138"/>
      <c r="BE6" s="139"/>
      <c r="BF6" s="138">
        <f>SUM(AW6:BC6)</f>
        <v>0</v>
      </c>
      <c r="BG6" s="138">
        <f>BF6*8.5</f>
        <v>0</v>
      </c>
      <c r="BH6" s="140">
        <v>500</v>
      </c>
      <c r="BJ6" s="143"/>
      <c r="BK6" s="144"/>
      <c r="BL6" s="144"/>
      <c r="BM6" s="145"/>
      <c r="BN6" s="103"/>
      <c r="BO6" s="146"/>
      <c r="BP6" s="146"/>
      <c r="BQ6" s="146"/>
      <c r="BR6" s="146"/>
      <c r="BS6" s="103"/>
      <c r="BT6" s="668">
        <f>BT5*(1/($BT5+$BV4+$BW5))</f>
        <v>0.37090305444887117</v>
      </c>
      <c r="BU6" s="669"/>
      <c r="BV6" s="147">
        <f>BV4*(1/($BT5+$BV4+$BW5))</f>
        <v>0.14928618857901729</v>
      </c>
      <c r="BW6" s="670">
        <f>BW5*(1/($BT5+$BV4+$BW5))</f>
        <v>0.47981075697211156</v>
      </c>
      <c r="BX6" s="671"/>
      <c r="BY6" s="672"/>
      <c r="CB6" s="139"/>
      <c r="CC6" s="139"/>
      <c r="CD6" s="139"/>
      <c r="CE6" s="139"/>
      <c r="CF6" s="103"/>
      <c r="CG6" s="103"/>
      <c r="CH6" s="103"/>
      <c r="CI6" s="103"/>
    </row>
    <row r="7" spans="1:87" ht="12.75" customHeight="1" thickBot="1" x14ac:dyDescent="0.25">
      <c r="A7" s="642" t="s">
        <v>194</v>
      </c>
      <c r="B7" s="148" t="s">
        <v>195</v>
      </c>
      <c r="C7" s="149" t="s">
        <v>196</v>
      </c>
      <c r="D7" s="150">
        <v>3.694</v>
      </c>
      <c r="E7" s="673">
        <f>SUM(D7:D8)</f>
        <v>4.0140000000000002</v>
      </c>
      <c r="F7" s="151">
        <v>4</v>
      </c>
      <c r="G7" s="152">
        <v>12</v>
      </c>
      <c r="H7" s="151">
        <v>5</v>
      </c>
      <c r="I7" s="153">
        <v>20</v>
      </c>
      <c r="J7" s="153">
        <v>1</v>
      </c>
      <c r="K7" s="152">
        <v>30</v>
      </c>
      <c r="L7" s="152">
        <v>15</v>
      </c>
      <c r="M7" s="154">
        <v>5</v>
      </c>
      <c r="N7" s="155"/>
      <c r="O7" s="156">
        <f>SUM(F7:N7)</f>
        <v>92</v>
      </c>
      <c r="R7" s="84"/>
      <c r="U7" s="84"/>
      <c r="V7" s="152"/>
      <c r="W7" s="151"/>
      <c r="X7" s="153"/>
      <c r="Y7" s="153"/>
      <c r="Z7" s="152"/>
      <c r="AA7" s="152"/>
      <c r="AB7" s="154"/>
      <c r="AC7" s="154"/>
      <c r="AD7" s="155"/>
      <c r="AE7" s="156"/>
      <c r="AH7" s="84"/>
      <c r="AJ7" s="157"/>
      <c r="AK7" s="157"/>
      <c r="AL7" s="158"/>
      <c r="AM7" s="158"/>
      <c r="AN7" s="159"/>
      <c r="AO7" s="159"/>
      <c r="AP7" s="160"/>
      <c r="AQ7" s="161"/>
      <c r="AR7" s="162"/>
      <c r="AU7" s="84"/>
      <c r="AW7" s="157"/>
      <c r="AX7" s="157"/>
      <c r="AY7" s="158"/>
      <c r="AZ7" s="158"/>
      <c r="BA7" s="159"/>
      <c r="BB7" s="159"/>
      <c r="BC7" s="160"/>
      <c r="BD7" s="161"/>
      <c r="BE7" s="162"/>
      <c r="BH7" s="84"/>
      <c r="BJ7" s="163">
        <v>1</v>
      </c>
      <c r="BK7" s="164"/>
      <c r="BL7" s="164"/>
      <c r="BM7" s="165"/>
      <c r="BN7" s="103"/>
      <c r="BO7" s="166">
        <f t="shared" ref="BO7:BR8" si="5">$O7+$AE7+$AR7+$BE7</f>
        <v>92</v>
      </c>
      <c r="BP7" s="166">
        <f t="shared" si="5"/>
        <v>92</v>
      </c>
      <c r="BQ7" s="166">
        <f t="shared" si="5"/>
        <v>92</v>
      </c>
      <c r="BR7" s="166">
        <f t="shared" si="5"/>
        <v>92</v>
      </c>
      <c r="BS7" s="103"/>
      <c r="BT7" s="167">
        <f>(BO7*$BZ$1-$CA7)*BJ7</f>
        <v>664.69999999999993</v>
      </c>
      <c r="BU7" s="168">
        <f>CA7*$CI$22</f>
        <v>23.460000000000008</v>
      </c>
      <c r="BV7" s="169">
        <f t="shared" ref="BV7:BX8" si="6">(BP7*$BZ$1-$CA7)*BK7</f>
        <v>0</v>
      </c>
      <c r="BW7" s="169">
        <f t="shared" si="6"/>
        <v>0</v>
      </c>
      <c r="BX7" s="169">
        <f t="shared" si="6"/>
        <v>0</v>
      </c>
      <c r="BY7" s="170">
        <f>CA7*$CI$21</f>
        <v>93.840000000000032</v>
      </c>
      <c r="CA7" s="170">
        <f>(($CH$25+$CH$26)*(O7+AE7+BE7)+($CH$25*AR7))*$BZ$1</f>
        <v>117.30000000000003</v>
      </c>
      <c r="CB7" s="166">
        <f t="shared" ref="CB7:CE8" si="7">$O7+$AE7+$AR7+$BE7</f>
        <v>92</v>
      </c>
      <c r="CC7" s="166">
        <f t="shared" si="7"/>
        <v>92</v>
      </c>
      <c r="CD7" s="166">
        <f t="shared" si="7"/>
        <v>92</v>
      </c>
      <c r="CE7" s="166">
        <f t="shared" si="7"/>
        <v>92</v>
      </c>
      <c r="CF7" s="103"/>
      <c r="CG7" s="103"/>
      <c r="CH7" s="103"/>
      <c r="CI7" s="103"/>
    </row>
    <row r="8" spans="1:87" ht="12.75" customHeight="1" x14ac:dyDescent="0.2">
      <c r="A8" s="643"/>
      <c r="B8" s="171" t="s">
        <v>197</v>
      </c>
      <c r="C8" s="172" t="s">
        <v>198</v>
      </c>
      <c r="D8" s="173">
        <v>0.32</v>
      </c>
      <c r="E8" s="674"/>
      <c r="F8" s="174">
        <v>4</v>
      </c>
      <c r="G8" s="175">
        <v>8</v>
      </c>
      <c r="H8" s="174">
        <v>2</v>
      </c>
      <c r="I8" s="176"/>
      <c r="J8" s="176"/>
      <c r="K8" s="175">
        <v>15</v>
      </c>
      <c r="L8" s="175">
        <v>3</v>
      </c>
      <c r="M8" s="177">
        <v>2</v>
      </c>
      <c r="N8" s="155"/>
      <c r="O8" s="178">
        <f>SUM(F8:M8)</f>
        <v>34</v>
      </c>
      <c r="R8" s="84"/>
      <c r="U8" s="84"/>
      <c r="V8" s="175"/>
      <c r="W8" s="174"/>
      <c r="X8" s="176"/>
      <c r="Y8" s="176"/>
      <c r="Z8" s="175"/>
      <c r="AA8" s="175"/>
      <c r="AB8" s="177"/>
      <c r="AC8" s="177"/>
      <c r="AD8" s="155"/>
      <c r="AE8" s="178"/>
      <c r="AH8" s="84"/>
      <c r="AJ8" s="179"/>
      <c r="AK8" s="179"/>
      <c r="AL8" s="180"/>
      <c r="AM8" s="180"/>
      <c r="AN8" s="181"/>
      <c r="AO8" s="181"/>
      <c r="AP8" s="182"/>
      <c r="AQ8" s="161"/>
      <c r="AR8" s="183"/>
      <c r="AU8" s="84"/>
      <c r="AW8" s="179"/>
      <c r="AX8" s="179"/>
      <c r="AY8" s="180"/>
      <c r="AZ8" s="180"/>
      <c r="BA8" s="181"/>
      <c r="BB8" s="181"/>
      <c r="BC8" s="182"/>
      <c r="BD8" s="161"/>
      <c r="BE8" s="183"/>
      <c r="BH8" s="84"/>
      <c r="BJ8" s="184">
        <v>1</v>
      </c>
      <c r="BK8" s="185"/>
      <c r="BL8" s="185"/>
      <c r="BM8" s="186"/>
      <c r="BN8" s="103"/>
      <c r="BO8" s="187">
        <f t="shared" si="5"/>
        <v>34</v>
      </c>
      <c r="BP8" s="187">
        <f t="shared" si="5"/>
        <v>34</v>
      </c>
      <c r="BQ8" s="187">
        <f t="shared" si="5"/>
        <v>34</v>
      </c>
      <c r="BR8" s="187">
        <f t="shared" si="5"/>
        <v>34</v>
      </c>
      <c r="BS8" s="103"/>
      <c r="BT8" s="188">
        <f>(BO8*$BZ$1-$CA8)*BJ8</f>
        <v>245.65</v>
      </c>
      <c r="BU8" s="189">
        <f>CA8*$CI$22</f>
        <v>8.67</v>
      </c>
      <c r="BV8" s="190">
        <f t="shared" si="6"/>
        <v>0</v>
      </c>
      <c r="BW8" s="190">
        <f t="shared" si="6"/>
        <v>0</v>
      </c>
      <c r="BX8" s="190">
        <f t="shared" si="6"/>
        <v>0</v>
      </c>
      <c r="BY8" s="191">
        <f>CA8*$CI$21</f>
        <v>34.68</v>
      </c>
      <c r="CA8" s="170">
        <f>(($CH$25+$CH$26)*(O8+AE8+BE8)+($CH$25*AR8))*$BZ$1</f>
        <v>43.35</v>
      </c>
      <c r="CB8" s="192">
        <f t="shared" si="7"/>
        <v>34</v>
      </c>
      <c r="CC8" s="192">
        <f t="shared" si="7"/>
        <v>34</v>
      </c>
      <c r="CD8" s="192">
        <f t="shared" si="7"/>
        <v>34</v>
      </c>
      <c r="CE8" s="192">
        <f t="shared" si="7"/>
        <v>34</v>
      </c>
      <c r="CF8" s="103"/>
      <c r="CG8" s="103"/>
      <c r="CH8" s="103"/>
      <c r="CI8" s="103"/>
    </row>
    <row r="9" spans="1:87" ht="12.75" customHeight="1" x14ac:dyDescent="0.25">
      <c r="A9" s="643"/>
      <c r="B9" s="142"/>
      <c r="C9" s="193"/>
      <c r="D9" s="194"/>
      <c r="E9" s="142"/>
      <c r="F9" s="195"/>
      <c r="G9" s="196"/>
      <c r="H9" s="195"/>
      <c r="I9" s="196"/>
      <c r="J9" s="196"/>
      <c r="K9" s="196"/>
      <c r="L9" s="196"/>
      <c r="M9" s="197"/>
      <c r="N9" s="155"/>
      <c r="O9" s="198"/>
      <c r="R9" s="84"/>
      <c r="U9" s="84"/>
      <c r="V9" s="196"/>
      <c r="W9" s="195"/>
      <c r="X9" s="196"/>
      <c r="Y9" s="196"/>
      <c r="Z9" s="196"/>
      <c r="AA9" s="196"/>
      <c r="AB9" s="197"/>
      <c r="AC9" s="197"/>
      <c r="AD9" s="155"/>
      <c r="AE9" s="198"/>
      <c r="AH9" s="84"/>
      <c r="AJ9" s="199"/>
      <c r="AK9" s="199"/>
      <c r="AL9" s="200"/>
      <c r="AM9" s="200"/>
      <c r="AN9" s="200"/>
      <c r="AO9" s="200"/>
      <c r="AP9" s="201"/>
      <c r="AQ9" s="161"/>
      <c r="AR9" s="202"/>
      <c r="AU9" s="84"/>
      <c r="AW9" s="199"/>
      <c r="AX9" s="199"/>
      <c r="AY9" s="200"/>
      <c r="AZ9" s="200"/>
      <c r="BA9" s="200"/>
      <c r="BB9" s="200"/>
      <c r="BC9" s="201"/>
      <c r="BD9" s="161"/>
      <c r="BE9" s="202"/>
      <c r="BH9" s="84"/>
      <c r="BJ9" s="203"/>
      <c r="BK9" s="204"/>
      <c r="BL9" s="204"/>
      <c r="BM9" s="205"/>
      <c r="BN9" s="103"/>
      <c r="BO9" s="206"/>
      <c r="BP9" s="206"/>
      <c r="BQ9" s="206"/>
      <c r="BR9" s="206"/>
      <c r="BS9" s="103"/>
      <c r="BT9" s="207"/>
      <c r="BU9" s="208"/>
      <c r="BV9" s="209"/>
      <c r="BW9" s="209"/>
      <c r="BX9" s="210"/>
      <c r="BY9" s="211"/>
      <c r="CA9" s="211"/>
      <c r="CB9" s="84"/>
      <c r="CC9" s="84"/>
      <c r="CD9" s="84"/>
      <c r="CE9" s="84"/>
      <c r="CF9" s="103"/>
      <c r="CG9" s="103"/>
      <c r="CH9" s="103"/>
      <c r="CI9" s="103"/>
    </row>
    <row r="10" spans="1:87" ht="21" customHeight="1" thickBot="1" x14ac:dyDescent="0.3">
      <c r="A10" s="644"/>
      <c r="B10" s="141"/>
      <c r="C10" s="212"/>
      <c r="D10" s="213"/>
      <c r="E10" s="141"/>
      <c r="F10" s="214"/>
      <c r="G10" s="215"/>
      <c r="H10" s="214"/>
      <c r="I10" s="215"/>
      <c r="J10" s="215"/>
      <c r="K10" s="215"/>
      <c r="L10" s="215"/>
      <c r="M10" s="216"/>
      <c r="N10" s="215"/>
      <c r="O10" s="216"/>
      <c r="P10" s="138"/>
      <c r="Q10" s="138"/>
      <c r="R10" s="140"/>
      <c r="S10" s="141"/>
      <c r="T10" s="141"/>
      <c r="U10" s="84"/>
      <c r="V10" s="215"/>
      <c r="W10" s="214"/>
      <c r="X10" s="215"/>
      <c r="Y10" s="215"/>
      <c r="Z10" s="215"/>
      <c r="AA10" s="215"/>
      <c r="AB10" s="216"/>
      <c r="AC10" s="216"/>
      <c r="AD10" s="215"/>
      <c r="AE10" s="216"/>
      <c r="AF10" s="138"/>
      <c r="AG10" s="138"/>
      <c r="AH10" s="140"/>
      <c r="AJ10" s="217"/>
      <c r="AK10" s="217"/>
      <c r="AL10" s="218"/>
      <c r="AM10" s="218"/>
      <c r="AN10" s="218"/>
      <c r="AO10" s="218"/>
      <c r="AP10" s="219"/>
      <c r="AQ10" s="218"/>
      <c r="AR10" s="219"/>
      <c r="AS10" s="138"/>
      <c r="AT10" s="138"/>
      <c r="AU10" s="140"/>
      <c r="AW10" s="217"/>
      <c r="AX10" s="217"/>
      <c r="AY10" s="218"/>
      <c r="AZ10" s="218"/>
      <c r="BA10" s="218"/>
      <c r="BB10" s="218"/>
      <c r="BC10" s="219"/>
      <c r="BD10" s="218"/>
      <c r="BE10" s="219"/>
      <c r="BF10" s="138"/>
      <c r="BG10" s="138"/>
      <c r="BH10" s="140"/>
      <c r="BJ10" s="220"/>
      <c r="BK10" s="221"/>
      <c r="BL10" s="221"/>
      <c r="BM10" s="222"/>
      <c r="BN10" s="103"/>
      <c r="BO10" s="146"/>
      <c r="BP10" s="146"/>
      <c r="BQ10" s="146"/>
      <c r="BR10" s="146"/>
      <c r="BS10" s="103"/>
      <c r="BT10" s="223"/>
      <c r="BU10" s="224"/>
      <c r="BV10" s="225"/>
      <c r="BW10" s="225"/>
      <c r="BX10" s="226"/>
      <c r="BY10" s="227"/>
      <c r="CA10" s="227"/>
      <c r="CB10" s="139"/>
      <c r="CC10" s="139"/>
      <c r="CD10" s="139"/>
      <c r="CE10" s="139"/>
      <c r="CF10" s="103"/>
      <c r="CG10" s="103"/>
      <c r="CH10" s="103"/>
      <c r="CI10" s="103"/>
    </row>
    <row r="11" spans="1:87" ht="15" customHeight="1" x14ac:dyDescent="0.25">
      <c r="A11" s="228"/>
      <c r="B11" s="142"/>
      <c r="C11" s="193"/>
      <c r="D11" s="194"/>
      <c r="E11" s="142"/>
      <c r="F11" s="195"/>
      <c r="G11" s="196"/>
      <c r="H11" s="195"/>
      <c r="I11" s="196"/>
      <c r="J11" s="196"/>
      <c r="K11" s="196"/>
      <c r="L11" s="196"/>
      <c r="M11" s="197"/>
      <c r="N11" s="155"/>
      <c r="O11" s="198"/>
      <c r="R11" s="84"/>
      <c r="U11" s="84"/>
      <c r="V11" s="196"/>
      <c r="W11" s="195"/>
      <c r="X11" s="196"/>
      <c r="Y11" s="196"/>
      <c r="Z11" s="196"/>
      <c r="AA11" s="196"/>
      <c r="AB11" s="197"/>
      <c r="AC11" s="197"/>
      <c r="AD11" s="155"/>
      <c r="AE11" s="198"/>
      <c r="AH11" s="84"/>
      <c r="AJ11" s="199"/>
      <c r="AK11" s="199"/>
      <c r="AL11" s="200"/>
      <c r="AM11" s="200"/>
      <c r="AN11" s="200"/>
      <c r="AO11" s="200"/>
      <c r="AP11" s="201"/>
      <c r="AQ11" s="161"/>
      <c r="AR11" s="202"/>
      <c r="AU11" s="84"/>
      <c r="AW11" s="199"/>
      <c r="AX11" s="199"/>
      <c r="AY11" s="200"/>
      <c r="AZ11" s="200"/>
      <c r="BA11" s="200"/>
      <c r="BB11" s="200"/>
      <c r="BC11" s="201"/>
      <c r="BD11" s="161"/>
      <c r="BE11" s="202"/>
      <c r="BH11" s="84"/>
      <c r="BJ11" s="203"/>
      <c r="BK11" s="204"/>
      <c r="BL11" s="204"/>
      <c r="BM11" s="205"/>
      <c r="BN11" s="103"/>
      <c r="BO11" s="206"/>
      <c r="BP11" s="206"/>
      <c r="BQ11" s="206"/>
      <c r="BR11" s="206"/>
      <c r="BS11" s="103"/>
      <c r="BT11" s="207"/>
      <c r="BU11" s="208"/>
      <c r="BV11" s="209"/>
      <c r="BW11" s="209"/>
      <c r="BX11" s="210"/>
      <c r="BY11" s="211"/>
      <c r="CA11" s="211"/>
      <c r="CB11" s="84"/>
      <c r="CC11" s="84"/>
      <c r="CD11" s="84"/>
      <c r="CE11" s="142"/>
      <c r="CF11" s="651" t="s">
        <v>199</v>
      </c>
      <c r="CG11" s="652"/>
      <c r="CH11" s="652"/>
      <c r="CI11" s="653"/>
    </row>
    <row r="12" spans="1:87" ht="15.75" thickBot="1" x14ac:dyDescent="0.3">
      <c r="A12" s="229"/>
      <c r="F12" s="195">
        <f t="shared" ref="F12:M12" si="8">SUM(F13:F51)</f>
        <v>23</v>
      </c>
      <c r="G12" s="196">
        <f t="shared" si="8"/>
        <v>55.5</v>
      </c>
      <c r="H12" s="195">
        <f t="shared" si="8"/>
        <v>13.5</v>
      </c>
      <c r="I12" s="196">
        <f t="shared" si="8"/>
        <v>75</v>
      </c>
      <c r="J12" s="196">
        <f t="shared" si="8"/>
        <v>5</v>
      </c>
      <c r="K12" s="196">
        <f t="shared" si="8"/>
        <v>57</v>
      </c>
      <c r="L12" s="196">
        <f t="shared" si="8"/>
        <v>51</v>
      </c>
      <c r="M12" s="197">
        <f t="shared" si="8"/>
        <v>32</v>
      </c>
      <c r="N12" s="215"/>
      <c r="O12" s="216"/>
      <c r="P12" s="138">
        <f>SUM(F12:M12)</f>
        <v>312</v>
      </c>
      <c r="Q12" s="138">
        <f>P12*8.5</f>
        <v>2652</v>
      </c>
      <c r="R12" s="140">
        <v>2750</v>
      </c>
      <c r="S12" s="141"/>
      <c r="T12" s="141"/>
      <c r="U12" s="84"/>
      <c r="V12" s="196">
        <f t="shared" ref="V12:AC12" si="9">SUM(V13:V51)</f>
        <v>0</v>
      </c>
      <c r="W12" s="195">
        <f t="shared" si="9"/>
        <v>0</v>
      </c>
      <c r="X12" s="196">
        <f t="shared" si="9"/>
        <v>0</v>
      </c>
      <c r="Y12" s="196">
        <f t="shared" si="9"/>
        <v>0</v>
      </c>
      <c r="Z12" s="196">
        <f t="shared" si="9"/>
        <v>0</v>
      </c>
      <c r="AA12" s="196">
        <f t="shared" si="9"/>
        <v>0</v>
      </c>
      <c r="AB12" s="197">
        <f t="shared" si="9"/>
        <v>0</v>
      </c>
      <c r="AC12" s="197">
        <f t="shared" si="9"/>
        <v>0</v>
      </c>
      <c r="AD12" s="215"/>
      <c r="AE12" s="216"/>
      <c r="AF12" s="138">
        <f>SUM(V12:AC12)</f>
        <v>0</v>
      </c>
      <c r="AG12" s="138">
        <f>AF12*8.5</f>
        <v>0</v>
      </c>
      <c r="AH12" s="140">
        <v>3000</v>
      </c>
      <c r="AI12" s="142"/>
      <c r="AJ12" s="230">
        <f t="shared" ref="AJ12:AP12" si="10">SUM(AJ13:AJ51)</f>
        <v>0</v>
      </c>
      <c r="AK12" s="199">
        <f t="shared" si="10"/>
        <v>0</v>
      </c>
      <c r="AL12" s="200">
        <f t="shared" si="10"/>
        <v>0</v>
      </c>
      <c r="AM12" s="200">
        <f t="shared" si="10"/>
        <v>0</v>
      </c>
      <c r="AN12" s="200">
        <f t="shared" si="10"/>
        <v>0</v>
      </c>
      <c r="AO12" s="200">
        <f t="shared" si="10"/>
        <v>0</v>
      </c>
      <c r="AP12" s="201">
        <f t="shared" si="10"/>
        <v>0</v>
      </c>
      <c r="AQ12" s="218"/>
      <c r="AR12" s="219"/>
      <c r="AS12" s="138">
        <f>SUM(AJ12:AP12)</f>
        <v>0</v>
      </c>
      <c r="AT12" s="138">
        <f>AS12*8.5</f>
        <v>0</v>
      </c>
      <c r="AU12" s="140">
        <v>5800</v>
      </c>
      <c r="AV12" s="142"/>
      <c r="AW12" s="199">
        <f t="shared" ref="AW12:BC12" si="11">SUM(AW13:AW51)</f>
        <v>0</v>
      </c>
      <c r="AX12" s="199">
        <f t="shared" si="11"/>
        <v>0</v>
      </c>
      <c r="AY12" s="200">
        <f t="shared" si="11"/>
        <v>0</v>
      </c>
      <c r="AZ12" s="200">
        <f t="shared" si="11"/>
        <v>0</v>
      </c>
      <c r="BA12" s="200">
        <f t="shared" si="11"/>
        <v>0</v>
      </c>
      <c r="BB12" s="200">
        <f t="shared" si="11"/>
        <v>0</v>
      </c>
      <c r="BC12" s="201">
        <f t="shared" si="11"/>
        <v>0</v>
      </c>
      <c r="BD12" s="218"/>
      <c r="BE12" s="219"/>
      <c r="BF12" s="138">
        <f>SUM(AW12:BC12)</f>
        <v>0</v>
      </c>
      <c r="BG12" s="138">
        <f>BF12*8.5</f>
        <v>0</v>
      </c>
      <c r="BH12" s="140">
        <v>1000</v>
      </c>
      <c r="BJ12" s="220"/>
      <c r="BK12" s="221"/>
      <c r="BL12" s="221"/>
      <c r="BM12" s="222"/>
      <c r="BN12" s="103"/>
      <c r="BO12" s="146"/>
      <c r="BP12" s="146"/>
      <c r="BQ12" s="146"/>
      <c r="BR12" s="146"/>
      <c r="BS12" s="103"/>
      <c r="BT12" s="223"/>
      <c r="BU12" s="224"/>
      <c r="BV12" s="225"/>
      <c r="BW12" s="225"/>
      <c r="BX12" s="226"/>
      <c r="BY12" s="227"/>
      <c r="CA12" s="227"/>
      <c r="CB12" s="139"/>
      <c r="CC12" s="139"/>
      <c r="CD12" s="139"/>
      <c r="CE12" s="138"/>
      <c r="CF12" s="654"/>
      <c r="CG12" s="655"/>
      <c r="CH12" s="655"/>
      <c r="CI12" s="656"/>
    </row>
    <row r="13" spans="1:87" ht="14.25" customHeight="1" x14ac:dyDescent="0.2">
      <c r="A13" s="642" t="s">
        <v>200</v>
      </c>
      <c r="B13" s="231" t="s">
        <v>201</v>
      </c>
      <c r="C13" s="232">
        <v>11.303000000000001</v>
      </c>
      <c r="D13" s="233">
        <v>0.16500000000000001</v>
      </c>
      <c r="E13" s="657">
        <f>SUM(D13:D51)</f>
        <v>16.739999999999995</v>
      </c>
      <c r="F13" s="234">
        <v>0.5</v>
      </c>
      <c r="G13" s="235">
        <v>1.5</v>
      </c>
      <c r="H13" s="234">
        <v>0.5</v>
      </c>
      <c r="I13" s="235"/>
      <c r="J13" s="235"/>
      <c r="K13" s="235">
        <v>1</v>
      </c>
      <c r="L13" s="235">
        <v>1</v>
      </c>
      <c r="M13" s="236">
        <v>1</v>
      </c>
      <c r="N13" s="155"/>
      <c r="O13" s="237">
        <f>SUM(F13:M13)</f>
        <v>5.5</v>
      </c>
      <c r="R13" s="84"/>
      <c r="U13" s="84"/>
      <c r="V13" s="235"/>
      <c r="W13" s="234"/>
      <c r="X13" s="235"/>
      <c r="Y13" s="235"/>
      <c r="Z13" s="235"/>
      <c r="AA13" s="235"/>
      <c r="AB13" s="236"/>
      <c r="AC13" s="236"/>
      <c r="AD13" s="155"/>
      <c r="AE13" s="237"/>
      <c r="AH13" s="84"/>
      <c r="AJ13" s="238"/>
      <c r="AK13" s="239"/>
      <c r="AL13" s="240"/>
      <c r="AM13" s="240"/>
      <c r="AN13" s="240"/>
      <c r="AO13" s="240"/>
      <c r="AP13" s="241"/>
      <c r="AQ13" s="161"/>
      <c r="AR13" s="242"/>
      <c r="AU13" s="84"/>
      <c r="AW13" s="239"/>
      <c r="AX13" s="239"/>
      <c r="AY13" s="240"/>
      <c r="AZ13" s="240"/>
      <c r="BA13" s="240"/>
      <c r="BB13" s="240"/>
      <c r="BC13" s="241"/>
      <c r="BD13" s="161"/>
      <c r="BE13" s="242"/>
      <c r="BH13" s="84"/>
      <c r="BJ13" s="243"/>
      <c r="BK13" s="244">
        <v>1</v>
      </c>
      <c r="BL13" s="244"/>
      <c r="BM13" s="245"/>
      <c r="BN13" s="103"/>
      <c r="BO13" s="246">
        <f t="shared" ref="BO13:BR28" si="12">$O13+$AE13+$AR13+$BE13</f>
        <v>5.5</v>
      </c>
      <c r="BP13" s="246">
        <f t="shared" si="12"/>
        <v>5.5</v>
      </c>
      <c r="BQ13" s="246">
        <f t="shared" si="12"/>
        <v>5.5</v>
      </c>
      <c r="BR13" s="246">
        <f t="shared" si="12"/>
        <v>5.5</v>
      </c>
      <c r="BS13" s="247"/>
      <c r="BT13" s="248">
        <f t="shared" ref="BT13:BT51" si="13">(BO13*$BZ$1-$CA13)*BJ13</f>
        <v>0</v>
      </c>
      <c r="BU13" s="249">
        <f t="shared" ref="BU13:BU51" si="14">CA13*$CI$22</f>
        <v>1.4025000000000003</v>
      </c>
      <c r="BV13" s="249">
        <f t="shared" ref="BV13:BX50" si="15">(BP13*$BZ$1-$CA13)*BK13</f>
        <v>39.737499999999997</v>
      </c>
      <c r="BW13" s="249">
        <f t="shared" si="15"/>
        <v>0</v>
      </c>
      <c r="BX13" s="249">
        <f t="shared" si="15"/>
        <v>0</v>
      </c>
      <c r="BY13" s="250">
        <f t="shared" ref="BY13:BY51" si="16">CA13*$CI$21</f>
        <v>5.6100000000000012</v>
      </c>
      <c r="CA13" s="250">
        <f t="shared" ref="CA13:CA51" si="17">(($CH$25+$CH$26)*(O13+AE13+BE13)+($CH$25*AR13))*$BZ$1</f>
        <v>7.0125000000000011</v>
      </c>
      <c r="CB13" s="251">
        <f t="shared" ref="CB13:CE51" si="18">$O13+$AE13+$AR13+$BE13</f>
        <v>5.5</v>
      </c>
      <c r="CC13" s="251">
        <f t="shared" si="18"/>
        <v>5.5</v>
      </c>
      <c r="CD13" s="251">
        <f t="shared" si="18"/>
        <v>5.5</v>
      </c>
      <c r="CE13" s="252">
        <f t="shared" si="18"/>
        <v>5.5</v>
      </c>
      <c r="CF13" s="654"/>
      <c r="CG13" s="655"/>
      <c r="CH13" s="655"/>
      <c r="CI13" s="656"/>
    </row>
    <row r="14" spans="1:87" ht="14.25" customHeight="1" x14ac:dyDescent="0.2">
      <c r="A14" s="643"/>
      <c r="B14" s="253" t="s">
        <v>202</v>
      </c>
      <c r="C14" s="254" t="s">
        <v>203</v>
      </c>
      <c r="D14" s="255">
        <v>0.24199999999999999</v>
      </c>
      <c r="E14" s="658"/>
      <c r="F14" s="256">
        <v>1</v>
      </c>
      <c r="G14" s="257">
        <v>2</v>
      </c>
      <c r="H14" s="256">
        <v>0.5</v>
      </c>
      <c r="I14" s="257"/>
      <c r="J14" s="257"/>
      <c r="K14" s="257">
        <v>1</v>
      </c>
      <c r="L14" s="257">
        <v>1</v>
      </c>
      <c r="M14" s="258">
        <v>1</v>
      </c>
      <c r="N14" s="155"/>
      <c r="O14" s="259">
        <f t="shared" ref="O14:O51" si="19">SUM(F14:M14)</f>
        <v>6.5</v>
      </c>
      <c r="R14" s="84"/>
      <c r="U14" s="84"/>
      <c r="V14" s="257"/>
      <c r="W14" s="256"/>
      <c r="X14" s="257"/>
      <c r="Y14" s="257"/>
      <c r="Z14" s="257"/>
      <c r="AA14" s="257"/>
      <c r="AB14" s="258"/>
      <c r="AC14" s="258"/>
      <c r="AD14" s="155"/>
      <c r="AE14" s="259"/>
      <c r="AH14" s="84"/>
      <c r="AJ14" s="238"/>
      <c r="AK14" s="238"/>
      <c r="AL14" s="260"/>
      <c r="AM14" s="260"/>
      <c r="AN14" s="260"/>
      <c r="AO14" s="260"/>
      <c r="AP14" s="261"/>
      <c r="AQ14" s="161"/>
      <c r="AR14" s="262"/>
      <c r="AU14" s="84"/>
      <c r="AW14" s="238"/>
      <c r="AX14" s="238"/>
      <c r="AY14" s="260"/>
      <c r="AZ14" s="260"/>
      <c r="BA14" s="260"/>
      <c r="BB14" s="260"/>
      <c r="BC14" s="261"/>
      <c r="BD14" s="161"/>
      <c r="BE14" s="262"/>
      <c r="BH14" s="84"/>
      <c r="BJ14" s="263"/>
      <c r="BK14" s="264">
        <v>1</v>
      </c>
      <c r="BL14" s="264"/>
      <c r="BM14" s="265"/>
      <c r="BN14" s="103"/>
      <c r="BO14" s="266">
        <f t="shared" si="12"/>
        <v>6.5</v>
      </c>
      <c r="BP14" s="266">
        <f t="shared" si="12"/>
        <v>6.5</v>
      </c>
      <c r="BQ14" s="266">
        <f t="shared" si="12"/>
        <v>6.5</v>
      </c>
      <c r="BR14" s="266">
        <f t="shared" si="12"/>
        <v>6.5</v>
      </c>
      <c r="BS14" s="247"/>
      <c r="BT14" s="267">
        <f t="shared" si="13"/>
        <v>0</v>
      </c>
      <c r="BU14" s="268">
        <f t="shared" si="14"/>
        <v>1.6575000000000004</v>
      </c>
      <c r="BV14" s="268">
        <f t="shared" si="15"/>
        <v>46.962499999999999</v>
      </c>
      <c r="BW14" s="268">
        <f t="shared" si="15"/>
        <v>0</v>
      </c>
      <c r="BX14" s="268">
        <f t="shared" si="15"/>
        <v>0</v>
      </c>
      <c r="BY14" s="269">
        <f t="shared" si="16"/>
        <v>6.6300000000000017</v>
      </c>
      <c r="CA14" s="269">
        <f t="shared" si="17"/>
        <v>8.2875000000000014</v>
      </c>
      <c r="CB14" s="270">
        <f t="shared" si="18"/>
        <v>6.5</v>
      </c>
      <c r="CC14" s="270">
        <f t="shared" si="18"/>
        <v>6.5</v>
      </c>
      <c r="CD14" s="270">
        <f t="shared" si="18"/>
        <v>6.5</v>
      </c>
      <c r="CE14" s="271">
        <f t="shared" si="18"/>
        <v>6.5</v>
      </c>
      <c r="CF14" s="654"/>
      <c r="CG14" s="655"/>
      <c r="CH14" s="655"/>
      <c r="CI14" s="656"/>
    </row>
    <row r="15" spans="1:87" ht="14.25" customHeight="1" x14ac:dyDescent="0.2">
      <c r="A15" s="643"/>
      <c r="B15" s="253" t="s">
        <v>204</v>
      </c>
      <c r="C15" s="254" t="s">
        <v>205</v>
      </c>
      <c r="D15" s="255">
        <v>0.121</v>
      </c>
      <c r="E15" s="658"/>
      <c r="F15" s="256">
        <v>1</v>
      </c>
      <c r="G15" s="257">
        <v>2</v>
      </c>
      <c r="H15" s="256">
        <v>0.5</v>
      </c>
      <c r="I15" s="257"/>
      <c r="J15" s="257"/>
      <c r="K15" s="257">
        <v>1</v>
      </c>
      <c r="L15" s="257">
        <v>1</v>
      </c>
      <c r="M15" s="258">
        <v>1</v>
      </c>
      <c r="N15" s="155"/>
      <c r="O15" s="259">
        <f t="shared" si="19"/>
        <v>6.5</v>
      </c>
      <c r="R15" s="84"/>
      <c r="U15" s="84"/>
      <c r="V15" s="257"/>
      <c r="W15" s="256"/>
      <c r="X15" s="257"/>
      <c r="Y15" s="257"/>
      <c r="Z15" s="257"/>
      <c r="AA15" s="257"/>
      <c r="AB15" s="258"/>
      <c r="AC15" s="258"/>
      <c r="AD15" s="155"/>
      <c r="AE15" s="259"/>
      <c r="AH15" s="84"/>
      <c r="AJ15" s="238"/>
      <c r="AK15" s="238"/>
      <c r="AL15" s="260"/>
      <c r="AM15" s="260"/>
      <c r="AN15" s="260"/>
      <c r="AO15" s="260"/>
      <c r="AP15" s="261"/>
      <c r="AQ15" s="161"/>
      <c r="AR15" s="262"/>
      <c r="AU15" s="84"/>
      <c r="AW15" s="238"/>
      <c r="AX15" s="238"/>
      <c r="AY15" s="260"/>
      <c r="AZ15" s="260"/>
      <c r="BA15" s="260"/>
      <c r="BB15" s="260"/>
      <c r="BC15" s="261"/>
      <c r="BD15" s="161"/>
      <c r="BE15" s="262"/>
      <c r="BH15" s="84"/>
      <c r="BJ15" s="263"/>
      <c r="BK15" s="264">
        <v>1</v>
      </c>
      <c r="BL15" s="264"/>
      <c r="BM15" s="265"/>
      <c r="BN15" s="103"/>
      <c r="BO15" s="266">
        <f t="shared" si="12"/>
        <v>6.5</v>
      </c>
      <c r="BP15" s="266">
        <f t="shared" si="12"/>
        <v>6.5</v>
      </c>
      <c r="BQ15" s="266">
        <f t="shared" si="12"/>
        <v>6.5</v>
      </c>
      <c r="BR15" s="266">
        <f t="shared" si="12"/>
        <v>6.5</v>
      </c>
      <c r="BS15" s="247"/>
      <c r="BT15" s="267">
        <f t="shared" si="13"/>
        <v>0</v>
      </c>
      <c r="BU15" s="268">
        <f t="shared" si="14"/>
        <v>1.6575000000000004</v>
      </c>
      <c r="BV15" s="268">
        <f t="shared" si="15"/>
        <v>46.962499999999999</v>
      </c>
      <c r="BW15" s="268">
        <f t="shared" si="15"/>
        <v>0</v>
      </c>
      <c r="BX15" s="268">
        <f t="shared" si="15"/>
        <v>0</v>
      </c>
      <c r="BY15" s="269">
        <f t="shared" si="16"/>
        <v>6.6300000000000017</v>
      </c>
      <c r="CA15" s="269">
        <f t="shared" si="17"/>
        <v>8.2875000000000014</v>
      </c>
      <c r="CB15" s="270">
        <f t="shared" si="18"/>
        <v>6.5</v>
      </c>
      <c r="CC15" s="270">
        <f t="shared" si="18"/>
        <v>6.5</v>
      </c>
      <c r="CD15" s="270">
        <f t="shared" si="18"/>
        <v>6.5</v>
      </c>
      <c r="CE15" s="271">
        <f t="shared" si="18"/>
        <v>6.5</v>
      </c>
      <c r="CF15" s="654"/>
      <c r="CG15" s="655"/>
      <c r="CH15" s="655"/>
      <c r="CI15" s="656"/>
    </row>
    <row r="16" spans="1:87" ht="14.25" customHeight="1" x14ac:dyDescent="0.2">
      <c r="A16" s="643"/>
      <c r="B16" s="253" t="s">
        <v>206</v>
      </c>
      <c r="C16" s="254" t="s">
        <v>207</v>
      </c>
      <c r="D16" s="255">
        <v>1.0999999999999999E-2</v>
      </c>
      <c r="E16" s="658"/>
      <c r="F16" s="256">
        <v>0.5</v>
      </c>
      <c r="G16" s="257">
        <v>1.5</v>
      </c>
      <c r="H16" s="256">
        <v>0.5</v>
      </c>
      <c r="I16" s="257"/>
      <c r="J16" s="257"/>
      <c r="K16" s="257">
        <v>1</v>
      </c>
      <c r="L16" s="257">
        <v>1</v>
      </c>
      <c r="M16" s="258">
        <v>1</v>
      </c>
      <c r="N16" s="155"/>
      <c r="O16" s="259">
        <f t="shared" si="19"/>
        <v>5.5</v>
      </c>
      <c r="R16" s="84"/>
      <c r="U16" s="84"/>
      <c r="V16" s="257"/>
      <c r="W16" s="256"/>
      <c r="X16" s="257"/>
      <c r="Y16" s="257"/>
      <c r="Z16" s="257"/>
      <c r="AA16" s="257"/>
      <c r="AB16" s="258"/>
      <c r="AC16" s="258"/>
      <c r="AD16" s="155"/>
      <c r="AE16" s="259"/>
      <c r="AH16" s="84"/>
      <c r="AJ16" s="238"/>
      <c r="AK16" s="238"/>
      <c r="AL16" s="260"/>
      <c r="AM16" s="260"/>
      <c r="AN16" s="260"/>
      <c r="AO16" s="260"/>
      <c r="AP16" s="261"/>
      <c r="AQ16" s="161"/>
      <c r="AR16" s="262"/>
      <c r="AU16" s="84"/>
      <c r="AW16" s="238"/>
      <c r="AX16" s="238"/>
      <c r="AY16" s="260"/>
      <c r="AZ16" s="260"/>
      <c r="BA16" s="260"/>
      <c r="BB16" s="260"/>
      <c r="BC16" s="261"/>
      <c r="BD16" s="161"/>
      <c r="BE16" s="262"/>
      <c r="BH16" s="84"/>
      <c r="BJ16" s="263"/>
      <c r="BK16" s="264">
        <v>1</v>
      </c>
      <c r="BL16" s="264"/>
      <c r="BM16" s="265"/>
      <c r="BN16" s="103"/>
      <c r="BO16" s="266">
        <f t="shared" si="12"/>
        <v>5.5</v>
      </c>
      <c r="BP16" s="266">
        <f t="shared" si="12"/>
        <v>5.5</v>
      </c>
      <c r="BQ16" s="266">
        <f t="shared" si="12"/>
        <v>5.5</v>
      </c>
      <c r="BR16" s="266">
        <f t="shared" si="12"/>
        <v>5.5</v>
      </c>
      <c r="BS16" s="247"/>
      <c r="BT16" s="267">
        <f t="shared" si="13"/>
        <v>0</v>
      </c>
      <c r="BU16" s="268">
        <f t="shared" si="14"/>
        <v>1.4025000000000003</v>
      </c>
      <c r="BV16" s="268">
        <f t="shared" si="15"/>
        <v>39.737499999999997</v>
      </c>
      <c r="BW16" s="268">
        <f t="shared" si="15"/>
        <v>0</v>
      </c>
      <c r="BX16" s="268">
        <f t="shared" si="15"/>
        <v>0</v>
      </c>
      <c r="BY16" s="269">
        <f t="shared" si="16"/>
        <v>5.6100000000000012</v>
      </c>
      <c r="CA16" s="269">
        <f t="shared" si="17"/>
        <v>7.0125000000000011</v>
      </c>
      <c r="CB16" s="270">
        <f t="shared" si="18"/>
        <v>5.5</v>
      </c>
      <c r="CC16" s="270">
        <f t="shared" si="18"/>
        <v>5.5</v>
      </c>
      <c r="CD16" s="270">
        <f t="shared" si="18"/>
        <v>5.5</v>
      </c>
      <c r="CE16" s="271">
        <f t="shared" si="18"/>
        <v>5.5</v>
      </c>
      <c r="CF16" s="654"/>
      <c r="CG16" s="655"/>
      <c r="CH16" s="655"/>
      <c r="CI16" s="656"/>
    </row>
    <row r="17" spans="1:87" ht="14.25" customHeight="1" x14ac:dyDescent="0.2">
      <c r="A17" s="643"/>
      <c r="B17" s="253" t="s">
        <v>208</v>
      </c>
      <c r="C17" s="254" t="s">
        <v>209</v>
      </c>
      <c r="D17" s="255">
        <v>0.03</v>
      </c>
      <c r="E17" s="658"/>
      <c r="F17" s="256">
        <v>1</v>
      </c>
      <c r="G17" s="257">
        <v>2</v>
      </c>
      <c r="H17" s="256">
        <v>0.5</v>
      </c>
      <c r="I17" s="257"/>
      <c r="J17" s="257"/>
      <c r="K17" s="257">
        <v>1</v>
      </c>
      <c r="L17" s="257">
        <v>1</v>
      </c>
      <c r="M17" s="258">
        <v>1</v>
      </c>
      <c r="N17" s="155"/>
      <c r="O17" s="259">
        <f t="shared" si="19"/>
        <v>6.5</v>
      </c>
      <c r="R17" s="84"/>
      <c r="U17" s="84"/>
      <c r="V17" s="257"/>
      <c r="W17" s="256"/>
      <c r="X17" s="257"/>
      <c r="Y17" s="257"/>
      <c r="Z17" s="257"/>
      <c r="AA17" s="257"/>
      <c r="AB17" s="258"/>
      <c r="AC17" s="258"/>
      <c r="AD17" s="155"/>
      <c r="AE17" s="259"/>
      <c r="AH17" s="84"/>
      <c r="AJ17" s="238"/>
      <c r="AK17" s="238"/>
      <c r="AL17" s="260"/>
      <c r="AM17" s="260"/>
      <c r="AN17" s="260"/>
      <c r="AO17" s="260"/>
      <c r="AP17" s="261"/>
      <c r="AQ17" s="161"/>
      <c r="AR17" s="262"/>
      <c r="AU17" s="84"/>
      <c r="AW17" s="238"/>
      <c r="AX17" s="238"/>
      <c r="AY17" s="260"/>
      <c r="AZ17" s="260"/>
      <c r="BA17" s="260"/>
      <c r="BB17" s="260"/>
      <c r="BC17" s="261"/>
      <c r="BD17" s="161"/>
      <c r="BE17" s="262"/>
      <c r="BH17" s="84"/>
      <c r="BJ17" s="263"/>
      <c r="BK17" s="264">
        <v>1</v>
      </c>
      <c r="BL17" s="264"/>
      <c r="BM17" s="265"/>
      <c r="BN17" s="103"/>
      <c r="BO17" s="266">
        <f t="shared" si="12"/>
        <v>6.5</v>
      </c>
      <c r="BP17" s="266">
        <f t="shared" si="12"/>
        <v>6.5</v>
      </c>
      <c r="BQ17" s="266">
        <f t="shared" si="12"/>
        <v>6.5</v>
      </c>
      <c r="BR17" s="266">
        <f t="shared" si="12"/>
        <v>6.5</v>
      </c>
      <c r="BS17" s="247"/>
      <c r="BT17" s="267">
        <f t="shared" si="13"/>
        <v>0</v>
      </c>
      <c r="BU17" s="268">
        <f t="shared" si="14"/>
        <v>1.6575000000000004</v>
      </c>
      <c r="BV17" s="268">
        <f t="shared" si="15"/>
        <v>46.962499999999999</v>
      </c>
      <c r="BW17" s="268">
        <f t="shared" si="15"/>
        <v>0</v>
      </c>
      <c r="BX17" s="268">
        <f t="shared" si="15"/>
        <v>0</v>
      </c>
      <c r="BY17" s="269">
        <f t="shared" si="16"/>
        <v>6.6300000000000017</v>
      </c>
      <c r="CA17" s="269">
        <f t="shared" si="17"/>
        <v>8.2875000000000014</v>
      </c>
      <c r="CB17" s="270">
        <f t="shared" si="18"/>
        <v>6.5</v>
      </c>
      <c r="CC17" s="270">
        <f t="shared" si="18"/>
        <v>6.5</v>
      </c>
      <c r="CD17" s="270">
        <f t="shared" si="18"/>
        <v>6.5</v>
      </c>
      <c r="CE17" s="271">
        <f t="shared" si="18"/>
        <v>6.5</v>
      </c>
      <c r="CF17" s="654"/>
      <c r="CG17" s="655"/>
      <c r="CH17" s="655"/>
      <c r="CI17" s="656"/>
    </row>
    <row r="18" spans="1:87" ht="14.25" customHeight="1" x14ac:dyDescent="0.2">
      <c r="A18" s="643"/>
      <c r="B18" s="253" t="s">
        <v>210</v>
      </c>
      <c r="C18" s="254" t="s">
        <v>211</v>
      </c>
      <c r="D18" s="255">
        <v>0.02</v>
      </c>
      <c r="E18" s="658"/>
      <c r="F18" s="256">
        <v>1</v>
      </c>
      <c r="G18" s="257">
        <v>2</v>
      </c>
      <c r="H18" s="256">
        <v>0.5</v>
      </c>
      <c r="I18" s="257"/>
      <c r="J18" s="257"/>
      <c r="K18" s="257">
        <v>1</v>
      </c>
      <c r="L18" s="257">
        <v>1</v>
      </c>
      <c r="M18" s="258">
        <v>1</v>
      </c>
      <c r="N18" s="155"/>
      <c r="O18" s="259">
        <f t="shared" si="19"/>
        <v>6.5</v>
      </c>
      <c r="R18" s="84"/>
      <c r="U18" s="84"/>
      <c r="V18" s="257"/>
      <c r="W18" s="256"/>
      <c r="X18" s="257"/>
      <c r="Y18" s="257"/>
      <c r="Z18" s="257"/>
      <c r="AA18" s="257"/>
      <c r="AB18" s="258"/>
      <c r="AC18" s="258"/>
      <c r="AD18" s="155"/>
      <c r="AE18" s="259"/>
      <c r="AH18" s="84"/>
      <c r="AJ18" s="238"/>
      <c r="AK18" s="238"/>
      <c r="AL18" s="260"/>
      <c r="AM18" s="260"/>
      <c r="AN18" s="260"/>
      <c r="AO18" s="260"/>
      <c r="AP18" s="261"/>
      <c r="AQ18" s="161"/>
      <c r="AR18" s="262"/>
      <c r="AU18" s="84"/>
      <c r="AW18" s="238"/>
      <c r="AX18" s="238"/>
      <c r="AY18" s="260"/>
      <c r="AZ18" s="260"/>
      <c r="BA18" s="260"/>
      <c r="BB18" s="260"/>
      <c r="BC18" s="261"/>
      <c r="BD18" s="161"/>
      <c r="BE18" s="262"/>
      <c r="BH18" s="84"/>
      <c r="BJ18" s="263"/>
      <c r="BK18" s="264">
        <v>1</v>
      </c>
      <c r="BL18" s="264"/>
      <c r="BM18" s="265"/>
      <c r="BN18" s="103"/>
      <c r="BO18" s="266">
        <f t="shared" si="12"/>
        <v>6.5</v>
      </c>
      <c r="BP18" s="266">
        <f t="shared" si="12"/>
        <v>6.5</v>
      </c>
      <c r="BQ18" s="266">
        <f t="shared" si="12"/>
        <v>6.5</v>
      </c>
      <c r="BR18" s="266">
        <f t="shared" si="12"/>
        <v>6.5</v>
      </c>
      <c r="BS18" s="247"/>
      <c r="BT18" s="267">
        <f t="shared" si="13"/>
        <v>0</v>
      </c>
      <c r="BU18" s="268">
        <f t="shared" si="14"/>
        <v>1.6575000000000004</v>
      </c>
      <c r="BV18" s="268">
        <f t="shared" si="15"/>
        <v>46.962499999999999</v>
      </c>
      <c r="BW18" s="268">
        <f t="shared" si="15"/>
        <v>0</v>
      </c>
      <c r="BX18" s="268">
        <f t="shared" si="15"/>
        <v>0</v>
      </c>
      <c r="BY18" s="269">
        <f t="shared" si="16"/>
        <v>6.6300000000000017</v>
      </c>
      <c r="CA18" s="269">
        <f t="shared" si="17"/>
        <v>8.2875000000000014</v>
      </c>
      <c r="CB18" s="270">
        <f t="shared" si="18"/>
        <v>6.5</v>
      </c>
      <c r="CC18" s="270">
        <f t="shared" si="18"/>
        <v>6.5</v>
      </c>
      <c r="CD18" s="270">
        <f t="shared" si="18"/>
        <v>6.5</v>
      </c>
      <c r="CE18" s="271">
        <f t="shared" si="18"/>
        <v>6.5</v>
      </c>
      <c r="CF18" s="654"/>
      <c r="CG18" s="655"/>
      <c r="CH18" s="655"/>
      <c r="CI18" s="656"/>
    </row>
    <row r="19" spans="1:87" ht="14.25" customHeight="1" x14ac:dyDescent="0.2">
      <c r="A19" s="643"/>
      <c r="B19" s="253" t="s">
        <v>212</v>
      </c>
      <c r="C19" s="254" t="s">
        <v>213</v>
      </c>
      <c r="D19" s="255">
        <v>0.02</v>
      </c>
      <c r="E19" s="658"/>
      <c r="F19" s="256">
        <v>1</v>
      </c>
      <c r="G19" s="257">
        <v>2</v>
      </c>
      <c r="H19" s="256">
        <v>0.5</v>
      </c>
      <c r="I19" s="257"/>
      <c r="J19" s="257"/>
      <c r="K19" s="257">
        <v>1</v>
      </c>
      <c r="L19" s="257">
        <v>1</v>
      </c>
      <c r="M19" s="258">
        <v>1</v>
      </c>
      <c r="N19" s="155"/>
      <c r="O19" s="259">
        <f t="shared" si="19"/>
        <v>6.5</v>
      </c>
      <c r="R19" s="84"/>
      <c r="U19" s="84"/>
      <c r="V19" s="257"/>
      <c r="W19" s="256"/>
      <c r="X19" s="257"/>
      <c r="Y19" s="257"/>
      <c r="Z19" s="257"/>
      <c r="AA19" s="257"/>
      <c r="AB19" s="258"/>
      <c r="AC19" s="258"/>
      <c r="AD19" s="155"/>
      <c r="AE19" s="259"/>
      <c r="AH19" s="84"/>
      <c r="AJ19" s="238"/>
      <c r="AK19" s="238"/>
      <c r="AL19" s="260"/>
      <c r="AM19" s="260"/>
      <c r="AN19" s="260"/>
      <c r="AO19" s="260"/>
      <c r="AP19" s="261"/>
      <c r="AQ19" s="161"/>
      <c r="AR19" s="262"/>
      <c r="AU19" s="84"/>
      <c r="AW19" s="238"/>
      <c r="AX19" s="238"/>
      <c r="AY19" s="260"/>
      <c r="AZ19" s="260"/>
      <c r="BA19" s="260"/>
      <c r="BB19" s="260"/>
      <c r="BC19" s="261"/>
      <c r="BD19" s="161"/>
      <c r="BE19" s="262"/>
      <c r="BH19" s="84"/>
      <c r="BJ19" s="263"/>
      <c r="BK19" s="264">
        <v>1</v>
      </c>
      <c r="BL19" s="264"/>
      <c r="BM19" s="265"/>
      <c r="BN19" s="103"/>
      <c r="BO19" s="266">
        <f t="shared" si="12"/>
        <v>6.5</v>
      </c>
      <c r="BP19" s="266">
        <f t="shared" si="12"/>
        <v>6.5</v>
      </c>
      <c r="BQ19" s="266">
        <f t="shared" si="12"/>
        <v>6.5</v>
      </c>
      <c r="BR19" s="266">
        <f t="shared" si="12"/>
        <v>6.5</v>
      </c>
      <c r="BS19" s="247"/>
      <c r="BT19" s="267">
        <f t="shared" si="13"/>
        <v>0</v>
      </c>
      <c r="BU19" s="268">
        <f t="shared" si="14"/>
        <v>1.6575000000000004</v>
      </c>
      <c r="BV19" s="268">
        <f t="shared" si="15"/>
        <v>46.962499999999999</v>
      </c>
      <c r="BW19" s="268">
        <f t="shared" si="15"/>
        <v>0</v>
      </c>
      <c r="BX19" s="268">
        <f t="shared" si="15"/>
        <v>0</v>
      </c>
      <c r="BY19" s="269">
        <f t="shared" si="16"/>
        <v>6.6300000000000017</v>
      </c>
      <c r="CA19" s="269">
        <f t="shared" si="17"/>
        <v>8.2875000000000014</v>
      </c>
      <c r="CB19" s="270">
        <f t="shared" si="18"/>
        <v>6.5</v>
      </c>
      <c r="CC19" s="270">
        <f t="shared" si="18"/>
        <v>6.5</v>
      </c>
      <c r="CD19" s="270">
        <f t="shared" si="18"/>
        <v>6.5</v>
      </c>
      <c r="CE19" s="271">
        <f t="shared" si="18"/>
        <v>6.5</v>
      </c>
      <c r="CF19" s="654"/>
      <c r="CG19" s="655"/>
      <c r="CH19" s="655"/>
      <c r="CI19" s="656"/>
    </row>
    <row r="20" spans="1:87" ht="14.25" customHeight="1" x14ac:dyDescent="0.2">
      <c r="A20" s="643"/>
      <c r="B20" s="253" t="s">
        <v>214</v>
      </c>
      <c r="C20" s="254" t="s">
        <v>215</v>
      </c>
      <c r="D20" s="255">
        <v>1.4999999999999999E-2</v>
      </c>
      <c r="E20" s="658"/>
      <c r="F20" s="256">
        <v>0.5</v>
      </c>
      <c r="G20" s="257">
        <v>1.5</v>
      </c>
      <c r="H20" s="256">
        <v>0.5</v>
      </c>
      <c r="I20" s="257"/>
      <c r="J20" s="257"/>
      <c r="K20" s="257">
        <v>1</v>
      </c>
      <c r="L20" s="257">
        <v>1</v>
      </c>
      <c r="M20" s="258">
        <v>1</v>
      </c>
      <c r="N20" s="155"/>
      <c r="O20" s="259">
        <f t="shared" si="19"/>
        <v>5.5</v>
      </c>
      <c r="R20" s="84"/>
      <c r="U20" s="84"/>
      <c r="V20" s="257"/>
      <c r="W20" s="256"/>
      <c r="X20" s="257"/>
      <c r="Y20" s="257"/>
      <c r="Z20" s="257"/>
      <c r="AA20" s="257"/>
      <c r="AB20" s="258"/>
      <c r="AC20" s="258"/>
      <c r="AD20" s="155"/>
      <c r="AE20" s="259"/>
      <c r="AH20" s="84"/>
      <c r="AJ20" s="238"/>
      <c r="AK20" s="238"/>
      <c r="AL20" s="260"/>
      <c r="AM20" s="260"/>
      <c r="AN20" s="260"/>
      <c r="AO20" s="260"/>
      <c r="AP20" s="261"/>
      <c r="AQ20" s="161"/>
      <c r="AR20" s="262"/>
      <c r="AU20" s="84"/>
      <c r="AW20" s="238"/>
      <c r="AX20" s="238"/>
      <c r="AY20" s="260"/>
      <c r="AZ20" s="260"/>
      <c r="BA20" s="260"/>
      <c r="BB20" s="260"/>
      <c r="BC20" s="261"/>
      <c r="BD20" s="161"/>
      <c r="BE20" s="262"/>
      <c r="BH20" s="84"/>
      <c r="BJ20" s="263"/>
      <c r="BK20" s="264">
        <v>1</v>
      </c>
      <c r="BL20" s="264"/>
      <c r="BM20" s="265"/>
      <c r="BN20" s="103"/>
      <c r="BO20" s="266">
        <f t="shared" si="12"/>
        <v>5.5</v>
      </c>
      <c r="BP20" s="266">
        <f t="shared" si="12"/>
        <v>5.5</v>
      </c>
      <c r="BQ20" s="266">
        <f t="shared" si="12"/>
        <v>5.5</v>
      </c>
      <c r="BR20" s="266">
        <f t="shared" si="12"/>
        <v>5.5</v>
      </c>
      <c r="BS20" s="247"/>
      <c r="BT20" s="267">
        <f t="shared" si="13"/>
        <v>0</v>
      </c>
      <c r="BU20" s="268">
        <f t="shared" si="14"/>
        <v>1.4025000000000003</v>
      </c>
      <c r="BV20" s="268">
        <f t="shared" si="15"/>
        <v>39.737499999999997</v>
      </c>
      <c r="BW20" s="268">
        <f t="shared" si="15"/>
        <v>0</v>
      </c>
      <c r="BX20" s="268">
        <f t="shared" si="15"/>
        <v>0</v>
      </c>
      <c r="BY20" s="269">
        <f t="shared" si="16"/>
        <v>5.6100000000000012</v>
      </c>
      <c r="CA20" s="269">
        <f t="shared" si="17"/>
        <v>7.0125000000000011</v>
      </c>
      <c r="CB20" s="270">
        <f t="shared" si="18"/>
        <v>5.5</v>
      </c>
      <c r="CC20" s="270">
        <f t="shared" si="18"/>
        <v>5.5</v>
      </c>
      <c r="CD20" s="270">
        <f t="shared" si="18"/>
        <v>5.5</v>
      </c>
      <c r="CE20" s="271">
        <f t="shared" si="18"/>
        <v>5.5</v>
      </c>
      <c r="CF20" s="272"/>
      <c r="CG20" s="273"/>
      <c r="CH20" s="273"/>
      <c r="CI20" s="274"/>
    </row>
    <row r="21" spans="1:87" ht="14.25" customHeight="1" x14ac:dyDescent="0.25">
      <c r="A21" s="643"/>
      <c r="B21" s="253" t="s">
        <v>216</v>
      </c>
      <c r="C21" s="254" t="s">
        <v>217</v>
      </c>
      <c r="D21" s="255">
        <v>8.1000000000000003E-2</v>
      </c>
      <c r="E21" s="658"/>
      <c r="F21" s="256">
        <v>1</v>
      </c>
      <c r="G21" s="257">
        <v>2</v>
      </c>
      <c r="H21" s="256">
        <v>0.5</v>
      </c>
      <c r="I21" s="257"/>
      <c r="J21" s="257"/>
      <c r="K21" s="257">
        <v>1</v>
      </c>
      <c r="L21" s="257">
        <v>1</v>
      </c>
      <c r="M21" s="258">
        <v>1</v>
      </c>
      <c r="N21" s="155"/>
      <c r="O21" s="259">
        <f t="shared" si="19"/>
        <v>6.5</v>
      </c>
      <c r="R21" s="84"/>
      <c r="U21" s="84"/>
      <c r="V21" s="257"/>
      <c r="W21" s="256"/>
      <c r="X21" s="257"/>
      <c r="Y21" s="257"/>
      <c r="Z21" s="257"/>
      <c r="AA21" s="257"/>
      <c r="AB21" s="258"/>
      <c r="AC21" s="258"/>
      <c r="AD21" s="155"/>
      <c r="AE21" s="259"/>
      <c r="AH21" s="84"/>
      <c r="AJ21" s="238"/>
      <c r="AK21" s="238"/>
      <c r="AL21" s="260"/>
      <c r="AM21" s="260"/>
      <c r="AN21" s="260"/>
      <c r="AO21" s="260"/>
      <c r="AP21" s="261"/>
      <c r="AQ21" s="161"/>
      <c r="AR21" s="262"/>
      <c r="AU21" s="84"/>
      <c r="AW21" s="238"/>
      <c r="AX21" s="238"/>
      <c r="AY21" s="260"/>
      <c r="AZ21" s="260"/>
      <c r="BA21" s="260"/>
      <c r="BB21" s="260"/>
      <c r="BC21" s="261"/>
      <c r="BD21" s="161"/>
      <c r="BE21" s="262"/>
      <c r="BH21" s="84"/>
      <c r="BJ21" s="263"/>
      <c r="BK21" s="264">
        <v>1</v>
      </c>
      <c r="BL21" s="264"/>
      <c r="BM21" s="265"/>
      <c r="BN21" s="103"/>
      <c r="BO21" s="266">
        <f t="shared" si="12"/>
        <v>6.5</v>
      </c>
      <c r="BP21" s="266">
        <f t="shared" si="12"/>
        <v>6.5</v>
      </c>
      <c r="BQ21" s="266">
        <f t="shared" si="12"/>
        <v>6.5</v>
      </c>
      <c r="BR21" s="266">
        <f t="shared" si="12"/>
        <v>6.5</v>
      </c>
      <c r="BS21" s="247"/>
      <c r="BT21" s="267">
        <f t="shared" si="13"/>
        <v>0</v>
      </c>
      <c r="BU21" s="268">
        <f t="shared" si="14"/>
        <v>1.6575000000000004</v>
      </c>
      <c r="BV21" s="268">
        <f t="shared" si="15"/>
        <v>46.962499999999999</v>
      </c>
      <c r="BW21" s="268">
        <f t="shared" si="15"/>
        <v>0</v>
      </c>
      <c r="BX21" s="268">
        <f t="shared" si="15"/>
        <v>0</v>
      </c>
      <c r="BY21" s="269">
        <f t="shared" si="16"/>
        <v>6.6300000000000017</v>
      </c>
      <c r="CA21" s="269">
        <f t="shared" si="17"/>
        <v>8.2875000000000014</v>
      </c>
      <c r="CB21" s="270">
        <f t="shared" si="18"/>
        <v>6.5</v>
      </c>
      <c r="CC21" s="270">
        <f t="shared" si="18"/>
        <v>6.5</v>
      </c>
      <c r="CD21" s="270">
        <f t="shared" si="18"/>
        <v>6.5</v>
      </c>
      <c r="CE21" s="271">
        <f t="shared" si="18"/>
        <v>6.5</v>
      </c>
      <c r="CF21" s="275" t="s">
        <v>218</v>
      </c>
      <c r="CG21" s="276"/>
      <c r="CH21" s="276"/>
      <c r="CI21" s="277">
        <v>0.8</v>
      </c>
    </row>
    <row r="22" spans="1:87" ht="14.25" customHeight="1" x14ac:dyDescent="0.25">
      <c r="A22" s="643"/>
      <c r="B22" s="253" t="s">
        <v>219</v>
      </c>
      <c r="C22" s="254" t="s">
        <v>220</v>
      </c>
      <c r="D22" s="255">
        <v>0.127</v>
      </c>
      <c r="E22" s="658"/>
      <c r="F22" s="256">
        <v>1</v>
      </c>
      <c r="G22" s="257">
        <v>2</v>
      </c>
      <c r="H22" s="256">
        <v>0.5</v>
      </c>
      <c r="I22" s="257"/>
      <c r="J22" s="257"/>
      <c r="K22" s="257">
        <v>1</v>
      </c>
      <c r="L22" s="257">
        <v>1</v>
      </c>
      <c r="M22" s="258">
        <v>1</v>
      </c>
      <c r="N22" s="155"/>
      <c r="O22" s="259">
        <f>SUM(F22:M22)</f>
        <v>6.5</v>
      </c>
      <c r="R22" s="84"/>
      <c r="U22" s="84"/>
      <c r="V22" s="257"/>
      <c r="W22" s="256"/>
      <c r="X22" s="257"/>
      <c r="Y22" s="257"/>
      <c r="Z22" s="257"/>
      <c r="AA22" s="257"/>
      <c r="AB22" s="258"/>
      <c r="AC22" s="258"/>
      <c r="AD22" s="155"/>
      <c r="AE22" s="259"/>
      <c r="AH22" s="84"/>
      <c r="AJ22" s="238"/>
      <c r="AK22" s="238"/>
      <c r="AL22" s="260"/>
      <c r="AM22" s="260"/>
      <c r="AN22" s="260"/>
      <c r="AO22" s="260"/>
      <c r="AP22" s="261"/>
      <c r="AQ22" s="161"/>
      <c r="AR22" s="262"/>
      <c r="AU22" s="84"/>
      <c r="AW22" s="238"/>
      <c r="AX22" s="238"/>
      <c r="AY22" s="260"/>
      <c r="AZ22" s="260"/>
      <c r="BA22" s="260"/>
      <c r="BB22" s="260"/>
      <c r="BC22" s="261"/>
      <c r="BD22" s="161"/>
      <c r="BE22" s="262"/>
      <c r="BH22" s="84"/>
      <c r="BJ22" s="263"/>
      <c r="BK22" s="264">
        <v>1</v>
      </c>
      <c r="BL22" s="264"/>
      <c r="BM22" s="265"/>
      <c r="BN22" s="103"/>
      <c r="BO22" s="266">
        <f t="shared" si="12"/>
        <v>6.5</v>
      </c>
      <c r="BP22" s="266">
        <f t="shared" si="12"/>
        <v>6.5</v>
      </c>
      <c r="BQ22" s="266">
        <f t="shared" si="12"/>
        <v>6.5</v>
      </c>
      <c r="BR22" s="266">
        <f t="shared" si="12"/>
        <v>6.5</v>
      </c>
      <c r="BS22" s="247"/>
      <c r="BT22" s="267">
        <f t="shared" si="13"/>
        <v>0</v>
      </c>
      <c r="BU22" s="268">
        <f t="shared" si="14"/>
        <v>1.6575000000000004</v>
      </c>
      <c r="BV22" s="268">
        <f t="shared" si="15"/>
        <v>46.962499999999999</v>
      </c>
      <c r="BW22" s="268">
        <f t="shared" si="15"/>
        <v>0</v>
      </c>
      <c r="BX22" s="268">
        <f t="shared" si="15"/>
        <v>0</v>
      </c>
      <c r="BY22" s="269">
        <f t="shared" si="16"/>
        <v>6.6300000000000017</v>
      </c>
      <c r="CA22" s="269">
        <f t="shared" si="17"/>
        <v>8.2875000000000014</v>
      </c>
      <c r="CB22" s="270">
        <f t="shared" si="18"/>
        <v>6.5</v>
      </c>
      <c r="CC22" s="270">
        <f t="shared" si="18"/>
        <v>6.5</v>
      </c>
      <c r="CD22" s="270">
        <f t="shared" si="18"/>
        <v>6.5</v>
      </c>
      <c r="CE22" s="271">
        <f t="shared" si="18"/>
        <v>6.5</v>
      </c>
      <c r="CF22" s="275" t="s">
        <v>221</v>
      </c>
      <c r="CG22" s="276"/>
      <c r="CH22" s="276"/>
      <c r="CI22" s="277">
        <v>0.2</v>
      </c>
    </row>
    <row r="23" spans="1:87" ht="14.25" customHeight="1" x14ac:dyDescent="0.2">
      <c r="A23" s="643"/>
      <c r="B23" s="253" t="s">
        <v>222</v>
      </c>
      <c r="C23" s="254" t="s">
        <v>223</v>
      </c>
      <c r="D23" s="255">
        <v>0.03</v>
      </c>
      <c r="E23" s="658"/>
      <c r="F23" s="256">
        <v>0.5</v>
      </c>
      <c r="G23" s="257">
        <v>1.5</v>
      </c>
      <c r="H23" s="256">
        <v>0.5</v>
      </c>
      <c r="I23" s="257"/>
      <c r="J23" s="257"/>
      <c r="K23" s="257">
        <v>1</v>
      </c>
      <c r="L23" s="257">
        <v>1</v>
      </c>
      <c r="M23" s="258">
        <v>1</v>
      </c>
      <c r="N23" s="155"/>
      <c r="O23" s="259">
        <f t="shared" si="19"/>
        <v>5.5</v>
      </c>
      <c r="R23" s="84"/>
      <c r="U23" s="84"/>
      <c r="V23" s="257"/>
      <c r="W23" s="256"/>
      <c r="X23" s="257"/>
      <c r="Y23" s="257"/>
      <c r="Z23" s="257"/>
      <c r="AA23" s="257"/>
      <c r="AB23" s="258"/>
      <c r="AC23" s="258"/>
      <c r="AD23" s="155"/>
      <c r="AE23" s="259"/>
      <c r="AH23" s="84"/>
      <c r="AJ23" s="238"/>
      <c r="AK23" s="238"/>
      <c r="AL23" s="260"/>
      <c r="AM23" s="260"/>
      <c r="AN23" s="260"/>
      <c r="AO23" s="260"/>
      <c r="AP23" s="261"/>
      <c r="AQ23" s="161"/>
      <c r="AR23" s="262"/>
      <c r="AU23" s="84"/>
      <c r="AW23" s="238"/>
      <c r="AX23" s="238"/>
      <c r="AY23" s="260"/>
      <c r="AZ23" s="260"/>
      <c r="BA23" s="260"/>
      <c r="BB23" s="260"/>
      <c r="BC23" s="261"/>
      <c r="BD23" s="161"/>
      <c r="BE23" s="262"/>
      <c r="BH23" s="84"/>
      <c r="BJ23" s="263"/>
      <c r="BK23" s="264">
        <v>1</v>
      </c>
      <c r="BL23" s="264"/>
      <c r="BM23" s="265"/>
      <c r="BN23" s="103"/>
      <c r="BO23" s="266">
        <f t="shared" si="12"/>
        <v>5.5</v>
      </c>
      <c r="BP23" s="266">
        <f t="shared" si="12"/>
        <v>5.5</v>
      </c>
      <c r="BQ23" s="266">
        <f t="shared" si="12"/>
        <v>5.5</v>
      </c>
      <c r="BR23" s="266">
        <f t="shared" si="12"/>
        <v>5.5</v>
      </c>
      <c r="BS23" s="247"/>
      <c r="BT23" s="267">
        <f t="shared" si="13"/>
        <v>0</v>
      </c>
      <c r="BU23" s="268">
        <f t="shared" si="14"/>
        <v>1.4025000000000003</v>
      </c>
      <c r="BV23" s="268">
        <f t="shared" si="15"/>
        <v>39.737499999999997</v>
      </c>
      <c r="BW23" s="268">
        <f t="shared" si="15"/>
        <v>0</v>
      </c>
      <c r="BX23" s="268">
        <f t="shared" si="15"/>
        <v>0</v>
      </c>
      <c r="BY23" s="269">
        <f t="shared" si="16"/>
        <v>5.6100000000000012</v>
      </c>
      <c r="CA23" s="269">
        <f t="shared" si="17"/>
        <v>7.0125000000000011</v>
      </c>
      <c r="CB23" s="270">
        <f t="shared" si="18"/>
        <v>5.5</v>
      </c>
      <c r="CC23" s="270">
        <f t="shared" si="18"/>
        <v>5.5</v>
      </c>
      <c r="CD23" s="270">
        <f t="shared" si="18"/>
        <v>5.5</v>
      </c>
      <c r="CE23" s="271">
        <f t="shared" si="18"/>
        <v>5.5</v>
      </c>
      <c r="CF23" s="272"/>
      <c r="CG23" s="273"/>
      <c r="CH23" s="273"/>
      <c r="CI23" s="274"/>
    </row>
    <row r="24" spans="1:87" ht="14.25" customHeight="1" x14ac:dyDescent="0.2">
      <c r="A24" s="643"/>
      <c r="B24" s="253" t="s">
        <v>224</v>
      </c>
      <c r="C24" s="254" t="s">
        <v>225</v>
      </c>
      <c r="D24" s="255">
        <v>2.1999999999999999E-2</v>
      </c>
      <c r="E24" s="658"/>
      <c r="F24" s="256">
        <v>1</v>
      </c>
      <c r="G24" s="257">
        <v>2</v>
      </c>
      <c r="H24" s="256">
        <v>0.5</v>
      </c>
      <c r="I24" s="257"/>
      <c r="J24" s="257"/>
      <c r="K24" s="257">
        <v>1</v>
      </c>
      <c r="L24" s="257">
        <v>1</v>
      </c>
      <c r="M24" s="258">
        <v>1</v>
      </c>
      <c r="N24" s="155"/>
      <c r="O24" s="259">
        <f t="shared" si="19"/>
        <v>6.5</v>
      </c>
      <c r="R24" s="84"/>
      <c r="U24" s="84"/>
      <c r="V24" s="257"/>
      <c r="W24" s="256"/>
      <c r="X24" s="257"/>
      <c r="Y24" s="257"/>
      <c r="Z24" s="257"/>
      <c r="AA24" s="257"/>
      <c r="AB24" s="258"/>
      <c r="AC24" s="258"/>
      <c r="AD24" s="155"/>
      <c r="AE24" s="259"/>
      <c r="AH24" s="84"/>
      <c r="AJ24" s="238"/>
      <c r="AK24" s="238"/>
      <c r="AL24" s="260"/>
      <c r="AM24" s="260"/>
      <c r="AN24" s="260"/>
      <c r="AO24" s="260"/>
      <c r="AP24" s="261"/>
      <c r="AQ24" s="161"/>
      <c r="AR24" s="262"/>
      <c r="AU24" s="84"/>
      <c r="AW24" s="238"/>
      <c r="AX24" s="238"/>
      <c r="AY24" s="260"/>
      <c r="AZ24" s="260"/>
      <c r="BA24" s="260"/>
      <c r="BB24" s="260"/>
      <c r="BC24" s="261"/>
      <c r="BD24" s="161"/>
      <c r="BE24" s="262"/>
      <c r="BH24" s="84"/>
      <c r="BJ24" s="263"/>
      <c r="BK24" s="264">
        <v>1</v>
      </c>
      <c r="BL24" s="264"/>
      <c r="BM24" s="265"/>
      <c r="BN24" s="103"/>
      <c r="BO24" s="266">
        <f t="shared" si="12"/>
        <v>6.5</v>
      </c>
      <c r="BP24" s="266">
        <f t="shared" si="12"/>
        <v>6.5</v>
      </c>
      <c r="BQ24" s="266">
        <f t="shared" si="12"/>
        <v>6.5</v>
      </c>
      <c r="BR24" s="266">
        <f t="shared" si="12"/>
        <v>6.5</v>
      </c>
      <c r="BS24" s="247"/>
      <c r="BT24" s="267">
        <f t="shared" si="13"/>
        <v>0</v>
      </c>
      <c r="BU24" s="268">
        <f t="shared" si="14"/>
        <v>1.6575000000000004</v>
      </c>
      <c r="BV24" s="268">
        <f t="shared" si="15"/>
        <v>46.962499999999999</v>
      </c>
      <c r="BW24" s="268">
        <f t="shared" si="15"/>
        <v>0</v>
      </c>
      <c r="BX24" s="268">
        <f t="shared" si="15"/>
        <v>0</v>
      </c>
      <c r="BY24" s="269">
        <f t="shared" si="16"/>
        <v>6.6300000000000017</v>
      </c>
      <c r="CA24" s="269">
        <f t="shared" si="17"/>
        <v>8.2875000000000014</v>
      </c>
      <c r="CB24" s="270">
        <f t="shared" si="18"/>
        <v>6.5</v>
      </c>
      <c r="CC24" s="270">
        <f t="shared" si="18"/>
        <v>6.5</v>
      </c>
      <c r="CD24" s="270">
        <f t="shared" si="18"/>
        <v>6.5</v>
      </c>
      <c r="CE24" s="271">
        <f t="shared" si="18"/>
        <v>6.5</v>
      </c>
      <c r="CF24" s="278"/>
      <c r="CG24" s="279"/>
      <c r="CH24" s="279"/>
      <c r="CI24" s="280"/>
    </row>
    <row r="25" spans="1:87" ht="15" x14ac:dyDescent="0.25">
      <c r="A25" s="643"/>
      <c r="B25" s="253" t="s">
        <v>226</v>
      </c>
      <c r="C25" s="254" t="s">
        <v>227</v>
      </c>
      <c r="D25" s="255">
        <v>5.5E-2</v>
      </c>
      <c r="E25" s="658"/>
      <c r="F25" s="256">
        <v>1</v>
      </c>
      <c r="G25" s="257">
        <v>2</v>
      </c>
      <c r="H25" s="256">
        <v>0.5</v>
      </c>
      <c r="I25" s="257"/>
      <c r="J25" s="257"/>
      <c r="K25" s="257">
        <v>1</v>
      </c>
      <c r="L25" s="257">
        <v>1</v>
      </c>
      <c r="M25" s="258">
        <v>1</v>
      </c>
      <c r="N25" s="155"/>
      <c r="O25" s="259">
        <f t="shared" si="19"/>
        <v>6.5</v>
      </c>
      <c r="R25" s="84"/>
      <c r="U25" s="84"/>
      <c r="V25" s="257"/>
      <c r="W25" s="256"/>
      <c r="X25" s="257"/>
      <c r="Y25" s="257"/>
      <c r="Z25" s="257"/>
      <c r="AA25" s="257"/>
      <c r="AB25" s="258"/>
      <c r="AC25" s="258"/>
      <c r="AD25" s="155"/>
      <c r="AE25" s="259"/>
      <c r="AH25" s="84"/>
      <c r="AJ25" s="238"/>
      <c r="AK25" s="238"/>
      <c r="AL25" s="260"/>
      <c r="AM25" s="260"/>
      <c r="AN25" s="260"/>
      <c r="AO25" s="260"/>
      <c r="AP25" s="261"/>
      <c r="AQ25" s="161"/>
      <c r="AR25" s="262"/>
      <c r="AU25" s="84"/>
      <c r="AW25" s="238"/>
      <c r="AX25" s="238"/>
      <c r="AY25" s="260"/>
      <c r="AZ25" s="260"/>
      <c r="BA25" s="260"/>
      <c r="BB25" s="260"/>
      <c r="BC25" s="261"/>
      <c r="BD25" s="161"/>
      <c r="BE25" s="262"/>
      <c r="BH25" s="84"/>
      <c r="BJ25" s="263"/>
      <c r="BK25" s="264">
        <v>1</v>
      </c>
      <c r="BL25" s="264"/>
      <c r="BM25" s="265"/>
      <c r="BN25" s="103"/>
      <c r="BO25" s="266">
        <f t="shared" si="12"/>
        <v>6.5</v>
      </c>
      <c r="BP25" s="266">
        <f t="shared" si="12"/>
        <v>6.5</v>
      </c>
      <c r="BQ25" s="266">
        <f t="shared" si="12"/>
        <v>6.5</v>
      </c>
      <c r="BR25" s="266">
        <f t="shared" si="12"/>
        <v>6.5</v>
      </c>
      <c r="BS25" s="247"/>
      <c r="BT25" s="267">
        <f t="shared" si="13"/>
        <v>0</v>
      </c>
      <c r="BU25" s="268">
        <f t="shared" si="14"/>
        <v>1.6575000000000004</v>
      </c>
      <c r="BV25" s="268">
        <f t="shared" si="15"/>
        <v>46.962499999999999</v>
      </c>
      <c r="BW25" s="268">
        <f t="shared" si="15"/>
        <v>0</v>
      </c>
      <c r="BX25" s="268">
        <f t="shared" si="15"/>
        <v>0</v>
      </c>
      <c r="BY25" s="269">
        <f t="shared" si="16"/>
        <v>6.6300000000000017</v>
      </c>
      <c r="CA25" s="269">
        <f t="shared" si="17"/>
        <v>8.2875000000000014</v>
      </c>
      <c r="CB25" s="270">
        <f t="shared" si="18"/>
        <v>6.5</v>
      </c>
      <c r="CC25" s="270">
        <f t="shared" si="18"/>
        <v>6.5</v>
      </c>
      <c r="CD25" s="270">
        <f t="shared" si="18"/>
        <v>6.5</v>
      </c>
      <c r="CE25" s="271">
        <f t="shared" si="18"/>
        <v>6.5</v>
      </c>
      <c r="CF25" s="660" t="s">
        <v>228</v>
      </c>
      <c r="CG25" s="661"/>
      <c r="CH25" s="281">
        <v>0.1</v>
      </c>
      <c r="CI25" s="282"/>
    </row>
    <row r="26" spans="1:87" ht="15.75" thickBot="1" x14ac:dyDescent="0.3">
      <c r="A26" s="643"/>
      <c r="B26" s="253" t="s">
        <v>229</v>
      </c>
      <c r="C26" s="254" t="s">
        <v>230</v>
      </c>
      <c r="D26" s="255">
        <v>2.1000000000000001E-2</v>
      </c>
      <c r="E26" s="658"/>
      <c r="F26" s="256">
        <v>0.5</v>
      </c>
      <c r="G26" s="257">
        <v>1.5</v>
      </c>
      <c r="H26" s="256">
        <v>0.5</v>
      </c>
      <c r="I26" s="257"/>
      <c r="J26" s="257"/>
      <c r="K26" s="257">
        <v>1</v>
      </c>
      <c r="L26" s="257">
        <v>1</v>
      </c>
      <c r="M26" s="258">
        <v>1</v>
      </c>
      <c r="N26" s="155"/>
      <c r="O26" s="259">
        <f t="shared" si="19"/>
        <v>5.5</v>
      </c>
      <c r="R26" s="84"/>
      <c r="U26" s="84"/>
      <c r="V26" s="257"/>
      <c r="W26" s="256"/>
      <c r="X26" s="257"/>
      <c r="Y26" s="257"/>
      <c r="Z26" s="257"/>
      <c r="AA26" s="257"/>
      <c r="AB26" s="258"/>
      <c r="AC26" s="258"/>
      <c r="AD26" s="155"/>
      <c r="AE26" s="259"/>
      <c r="AH26" s="84"/>
      <c r="AJ26" s="238"/>
      <c r="AK26" s="238"/>
      <c r="AL26" s="260"/>
      <c r="AM26" s="260"/>
      <c r="AN26" s="260"/>
      <c r="AO26" s="260"/>
      <c r="AP26" s="261"/>
      <c r="AQ26" s="161"/>
      <c r="AR26" s="262"/>
      <c r="AU26" s="84"/>
      <c r="AW26" s="238"/>
      <c r="AX26" s="238"/>
      <c r="AY26" s="260"/>
      <c r="AZ26" s="260"/>
      <c r="BA26" s="260"/>
      <c r="BB26" s="260"/>
      <c r="BC26" s="261"/>
      <c r="BD26" s="161"/>
      <c r="BE26" s="262"/>
      <c r="BH26" s="84"/>
      <c r="BJ26" s="263"/>
      <c r="BK26" s="264">
        <v>1</v>
      </c>
      <c r="BL26" s="264"/>
      <c r="BM26" s="265"/>
      <c r="BN26" s="103"/>
      <c r="BO26" s="266">
        <f t="shared" si="12"/>
        <v>5.5</v>
      </c>
      <c r="BP26" s="266">
        <f t="shared" si="12"/>
        <v>5.5</v>
      </c>
      <c r="BQ26" s="266">
        <f t="shared" si="12"/>
        <v>5.5</v>
      </c>
      <c r="BR26" s="266">
        <f t="shared" si="12"/>
        <v>5.5</v>
      </c>
      <c r="BS26" s="247"/>
      <c r="BT26" s="267">
        <f t="shared" si="13"/>
        <v>0</v>
      </c>
      <c r="BU26" s="268">
        <f t="shared" si="14"/>
        <v>1.4025000000000003</v>
      </c>
      <c r="BV26" s="268">
        <f t="shared" si="15"/>
        <v>39.737499999999997</v>
      </c>
      <c r="BW26" s="268">
        <f t="shared" si="15"/>
        <v>0</v>
      </c>
      <c r="BX26" s="268">
        <f t="shared" si="15"/>
        <v>0</v>
      </c>
      <c r="BY26" s="269">
        <f t="shared" si="16"/>
        <v>5.6100000000000012</v>
      </c>
      <c r="CA26" s="269">
        <f t="shared" si="17"/>
        <v>7.0125000000000011</v>
      </c>
      <c r="CB26" s="270">
        <f t="shared" si="18"/>
        <v>5.5</v>
      </c>
      <c r="CC26" s="270">
        <f t="shared" si="18"/>
        <v>5.5</v>
      </c>
      <c r="CD26" s="270">
        <f t="shared" si="18"/>
        <v>5.5</v>
      </c>
      <c r="CE26" s="271">
        <f t="shared" si="18"/>
        <v>5.5</v>
      </c>
      <c r="CF26" s="662" t="s">
        <v>231</v>
      </c>
      <c r="CG26" s="663"/>
      <c r="CH26" s="283">
        <v>0.05</v>
      </c>
      <c r="CI26" s="284"/>
    </row>
    <row r="27" spans="1:87" ht="14.25" customHeight="1" x14ac:dyDescent="0.2">
      <c r="A27" s="643"/>
      <c r="B27" s="285" t="s">
        <v>232</v>
      </c>
      <c r="C27" s="286">
        <v>6.21</v>
      </c>
      <c r="D27" s="287">
        <v>2.1999999999999999E-2</v>
      </c>
      <c r="E27" s="658"/>
      <c r="F27" s="288">
        <v>0.5</v>
      </c>
      <c r="G27" s="289">
        <v>2</v>
      </c>
      <c r="H27" s="288">
        <v>0.5</v>
      </c>
      <c r="I27" s="290"/>
      <c r="J27" s="290"/>
      <c r="K27" s="289">
        <v>3</v>
      </c>
      <c r="L27" s="289">
        <v>2</v>
      </c>
      <c r="M27" s="291">
        <v>1</v>
      </c>
      <c r="N27" s="155"/>
      <c r="O27" s="292">
        <f t="shared" si="19"/>
        <v>9</v>
      </c>
      <c r="R27" s="84"/>
      <c r="U27" s="84"/>
      <c r="V27" s="289"/>
      <c r="W27" s="288"/>
      <c r="X27" s="290"/>
      <c r="Y27" s="290"/>
      <c r="Z27" s="289"/>
      <c r="AA27" s="289"/>
      <c r="AB27" s="291"/>
      <c r="AC27" s="291"/>
      <c r="AD27" s="155"/>
      <c r="AE27" s="292"/>
      <c r="AH27" s="84"/>
      <c r="AJ27" s="293"/>
      <c r="AK27" s="293"/>
      <c r="AL27" s="294"/>
      <c r="AM27" s="294"/>
      <c r="AN27" s="295"/>
      <c r="AO27" s="295"/>
      <c r="AP27" s="296"/>
      <c r="AQ27" s="161"/>
      <c r="AR27" s="297"/>
      <c r="AU27" s="84"/>
      <c r="AW27" s="293"/>
      <c r="AX27" s="293"/>
      <c r="AY27" s="294"/>
      <c r="AZ27" s="294"/>
      <c r="BA27" s="295"/>
      <c r="BB27" s="295"/>
      <c r="BC27" s="296"/>
      <c r="BD27" s="161"/>
      <c r="BE27" s="297"/>
      <c r="BH27" s="84"/>
      <c r="BJ27" s="298"/>
      <c r="BK27" s="299">
        <v>0.1</v>
      </c>
      <c r="BL27" s="299">
        <v>0.9</v>
      </c>
      <c r="BM27" s="300"/>
      <c r="BN27" s="103"/>
      <c r="BO27" s="301">
        <f t="shared" si="12"/>
        <v>9</v>
      </c>
      <c r="BP27" s="301">
        <f t="shared" si="12"/>
        <v>9</v>
      </c>
      <c r="BQ27" s="301">
        <f t="shared" si="12"/>
        <v>9</v>
      </c>
      <c r="BR27" s="301">
        <f t="shared" si="12"/>
        <v>9</v>
      </c>
      <c r="BS27" s="103"/>
      <c r="BT27" s="302">
        <f t="shared" si="13"/>
        <v>0</v>
      </c>
      <c r="BU27" s="303">
        <f t="shared" si="14"/>
        <v>2.2950000000000004</v>
      </c>
      <c r="BV27" s="303">
        <f t="shared" si="15"/>
        <v>6.5025000000000013</v>
      </c>
      <c r="BW27" s="303">
        <f t="shared" si="15"/>
        <v>58.522500000000008</v>
      </c>
      <c r="BX27" s="303">
        <f t="shared" si="15"/>
        <v>0</v>
      </c>
      <c r="BY27" s="304">
        <f t="shared" si="16"/>
        <v>9.1800000000000015</v>
      </c>
      <c r="CA27" s="304">
        <f t="shared" si="17"/>
        <v>11.475000000000001</v>
      </c>
      <c r="CB27" s="305">
        <f t="shared" si="18"/>
        <v>9</v>
      </c>
      <c r="CC27" s="305">
        <f t="shared" si="18"/>
        <v>9</v>
      </c>
      <c r="CD27" s="305">
        <f t="shared" si="18"/>
        <v>9</v>
      </c>
      <c r="CE27" s="305">
        <f t="shared" si="18"/>
        <v>9</v>
      </c>
      <c r="CI27" s="306"/>
    </row>
    <row r="28" spans="1:87" ht="14.25" customHeight="1" x14ac:dyDescent="0.2">
      <c r="A28" s="643"/>
      <c r="B28" s="285" t="s">
        <v>233</v>
      </c>
      <c r="C28" s="286">
        <v>6.3</v>
      </c>
      <c r="D28" s="287">
        <v>0.24</v>
      </c>
      <c r="E28" s="658"/>
      <c r="F28" s="288">
        <v>1</v>
      </c>
      <c r="G28" s="289">
        <v>3</v>
      </c>
      <c r="H28" s="288">
        <v>0.5</v>
      </c>
      <c r="I28" s="290"/>
      <c r="J28" s="290"/>
      <c r="K28" s="289">
        <v>3</v>
      </c>
      <c r="L28" s="289">
        <v>2</v>
      </c>
      <c r="M28" s="291">
        <v>1</v>
      </c>
      <c r="N28" s="155"/>
      <c r="O28" s="292">
        <f t="shared" si="19"/>
        <v>10.5</v>
      </c>
      <c r="R28" s="84"/>
      <c r="U28" s="84"/>
      <c r="V28" s="289"/>
      <c r="W28" s="288"/>
      <c r="X28" s="290"/>
      <c r="Y28" s="290"/>
      <c r="Z28" s="289"/>
      <c r="AA28" s="289"/>
      <c r="AB28" s="291"/>
      <c r="AC28" s="291"/>
      <c r="AD28" s="155"/>
      <c r="AE28" s="292"/>
      <c r="AH28" s="84"/>
      <c r="AJ28" s="293"/>
      <c r="AK28" s="293"/>
      <c r="AL28" s="294"/>
      <c r="AM28" s="294"/>
      <c r="AN28" s="295"/>
      <c r="AO28" s="295"/>
      <c r="AP28" s="296"/>
      <c r="AQ28" s="161"/>
      <c r="AR28" s="297"/>
      <c r="AU28" s="84"/>
      <c r="AW28" s="293"/>
      <c r="AX28" s="293"/>
      <c r="AY28" s="294"/>
      <c r="AZ28" s="294"/>
      <c r="BA28" s="295"/>
      <c r="BB28" s="295"/>
      <c r="BC28" s="296"/>
      <c r="BD28" s="161"/>
      <c r="BE28" s="297"/>
      <c r="BH28" s="84"/>
      <c r="BJ28" s="298"/>
      <c r="BK28" s="299">
        <v>0.1</v>
      </c>
      <c r="BL28" s="299">
        <v>0.9</v>
      </c>
      <c r="BM28" s="300"/>
      <c r="BN28" s="103"/>
      <c r="BO28" s="301">
        <f t="shared" si="12"/>
        <v>10.5</v>
      </c>
      <c r="BP28" s="301">
        <f t="shared" si="12"/>
        <v>10.5</v>
      </c>
      <c r="BQ28" s="301">
        <f t="shared" si="12"/>
        <v>10.5</v>
      </c>
      <c r="BR28" s="301">
        <f t="shared" si="12"/>
        <v>10.5</v>
      </c>
      <c r="BS28" s="103"/>
      <c r="BT28" s="302">
        <f t="shared" si="13"/>
        <v>0</v>
      </c>
      <c r="BU28" s="303">
        <f t="shared" si="14"/>
        <v>2.6775000000000002</v>
      </c>
      <c r="BV28" s="303">
        <f t="shared" si="15"/>
        <v>7.5862499999999997</v>
      </c>
      <c r="BW28" s="303">
        <f t="shared" si="15"/>
        <v>68.276250000000005</v>
      </c>
      <c r="BX28" s="303">
        <f t="shared" si="15"/>
        <v>0</v>
      </c>
      <c r="BY28" s="304">
        <f t="shared" si="16"/>
        <v>10.71</v>
      </c>
      <c r="CA28" s="304">
        <f t="shared" si="17"/>
        <v>13.387500000000001</v>
      </c>
      <c r="CB28" s="305">
        <f t="shared" si="18"/>
        <v>10.5</v>
      </c>
      <c r="CC28" s="305">
        <f t="shared" si="18"/>
        <v>10.5</v>
      </c>
      <c r="CD28" s="305">
        <f t="shared" si="18"/>
        <v>10.5</v>
      </c>
      <c r="CE28" s="305">
        <f t="shared" si="18"/>
        <v>10.5</v>
      </c>
    </row>
    <row r="29" spans="1:87" ht="14.25" customHeight="1" x14ac:dyDescent="0.2">
      <c r="A29" s="643"/>
      <c r="B29" s="285" t="s">
        <v>234</v>
      </c>
      <c r="C29" s="307">
        <v>6.3010000000000002</v>
      </c>
      <c r="D29" s="287">
        <v>0.218</v>
      </c>
      <c r="E29" s="658"/>
      <c r="F29" s="288">
        <v>1</v>
      </c>
      <c r="G29" s="289">
        <v>3</v>
      </c>
      <c r="H29" s="288">
        <v>0.5</v>
      </c>
      <c r="I29" s="290"/>
      <c r="J29" s="290"/>
      <c r="K29" s="289">
        <v>3</v>
      </c>
      <c r="L29" s="289">
        <v>2</v>
      </c>
      <c r="M29" s="291">
        <v>1</v>
      </c>
      <c r="N29" s="155"/>
      <c r="O29" s="292">
        <f t="shared" si="19"/>
        <v>10.5</v>
      </c>
      <c r="R29" s="84"/>
      <c r="U29" s="84"/>
      <c r="V29" s="289"/>
      <c r="W29" s="288"/>
      <c r="X29" s="290"/>
      <c r="Y29" s="290"/>
      <c r="Z29" s="289"/>
      <c r="AA29" s="289"/>
      <c r="AB29" s="291"/>
      <c r="AC29" s="291"/>
      <c r="AD29" s="155"/>
      <c r="AE29" s="292"/>
      <c r="AH29" s="84"/>
      <c r="AJ29" s="293"/>
      <c r="AK29" s="293"/>
      <c r="AL29" s="294"/>
      <c r="AM29" s="294"/>
      <c r="AN29" s="295"/>
      <c r="AO29" s="295"/>
      <c r="AP29" s="296"/>
      <c r="AQ29" s="161"/>
      <c r="AR29" s="297"/>
      <c r="AU29" s="84"/>
      <c r="AW29" s="293"/>
      <c r="AX29" s="293"/>
      <c r="AY29" s="294"/>
      <c r="AZ29" s="294"/>
      <c r="BA29" s="295"/>
      <c r="BB29" s="295"/>
      <c r="BC29" s="296"/>
      <c r="BD29" s="161"/>
      <c r="BE29" s="297"/>
      <c r="BH29" s="84"/>
      <c r="BJ29" s="298"/>
      <c r="BK29" s="299">
        <v>0.1</v>
      </c>
      <c r="BL29" s="299">
        <v>0.9</v>
      </c>
      <c r="BM29" s="300"/>
      <c r="BN29" s="103"/>
      <c r="BO29" s="301">
        <f t="shared" ref="BO29:BR51" si="20">$O29+$AE29+$AR29+$BE29</f>
        <v>10.5</v>
      </c>
      <c r="BP29" s="301">
        <f t="shared" si="20"/>
        <v>10.5</v>
      </c>
      <c r="BQ29" s="301">
        <f t="shared" si="20"/>
        <v>10.5</v>
      </c>
      <c r="BR29" s="301">
        <f t="shared" si="20"/>
        <v>10.5</v>
      </c>
      <c r="BS29" s="103"/>
      <c r="BT29" s="302">
        <f t="shared" si="13"/>
        <v>0</v>
      </c>
      <c r="BU29" s="303">
        <f t="shared" si="14"/>
        <v>2.6775000000000002</v>
      </c>
      <c r="BV29" s="303">
        <f t="shared" si="15"/>
        <v>7.5862499999999997</v>
      </c>
      <c r="BW29" s="303">
        <f t="shared" si="15"/>
        <v>68.276250000000005</v>
      </c>
      <c r="BX29" s="303">
        <f t="shared" si="15"/>
        <v>0</v>
      </c>
      <c r="BY29" s="304">
        <f t="shared" si="16"/>
        <v>10.71</v>
      </c>
      <c r="CA29" s="304">
        <f t="shared" si="17"/>
        <v>13.387500000000001</v>
      </c>
      <c r="CB29" s="305">
        <f t="shared" si="18"/>
        <v>10.5</v>
      </c>
      <c r="CC29" s="305">
        <f t="shared" si="18"/>
        <v>10.5</v>
      </c>
      <c r="CD29" s="305">
        <f t="shared" si="18"/>
        <v>10.5</v>
      </c>
      <c r="CE29" s="305">
        <f t="shared" si="18"/>
        <v>10.5</v>
      </c>
    </row>
    <row r="30" spans="1:87" ht="14.25" customHeight="1" x14ac:dyDescent="0.2">
      <c r="A30" s="643"/>
      <c r="B30" s="285" t="s">
        <v>235</v>
      </c>
      <c r="C30" s="286">
        <v>6.3019999999999996</v>
      </c>
      <c r="D30" s="287">
        <v>1.2E-2</v>
      </c>
      <c r="E30" s="658"/>
      <c r="F30" s="288">
        <v>0.5</v>
      </c>
      <c r="G30" s="289">
        <v>2</v>
      </c>
      <c r="H30" s="288">
        <v>0.5</v>
      </c>
      <c r="I30" s="290"/>
      <c r="J30" s="290"/>
      <c r="K30" s="289">
        <v>3</v>
      </c>
      <c r="L30" s="289">
        <v>2</v>
      </c>
      <c r="M30" s="291">
        <v>1</v>
      </c>
      <c r="N30" s="155"/>
      <c r="O30" s="292">
        <f t="shared" si="19"/>
        <v>9</v>
      </c>
      <c r="P30" s="308"/>
      <c r="Q30" s="308"/>
      <c r="R30" s="309"/>
      <c r="U30" s="84"/>
      <c r="V30" s="289"/>
      <c r="W30" s="288"/>
      <c r="X30" s="290"/>
      <c r="Y30" s="290"/>
      <c r="Z30" s="289"/>
      <c r="AA30" s="289"/>
      <c r="AB30" s="291"/>
      <c r="AC30" s="291"/>
      <c r="AD30" s="155"/>
      <c r="AE30" s="292"/>
      <c r="AH30" s="84"/>
      <c r="AJ30" s="293"/>
      <c r="AK30" s="293"/>
      <c r="AL30" s="294"/>
      <c r="AM30" s="294"/>
      <c r="AN30" s="295"/>
      <c r="AO30" s="295"/>
      <c r="AP30" s="296"/>
      <c r="AQ30" s="161"/>
      <c r="AR30" s="297"/>
      <c r="AU30" s="84"/>
      <c r="AW30" s="293"/>
      <c r="AX30" s="293"/>
      <c r="AY30" s="294"/>
      <c r="AZ30" s="294"/>
      <c r="BA30" s="295"/>
      <c r="BB30" s="295"/>
      <c r="BC30" s="296"/>
      <c r="BD30" s="161"/>
      <c r="BE30" s="297"/>
      <c r="BH30" s="84"/>
      <c r="BJ30" s="298"/>
      <c r="BK30" s="299">
        <v>0.1</v>
      </c>
      <c r="BL30" s="299">
        <v>0.9</v>
      </c>
      <c r="BM30" s="300"/>
      <c r="BN30" s="103"/>
      <c r="BO30" s="301">
        <f t="shared" si="20"/>
        <v>9</v>
      </c>
      <c r="BP30" s="301">
        <f t="shared" si="20"/>
        <v>9</v>
      </c>
      <c r="BQ30" s="301">
        <f t="shared" si="20"/>
        <v>9</v>
      </c>
      <c r="BR30" s="301">
        <f t="shared" si="20"/>
        <v>9</v>
      </c>
      <c r="BS30" s="103"/>
      <c r="BT30" s="302">
        <f t="shared" si="13"/>
        <v>0</v>
      </c>
      <c r="BU30" s="303">
        <f t="shared" si="14"/>
        <v>2.2950000000000004</v>
      </c>
      <c r="BV30" s="303">
        <f t="shared" si="15"/>
        <v>6.5025000000000013</v>
      </c>
      <c r="BW30" s="303">
        <f t="shared" si="15"/>
        <v>58.522500000000008</v>
      </c>
      <c r="BX30" s="303">
        <f t="shared" si="15"/>
        <v>0</v>
      </c>
      <c r="BY30" s="304">
        <f t="shared" si="16"/>
        <v>9.1800000000000015</v>
      </c>
      <c r="CA30" s="304">
        <f t="shared" si="17"/>
        <v>11.475000000000001</v>
      </c>
      <c r="CB30" s="305">
        <f t="shared" si="18"/>
        <v>9</v>
      </c>
      <c r="CC30" s="305">
        <f t="shared" si="18"/>
        <v>9</v>
      </c>
      <c r="CD30" s="305">
        <f t="shared" si="18"/>
        <v>9</v>
      </c>
      <c r="CE30" s="305">
        <f t="shared" si="18"/>
        <v>9</v>
      </c>
    </row>
    <row r="31" spans="1:87" ht="14.25" customHeight="1" x14ac:dyDescent="0.2">
      <c r="A31" s="643"/>
      <c r="B31" s="285" t="s">
        <v>236</v>
      </c>
      <c r="C31" s="307">
        <v>6.3029999999999999</v>
      </c>
      <c r="D31" s="287">
        <v>5.2999999999999999E-2</v>
      </c>
      <c r="E31" s="658"/>
      <c r="F31" s="288">
        <v>1</v>
      </c>
      <c r="G31" s="289">
        <v>3</v>
      </c>
      <c r="H31" s="288">
        <v>0.5</v>
      </c>
      <c r="I31" s="290">
        <v>15</v>
      </c>
      <c r="J31" s="290">
        <v>1</v>
      </c>
      <c r="K31" s="289">
        <v>4</v>
      </c>
      <c r="L31" s="289">
        <v>2</v>
      </c>
      <c r="M31" s="291">
        <v>1</v>
      </c>
      <c r="N31" s="310"/>
      <c r="O31" s="292">
        <f t="shared" si="19"/>
        <v>27.5</v>
      </c>
      <c r="P31" s="308"/>
      <c r="Q31" s="308"/>
      <c r="R31" s="309"/>
      <c r="U31" s="84"/>
      <c r="V31" s="289"/>
      <c r="W31" s="288"/>
      <c r="X31" s="290"/>
      <c r="Y31" s="290"/>
      <c r="Z31" s="289"/>
      <c r="AA31" s="289"/>
      <c r="AB31" s="291"/>
      <c r="AC31" s="291"/>
      <c r="AD31" s="155"/>
      <c r="AE31" s="292"/>
      <c r="AH31" s="84"/>
      <c r="AJ31" s="293"/>
      <c r="AK31" s="293"/>
      <c r="AL31" s="294"/>
      <c r="AM31" s="294"/>
      <c r="AN31" s="295"/>
      <c r="AO31" s="295"/>
      <c r="AP31" s="296"/>
      <c r="AQ31" s="311"/>
      <c r="AR31" s="297"/>
      <c r="AU31" s="84"/>
      <c r="AW31" s="293"/>
      <c r="AX31" s="293"/>
      <c r="AY31" s="294"/>
      <c r="AZ31" s="294"/>
      <c r="BA31" s="295"/>
      <c r="BB31" s="295"/>
      <c r="BC31" s="296"/>
      <c r="BD31" s="161"/>
      <c r="BE31" s="297"/>
      <c r="BH31" s="84"/>
      <c r="BJ31" s="298"/>
      <c r="BK31" s="299">
        <v>0.55000000000000004</v>
      </c>
      <c r="BL31" s="299">
        <v>0.45</v>
      </c>
      <c r="BM31" s="300"/>
      <c r="BN31" s="103"/>
      <c r="BO31" s="301">
        <f t="shared" si="20"/>
        <v>27.5</v>
      </c>
      <c r="BP31" s="301">
        <f t="shared" si="20"/>
        <v>27.5</v>
      </c>
      <c r="BQ31" s="301">
        <f t="shared" si="20"/>
        <v>27.5</v>
      </c>
      <c r="BR31" s="301">
        <f t="shared" si="20"/>
        <v>27.5</v>
      </c>
      <c r="BS31" s="103"/>
      <c r="BT31" s="302">
        <f t="shared" si="13"/>
        <v>0</v>
      </c>
      <c r="BU31" s="303">
        <f t="shared" si="14"/>
        <v>7.012500000000002</v>
      </c>
      <c r="BV31" s="303">
        <f t="shared" si="15"/>
        <v>109.278125</v>
      </c>
      <c r="BW31" s="303">
        <f t="shared" si="15"/>
        <v>89.409374999999997</v>
      </c>
      <c r="BX31" s="303">
        <f t="shared" si="15"/>
        <v>0</v>
      </c>
      <c r="BY31" s="304">
        <f t="shared" si="16"/>
        <v>28.050000000000008</v>
      </c>
      <c r="CA31" s="304">
        <f t="shared" si="17"/>
        <v>35.062500000000007</v>
      </c>
      <c r="CB31" s="305">
        <f t="shared" si="18"/>
        <v>27.5</v>
      </c>
      <c r="CC31" s="305">
        <f t="shared" si="18"/>
        <v>27.5</v>
      </c>
      <c r="CD31" s="305">
        <f t="shared" si="18"/>
        <v>27.5</v>
      </c>
      <c r="CE31" s="305">
        <f t="shared" si="18"/>
        <v>27.5</v>
      </c>
    </row>
    <row r="32" spans="1:87" ht="14.25" customHeight="1" x14ac:dyDescent="0.2">
      <c r="A32" s="643"/>
      <c r="B32" s="285" t="s">
        <v>237</v>
      </c>
      <c r="C32" s="307">
        <v>6.3040000000000003</v>
      </c>
      <c r="D32" s="287">
        <v>1.05</v>
      </c>
      <c r="E32" s="658"/>
      <c r="F32" s="288">
        <v>1</v>
      </c>
      <c r="G32" s="289">
        <v>3</v>
      </c>
      <c r="H32" s="288">
        <v>0.5</v>
      </c>
      <c r="I32" s="289">
        <v>15</v>
      </c>
      <c r="J32" s="289">
        <v>1</v>
      </c>
      <c r="K32" s="289">
        <v>5</v>
      </c>
      <c r="L32" s="289">
        <v>5</v>
      </c>
      <c r="M32" s="291">
        <v>2</v>
      </c>
      <c r="N32" s="155"/>
      <c r="O32" s="292">
        <f>SUM(F32:M32)</f>
        <v>32.5</v>
      </c>
      <c r="P32" s="308"/>
      <c r="Q32" s="308"/>
      <c r="R32" s="309"/>
      <c r="U32" s="84"/>
      <c r="V32" s="289"/>
      <c r="W32" s="288"/>
      <c r="X32" s="289"/>
      <c r="Y32" s="289"/>
      <c r="Z32" s="289"/>
      <c r="AA32" s="289"/>
      <c r="AB32" s="291"/>
      <c r="AC32" s="291"/>
      <c r="AD32" s="155"/>
      <c r="AE32" s="292"/>
      <c r="AH32" s="84"/>
      <c r="AJ32" s="293"/>
      <c r="AK32" s="293"/>
      <c r="AL32" s="294"/>
      <c r="AM32" s="294"/>
      <c r="AN32" s="295"/>
      <c r="AO32" s="295"/>
      <c r="AP32" s="296"/>
      <c r="AQ32" s="311"/>
      <c r="AR32" s="297"/>
      <c r="AU32" s="84"/>
      <c r="AW32" s="293"/>
      <c r="AX32" s="293"/>
      <c r="AY32" s="295"/>
      <c r="AZ32" s="295"/>
      <c r="BA32" s="295"/>
      <c r="BB32" s="295"/>
      <c r="BC32" s="296"/>
      <c r="BD32" s="161"/>
      <c r="BE32" s="297"/>
      <c r="BH32" s="84"/>
      <c r="BJ32" s="298"/>
      <c r="BK32" s="299">
        <v>0.55000000000000004</v>
      </c>
      <c r="BL32" s="299">
        <v>0.45</v>
      </c>
      <c r="BM32" s="300"/>
      <c r="BN32" s="103"/>
      <c r="BO32" s="301">
        <f t="shared" si="20"/>
        <v>32.5</v>
      </c>
      <c r="BP32" s="301">
        <f t="shared" si="20"/>
        <v>32.5</v>
      </c>
      <c r="BQ32" s="301">
        <f t="shared" si="20"/>
        <v>32.5</v>
      </c>
      <c r="BR32" s="301">
        <f t="shared" si="20"/>
        <v>32.5</v>
      </c>
      <c r="BS32" s="103"/>
      <c r="BT32" s="302">
        <f t="shared" si="13"/>
        <v>0</v>
      </c>
      <c r="BU32" s="303">
        <f t="shared" si="14"/>
        <v>8.2875000000000014</v>
      </c>
      <c r="BV32" s="303">
        <f t="shared" si="15"/>
        <v>129.14687500000002</v>
      </c>
      <c r="BW32" s="303">
        <f t="shared" si="15"/>
        <v>105.66562500000001</v>
      </c>
      <c r="BX32" s="303">
        <f t="shared" si="15"/>
        <v>0</v>
      </c>
      <c r="BY32" s="304">
        <f t="shared" si="16"/>
        <v>33.150000000000006</v>
      </c>
      <c r="CA32" s="304">
        <f t="shared" si="17"/>
        <v>41.437500000000007</v>
      </c>
      <c r="CB32" s="305">
        <f t="shared" si="18"/>
        <v>32.5</v>
      </c>
      <c r="CC32" s="305">
        <f t="shared" si="18"/>
        <v>32.5</v>
      </c>
      <c r="CD32" s="305">
        <f t="shared" si="18"/>
        <v>32.5</v>
      </c>
      <c r="CE32" s="305">
        <f t="shared" si="18"/>
        <v>32.5</v>
      </c>
    </row>
    <row r="33" spans="1:86" ht="14.25" customHeight="1" x14ac:dyDescent="0.2">
      <c r="A33" s="643"/>
      <c r="B33" s="312" t="s">
        <v>238</v>
      </c>
      <c r="C33" s="313">
        <v>5.3040000000000003</v>
      </c>
      <c r="D33" s="287">
        <v>2.8290000000000002</v>
      </c>
      <c r="E33" s="658"/>
      <c r="F33" s="288">
        <v>0</v>
      </c>
      <c r="G33" s="290"/>
      <c r="H33" s="314"/>
      <c r="I33" s="290"/>
      <c r="J33" s="290"/>
      <c r="K33" s="290"/>
      <c r="L33" s="290"/>
      <c r="M33" s="315"/>
      <c r="N33" s="155"/>
      <c r="O33" s="292">
        <f t="shared" si="19"/>
        <v>0</v>
      </c>
      <c r="R33" s="84"/>
      <c r="U33" s="84"/>
      <c r="V33" s="290"/>
      <c r="W33" s="314"/>
      <c r="X33" s="290"/>
      <c r="Y33" s="290"/>
      <c r="Z33" s="290"/>
      <c r="AA33" s="290"/>
      <c r="AB33" s="315"/>
      <c r="AC33" s="315"/>
      <c r="AD33" s="155"/>
      <c r="AE33" s="292"/>
      <c r="AH33" s="84"/>
      <c r="AJ33" s="293"/>
      <c r="AK33" s="293"/>
      <c r="AL33" s="294"/>
      <c r="AM33" s="294"/>
      <c r="AN33" s="295"/>
      <c r="AO33" s="295"/>
      <c r="AP33" s="296"/>
      <c r="AQ33" s="311"/>
      <c r="AR33" s="297"/>
      <c r="AU33" s="84"/>
      <c r="AW33" s="293"/>
      <c r="AX33" s="316"/>
      <c r="AY33" s="294"/>
      <c r="AZ33" s="294"/>
      <c r="BA33" s="294"/>
      <c r="BB33" s="294"/>
      <c r="BC33" s="317"/>
      <c r="BD33" s="161"/>
      <c r="BE33" s="297"/>
      <c r="BH33" s="84"/>
      <c r="BJ33" s="298"/>
      <c r="BK33" s="299"/>
      <c r="BL33" s="299"/>
      <c r="BM33" s="300"/>
      <c r="BN33" s="103"/>
      <c r="BO33" s="301">
        <f t="shared" si="20"/>
        <v>0</v>
      </c>
      <c r="BP33" s="301">
        <f t="shared" si="20"/>
        <v>0</v>
      </c>
      <c r="BQ33" s="301">
        <f t="shared" si="20"/>
        <v>0</v>
      </c>
      <c r="BR33" s="301">
        <f t="shared" si="20"/>
        <v>0</v>
      </c>
      <c r="BS33" s="103"/>
      <c r="BT33" s="302">
        <f t="shared" si="13"/>
        <v>0</v>
      </c>
      <c r="BU33" s="303">
        <f t="shared" si="14"/>
        <v>0</v>
      </c>
      <c r="BV33" s="303">
        <f t="shared" si="15"/>
        <v>0</v>
      </c>
      <c r="BW33" s="303">
        <f t="shared" si="15"/>
        <v>0</v>
      </c>
      <c r="BX33" s="303">
        <f t="shared" si="15"/>
        <v>0</v>
      </c>
      <c r="BY33" s="304">
        <f t="shared" si="16"/>
        <v>0</v>
      </c>
      <c r="CA33" s="304">
        <f t="shared" si="17"/>
        <v>0</v>
      </c>
      <c r="CB33" s="305">
        <f t="shared" si="18"/>
        <v>0</v>
      </c>
      <c r="CC33" s="305">
        <f t="shared" si="18"/>
        <v>0</v>
      </c>
      <c r="CD33" s="305">
        <f t="shared" si="18"/>
        <v>0</v>
      </c>
      <c r="CE33" s="305">
        <f t="shared" si="18"/>
        <v>0</v>
      </c>
    </row>
    <row r="34" spans="1:86" ht="14.25" customHeight="1" x14ac:dyDescent="0.2">
      <c r="A34" s="643"/>
      <c r="B34" s="285" t="s">
        <v>240</v>
      </c>
      <c r="C34" s="286">
        <v>6.3049999999999997</v>
      </c>
      <c r="D34" s="287">
        <v>1.115</v>
      </c>
      <c r="E34" s="658"/>
      <c r="F34" s="288">
        <v>1</v>
      </c>
      <c r="G34" s="289">
        <v>3</v>
      </c>
      <c r="H34" s="288">
        <v>0.5</v>
      </c>
      <c r="I34" s="290"/>
      <c r="J34" s="290"/>
      <c r="K34" s="289">
        <v>1</v>
      </c>
      <c r="L34" s="289">
        <v>2</v>
      </c>
      <c r="M34" s="291">
        <v>1</v>
      </c>
      <c r="N34" s="155"/>
      <c r="O34" s="292">
        <f t="shared" si="19"/>
        <v>8.5</v>
      </c>
      <c r="R34" s="84"/>
      <c r="U34" s="84"/>
      <c r="V34" s="289"/>
      <c r="W34" s="288"/>
      <c r="X34" s="290"/>
      <c r="Y34" s="290"/>
      <c r="Z34" s="289"/>
      <c r="AA34" s="289"/>
      <c r="AB34" s="291"/>
      <c r="AC34" s="291"/>
      <c r="AD34" s="155"/>
      <c r="AE34" s="292"/>
      <c r="AH34" s="84"/>
      <c r="AJ34" s="293"/>
      <c r="AK34" s="293"/>
      <c r="AL34" s="294"/>
      <c r="AM34" s="294"/>
      <c r="AN34" s="295"/>
      <c r="AO34" s="295"/>
      <c r="AP34" s="296"/>
      <c r="AQ34" s="311"/>
      <c r="AR34" s="297"/>
      <c r="AU34" s="84"/>
      <c r="AW34" s="293"/>
      <c r="AX34" s="293"/>
      <c r="AY34" s="294"/>
      <c r="AZ34" s="294"/>
      <c r="BA34" s="295"/>
      <c r="BB34" s="295"/>
      <c r="BC34" s="296"/>
      <c r="BD34" s="161"/>
      <c r="BE34" s="297"/>
      <c r="BH34" s="84"/>
      <c r="BJ34" s="298"/>
      <c r="BK34" s="299">
        <v>0.55000000000000004</v>
      </c>
      <c r="BL34" s="299">
        <v>0.45</v>
      </c>
      <c r="BM34" s="300"/>
      <c r="BN34" s="103"/>
      <c r="BO34" s="301">
        <f t="shared" si="20"/>
        <v>8.5</v>
      </c>
      <c r="BP34" s="301">
        <f t="shared" si="20"/>
        <v>8.5</v>
      </c>
      <c r="BQ34" s="301">
        <f t="shared" si="20"/>
        <v>8.5</v>
      </c>
      <c r="BR34" s="301">
        <f t="shared" si="20"/>
        <v>8.5</v>
      </c>
      <c r="BS34" s="103"/>
      <c r="BT34" s="302">
        <f t="shared" si="13"/>
        <v>0</v>
      </c>
      <c r="BU34" s="303">
        <f t="shared" si="14"/>
        <v>2.1675</v>
      </c>
      <c r="BV34" s="303">
        <f t="shared" si="15"/>
        <v>33.776875000000004</v>
      </c>
      <c r="BW34" s="303">
        <f t="shared" si="15"/>
        <v>27.635625000000001</v>
      </c>
      <c r="BX34" s="303">
        <f t="shared" si="15"/>
        <v>0</v>
      </c>
      <c r="BY34" s="304">
        <f t="shared" si="16"/>
        <v>8.67</v>
      </c>
      <c r="CA34" s="304">
        <f t="shared" si="17"/>
        <v>10.8375</v>
      </c>
      <c r="CB34" s="305">
        <f t="shared" si="18"/>
        <v>8.5</v>
      </c>
      <c r="CC34" s="305">
        <f t="shared" si="18"/>
        <v>8.5</v>
      </c>
      <c r="CD34" s="305">
        <f t="shared" si="18"/>
        <v>8.5</v>
      </c>
      <c r="CE34" s="305">
        <f t="shared" si="18"/>
        <v>8.5</v>
      </c>
    </row>
    <row r="35" spans="1:86" ht="14.25" customHeight="1" x14ac:dyDescent="0.2">
      <c r="A35" s="643"/>
      <c r="B35" s="285" t="s">
        <v>241</v>
      </c>
      <c r="C35" s="307">
        <v>6.306</v>
      </c>
      <c r="D35" s="287">
        <v>0.54700000000000004</v>
      </c>
      <c r="E35" s="658"/>
      <c r="F35" s="288">
        <v>1</v>
      </c>
      <c r="G35" s="289">
        <v>3</v>
      </c>
      <c r="H35" s="288">
        <v>0.5</v>
      </c>
      <c r="I35" s="289">
        <v>15</v>
      </c>
      <c r="J35" s="289">
        <v>1</v>
      </c>
      <c r="K35" s="289">
        <v>5</v>
      </c>
      <c r="L35" s="289">
        <v>5</v>
      </c>
      <c r="M35" s="291">
        <v>2</v>
      </c>
      <c r="N35" s="155"/>
      <c r="O35" s="292">
        <f t="shared" si="19"/>
        <v>32.5</v>
      </c>
      <c r="R35" s="84"/>
      <c r="U35" s="84"/>
      <c r="V35" s="289"/>
      <c r="W35" s="288"/>
      <c r="X35" s="289"/>
      <c r="Y35" s="289"/>
      <c r="Z35" s="289"/>
      <c r="AA35" s="289"/>
      <c r="AB35" s="291"/>
      <c r="AC35" s="291"/>
      <c r="AD35" s="155"/>
      <c r="AE35" s="292"/>
      <c r="AH35" s="84"/>
      <c r="AJ35" s="293"/>
      <c r="AK35" s="293"/>
      <c r="AL35" s="294"/>
      <c r="AM35" s="294"/>
      <c r="AN35" s="295"/>
      <c r="AO35" s="295"/>
      <c r="AP35" s="296"/>
      <c r="AQ35" s="311"/>
      <c r="AR35" s="297"/>
      <c r="AU35" s="84"/>
      <c r="AW35" s="293"/>
      <c r="AX35" s="293"/>
      <c r="AY35" s="295"/>
      <c r="AZ35" s="295"/>
      <c r="BA35" s="295"/>
      <c r="BB35" s="295"/>
      <c r="BC35" s="296"/>
      <c r="BD35" s="161"/>
      <c r="BE35" s="297"/>
      <c r="BH35" s="84"/>
      <c r="BJ35" s="298"/>
      <c r="BK35" s="299">
        <v>0.55000000000000004</v>
      </c>
      <c r="BL35" s="299">
        <v>0.45</v>
      </c>
      <c r="BM35" s="300"/>
      <c r="BN35" s="103"/>
      <c r="BO35" s="301">
        <f t="shared" si="20"/>
        <v>32.5</v>
      </c>
      <c r="BP35" s="301">
        <f t="shared" si="20"/>
        <v>32.5</v>
      </c>
      <c r="BQ35" s="301">
        <f t="shared" si="20"/>
        <v>32.5</v>
      </c>
      <c r="BR35" s="301">
        <f t="shared" si="20"/>
        <v>32.5</v>
      </c>
      <c r="BS35" s="103"/>
      <c r="BT35" s="302">
        <f t="shared" si="13"/>
        <v>0</v>
      </c>
      <c r="BU35" s="303">
        <f t="shared" si="14"/>
        <v>8.2875000000000014</v>
      </c>
      <c r="BV35" s="303">
        <f t="shared" si="15"/>
        <v>129.14687500000002</v>
      </c>
      <c r="BW35" s="303">
        <f t="shared" si="15"/>
        <v>105.66562500000001</v>
      </c>
      <c r="BX35" s="303">
        <f t="shared" si="15"/>
        <v>0</v>
      </c>
      <c r="BY35" s="304">
        <f t="shared" si="16"/>
        <v>33.150000000000006</v>
      </c>
      <c r="CA35" s="304">
        <f t="shared" si="17"/>
        <v>41.437500000000007</v>
      </c>
      <c r="CB35" s="305">
        <f t="shared" si="18"/>
        <v>32.5</v>
      </c>
      <c r="CC35" s="305">
        <f t="shared" si="18"/>
        <v>32.5</v>
      </c>
      <c r="CD35" s="305">
        <f t="shared" si="18"/>
        <v>32.5</v>
      </c>
      <c r="CE35" s="305">
        <f t="shared" si="18"/>
        <v>32.5</v>
      </c>
    </row>
    <row r="36" spans="1:86" ht="14.25" customHeight="1" x14ac:dyDescent="0.2">
      <c r="A36" s="643"/>
      <c r="B36" s="312" t="s">
        <v>242</v>
      </c>
      <c r="C36" s="313">
        <v>5.306</v>
      </c>
      <c r="D36" s="287">
        <v>0.72399999999999998</v>
      </c>
      <c r="E36" s="658"/>
      <c r="F36" s="288">
        <v>0</v>
      </c>
      <c r="G36" s="290"/>
      <c r="H36" s="314"/>
      <c r="I36" s="290"/>
      <c r="J36" s="290"/>
      <c r="K36" s="290"/>
      <c r="L36" s="290"/>
      <c r="M36" s="315"/>
      <c r="N36" s="155"/>
      <c r="O36" s="292">
        <f t="shared" si="19"/>
        <v>0</v>
      </c>
      <c r="R36" s="84"/>
      <c r="U36" s="84"/>
      <c r="V36" s="290"/>
      <c r="W36" s="314"/>
      <c r="X36" s="290"/>
      <c r="Y36" s="290"/>
      <c r="Z36" s="290"/>
      <c r="AA36" s="290"/>
      <c r="AB36" s="315"/>
      <c r="AC36" s="315"/>
      <c r="AD36" s="155"/>
      <c r="AE36" s="292"/>
      <c r="AH36" s="84"/>
      <c r="AJ36" s="293"/>
      <c r="AK36" s="293"/>
      <c r="AL36" s="294"/>
      <c r="AM36" s="294"/>
      <c r="AN36" s="295"/>
      <c r="AO36" s="295"/>
      <c r="AP36" s="296"/>
      <c r="AQ36" s="311"/>
      <c r="AR36" s="297"/>
      <c r="AU36" s="84"/>
      <c r="AW36" s="293"/>
      <c r="AX36" s="316"/>
      <c r="AY36" s="294"/>
      <c r="AZ36" s="294"/>
      <c r="BA36" s="294"/>
      <c r="BB36" s="294"/>
      <c r="BC36" s="317"/>
      <c r="BD36" s="161"/>
      <c r="BE36" s="297"/>
      <c r="BH36" s="84"/>
      <c r="BJ36" s="298"/>
      <c r="BK36" s="299"/>
      <c r="BL36" s="299"/>
      <c r="BM36" s="300"/>
      <c r="BN36" s="103"/>
      <c r="BO36" s="301">
        <f t="shared" si="20"/>
        <v>0</v>
      </c>
      <c r="BP36" s="301">
        <f t="shared" si="20"/>
        <v>0</v>
      </c>
      <c r="BQ36" s="301">
        <f t="shared" si="20"/>
        <v>0</v>
      </c>
      <c r="BR36" s="301">
        <f t="shared" si="20"/>
        <v>0</v>
      </c>
      <c r="BS36" s="103"/>
      <c r="BT36" s="302">
        <f t="shared" si="13"/>
        <v>0</v>
      </c>
      <c r="BU36" s="303">
        <f t="shared" si="14"/>
        <v>0</v>
      </c>
      <c r="BV36" s="303">
        <f t="shared" si="15"/>
        <v>0</v>
      </c>
      <c r="BW36" s="303">
        <f t="shared" si="15"/>
        <v>0</v>
      </c>
      <c r="BX36" s="303">
        <f t="shared" si="15"/>
        <v>0</v>
      </c>
      <c r="BY36" s="304">
        <f t="shared" si="16"/>
        <v>0</v>
      </c>
      <c r="CA36" s="304">
        <f t="shared" si="17"/>
        <v>0</v>
      </c>
      <c r="CB36" s="305">
        <f t="shared" si="18"/>
        <v>0</v>
      </c>
      <c r="CC36" s="305">
        <f t="shared" si="18"/>
        <v>0</v>
      </c>
      <c r="CD36" s="305">
        <f t="shared" si="18"/>
        <v>0</v>
      </c>
      <c r="CE36" s="305">
        <f t="shared" si="18"/>
        <v>0</v>
      </c>
    </row>
    <row r="37" spans="1:86" ht="14.25" customHeight="1" x14ac:dyDescent="0.2">
      <c r="A37" s="643"/>
      <c r="B37" s="285" t="s">
        <v>243</v>
      </c>
      <c r="C37" s="286">
        <v>6.3070000000000004</v>
      </c>
      <c r="D37" s="287">
        <v>0.217</v>
      </c>
      <c r="E37" s="658"/>
      <c r="F37" s="288">
        <v>1</v>
      </c>
      <c r="G37" s="289">
        <v>3</v>
      </c>
      <c r="H37" s="288">
        <v>0.5</v>
      </c>
      <c r="I37" s="289">
        <v>15</v>
      </c>
      <c r="J37" s="289">
        <v>1</v>
      </c>
      <c r="K37" s="289">
        <v>5</v>
      </c>
      <c r="L37" s="289">
        <v>5</v>
      </c>
      <c r="M37" s="291">
        <v>2</v>
      </c>
      <c r="N37" s="155"/>
      <c r="O37" s="292">
        <f t="shared" si="19"/>
        <v>32.5</v>
      </c>
      <c r="R37" s="84"/>
      <c r="U37" s="84"/>
      <c r="V37" s="289"/>
      <c r="W37" s="288"/>
      <c r="X37" s="289"/>
      <c r="Y37" s="289"/>
      <c r="Z37" s="289"/>
      <c r="AA37" s="289"/>
      <c r="AB37" s="291"/>
      <c r="AC37" s="291"/>
      <c r="AD37" s="155"/>
      <c r="AE37" s="292"/>
      <c r="AH37" s="84"/>
      <c r="AJ37" s="293"/>
      <c r="AK37" s="293"/>
      <c r="AL37" s="294"/>
      <c r="AM37" s="294"/>
      <c r="AN37" s="295"/>
      <c r="AO37" s="295"/>
      <c r="AP37" s="296"/>
      <c r="AQ37" s="311"/>
      <c r="AR37" s="297"/>
      <c r="AU37" s="84"/>
      <c r="AW37" s="293"/>
      <c r="AX37" s="293"/>
      <c r="AY37" s="295"/>
      <c r="AZ37" s="295"/>
      <c r="BA37" s="295"/>
      <c r="BB37" s="295"/>
      <c r="BC37" s="296"/>
      <c r="BD37" s="161"/>
      <c r="BE37" s="297"/>
      <c r="BH37" s="84"/>
      <c r="BJ37" s="298"/>
      <c r="BK37" s="299">
        <v>0.55000000000000004</v>
      </c>
      <c r="BL37" s="299">
        <v>0.45</v>
      </c>
      <c r="BM37" s="300"/>
      <c r="BN37" s="103"/>
      <c r="BO37" s="301">
        <f t="shared" si="20"/>
        <v>32.5</v>
      </c>
      <c r="BP37" s="301">
        <f t="shared" si="20"/>
        <v>32.5</v>
      </c>
      <c r="BQ37" s="301">
        <f t="shared" si="20"/>
        <v>32.5</v>
      </c>
      <c r="BR37" s="301">
        <f t="shared" si="20"/>
        <v>32.5</v>
      </c>
      <c r="BS37" s="103"/>
      <c r="BT37" s="302">
        <f t="shared" si="13"/>
        <v>0</v>
      </c>
      <c r="BU37" s="303">
        <f t="shared" si="14"/>
        <v>8.2875000000000014</v>
      </c>
      <c r="BV37" s="303">
        <f t="shared" si="15"/>
        <v>129.14687500000002</v>
      </c>
      <c r="BW37" s="303">
        <f t="shared" si="15"/>
        <v>105.66562500000001</v>
      </c>
      <c r="BX37" s="303">
        <f t="shared" si="15"/>
        <v>0</v>
      </c>
      <c r="BY37" s="304">
        <f t="shared" si="16"/>
        <v>33.150000000000006</v>
      </c>
      <c r="CA37" s="304">
        <f t="shared" si="17"/>
        <v>41.437500000000007</v>
      </c>
      <c r="CB37" s="305">
        <f t="shared" si="18"/>
        <v>32.5</v>
      </c>
      <c r="CC37" s="305">
        <f t="shared" si="18"/>
        <v>32.5</v>
      </c>
      <c r="CD37" s="305">
        <f t="shared" si="18"/>
        <v>32.5</v>
      </c>
      <c r="CE37" s="305">
        <f t="shared" si="18"/>
        <v>32.5</v>
      </c>
    </row>
    <row r="38" spans="1:86" ht="14.25" customHeight="1" x14ac:dyDescent="0.2">
      <c r="A38" s="643"/>
      <c r="B38" s="312" t="s">
        <v>244</v>
      </c>
      <c r="C38" s="313">
        <v>5.3070000000000004</v>
      </c>
      <c r="D38" s="287">
        <v>5.1029999999999998</v>
      </c>
      <c r="E38" s="658"/>
      <c r="F38" s="288">
        <v>0</v>
      </c>
      <c r="G38" s="289"/>
      <c r="H38" s="288"/>
      <c r="I38" s="290"/>
      <c r="J38" s="290"/>
      <c r="K38" s="290"/>
      <c r="L38" s="290"/>
      <c r="M38" s="315"/>
      <c r="N38" s="155"/>
      <c r="O38" s="292">
        <f t="shared" si="19"/>
        <v>0</v>
      </c>
      <c r="R38" s="84"/>
      <c r="U38" s="84"/>
      <c r="V38" s="289"/>
      <c r="W38" s="288"/>
      <c r="X38" s="290"/>
      <c r="Y38" s="290"/>
      <c r="Z38" s="290"/>
      <c r="AA38" s="290"/>
      <c r="AB38" s="315"/>
      <c r="AC38" s="315"/>
      <c r="AD38" s="155"/>
      <c r="AE38" s="292"/>
      <c r="AH38" s="84"/>
      <c r="AJ38" s="293"/>
      <c r="AK38" s="293"/>
      <c r="AL38" s="294"/>
      <c r="AM38" s="294"/>
      <c r="AN38" s="295"/>
      <c r="AO38" s="295"/>
      <c r="AP38" s="296"/>
      <c r="AQ38" s="311"/>
      <c r="AR38" s="297"/>
      <c r="AU38" s="84"/>
      <c r="AW38" s="293"/>
      <c r="AX38" s="293"/>
      <c r="AY38" s="294"/>
      <c r="AZ38" s="294"/>
      <c r="BA38" s="294"/>
      <c r="BB38" s="294"/>
      <c r="BC38" s="317"/>
      <c r="BD38" s="161"/>
      <c r="BE38" s="297"/>
      <c r="BH38" s="84"/>
      <c r="BJ38" s="298"/>
      <c r="BK38" s="299"/>
      <c r="BL38" s="299"/>
      <c r="BM38" s="300"/>
      <c r="BN38" s="103"/>
      <c r="BO38" s="301">
        <f t="shared" si="20"/>
        <v>0</v>
      </c>
      <c r="BP38" s="301">
        <f t="shared" si="20"/>
        <v>0</v>
      </c>
      <c r="BQ38" s="301">
        <f t="shared" si="20"/>
        <v>0</v>
      </c>
      <c r="BR38" s="301">
        <f t="shared" si="20"/>
        <v>0</v>
      </c>
      <c r="BS38" s="103"/>
      <c r="BT38" s="302">
        <f t="shared" si="13"/>
        <v>0</v>
      </c>
      <c r="BU38" s="303">
        <f t="shared" si="14"/>
        <v>0</v>
      </c>
      <c r="BV38" s="303">
        <f t="shared" si="15"/>
        <v>0</v>
      </c>
      <c r="BW38" s="303">
        <f t="shared" si="15"/>
        <v>0</v>
      </c>
      <c r="BX38" s="303">
        <f t="shared" si="15"/>
        <v>0</v>
      </c>
      <c r="BY38" s="304">
        <f t="shared" si="16"/>
        <v>0</v>
      </c>
      <c r="CA38" s="304">
        <f t="shared" si="17"/>
        <v>0</v>
      </c>
      <c r="CB38" s="305">
        <f t="shared" si="18"/>
        <v>0</v>
      </c>
      <c r="CC38" s="305">
        <f t="shared" si="18"/>
        <v>0</v>
      </c>
      <c r="CD38" s="305">
        <f t="shared" si="18"/>
        <v>0</v>
      </c>
      <c r="CE38" s="305">
        <f t="shared" si="18"/>
        <v>0</v>
      </c>
    </row>
    <row r="39" spans="1:86" ht="14.25" customHeight="1" x14ac:dyDescent="0.2">
      <c r="A39" s="643"/>
      <c r="B39" s="285" t="s">
        <v>245</v>
      </c>
      <c r="C39" s="307">
        <v>6.3079999999999998</v>
      </c>
      <c r="D39" s="287">
        <v>0.04</v>
      </c>
      <c r="E39" s="658"/>
      <c r="F39" s="288">
        <v>0.5</v>
      </c>
      <c r="G39" s="289">
        <v>2</v>
      </c>
      <c r="H39" s="288">
        <v>0.5</v>
      </c>
      <c r="I39" s="290"/>
      <c r="J39" s="290"/>
      <c r="K39" s="289">
        <v>3</v>
      </c>
      <c r="L39" s="289">
        <v>2</v>
      </c>
      <c r="M39" s="291">
        <v>1</v>
      </c>
      <c r="N39" s="155"/>
      <c r="O39" s="292">
        <f t="shared" si="19"/>
        <v>9</v>
      </c>
      <c r="R39" s="84"/>
      <c r="U39" s="84"/>
      <c r="V39" s="289"/>
      <c r="W39" s="288"/>
      <c r="X39" s="290"/>
      <c r="Y39" s="290"/>
      <c r="Z39" s="289"/>
      <c r="AA39" s="289"/>
      <c r="AB39" s="291"/>
      <c r="AC39" s="291"/>
      <c r="AD39" s="155"/>
      <c r="AE39" s="292"/>
      <c r="AH39" s="84"/>
      <c r="AJ39" s="293"/>
      <c r="AK39" s="293"/>
      <c r="AL39" s="294"/>
      <c r="AM39" s="294"/>
      <c r="AN39" s="295"/>
      <c r="AO39" s="295"/>
      <c r="AP39" s="296"/>
      <c r="AQ39" s="311"/>
      <c r="AR39" s="297"/>
      <c r="AU39" s="84"/>
      <c r="AW39" s="293"/>
      <c r="AX39" s="293"/>
      <c r="AY39" s="294"/>
      <c r="AZ39" s="294"/>
      <c r="BA39" s="295"/>
      <c r="BB39" s="295"/>
      <c r="BC39" s="296"/>
      <c r="BD39" s="161"/>
      <c r="BE39" s="297"/>
      <c r="BH39" s="84"/>
      <c r="BJ39" s="298"/>
      <c r="BK39" s="299">
        <v>0.1</v>
      </c>
      <c r="BL39" s="299">
        <v>0.9</v>
      </c>
      <c r="BM39" s="300"/>
      <c r="BN39" s="103"/>
      <c r="BO39" s="301">
        <f t="shared" si="20"/>
        <v>9</v>
      </c>
      <c r="BP39" s="301">
        <f t="shared" si="20"/>
        <v>9</v>
      </c>
      <c r="BQ39" s="301">
        <f t="shared" si="20"/>
        <v>9</v>
      </c>
      <c r="BR39" s="301">
        <f t="shared" si="20"/>
        <v>9</v>
      </c>
      <c r="BS39" s="103"/>
      <c r="BT39" s="302">
        <f t="shared" si="13"/>
        <v>0</v>
      </c>
      <c r="BU39" s="303">
        <f t="shared" si="14"/>
        <v>2.2950000000000004</v>
      </c>
      <c r="BV39" s="303">
        <f t="shared" si="15"/>
        <v>6.5025000000000013</v>
      </c>
      <c r="BW39" s="303">
        <f t="shared" si="15"/>
        <v>58.522500000000008</v>
      </c>
      <c r="BX39" s="303">
        <f t="shared" si="15"/>
        <v>0</v>
      </c>
      <c r="BY39" s="304">
        <f t="shared" si="16"/>
        <v>9.1800000000000015</v>
      </c>
      <c r="CA39" s="304">
        <f t="shared" si="17"/>
        <v>11.475000000000001</v>
      </c>
      <c r="CB39" s="305">
        <f t="shared" si="18"/>
        <v>9</v>
      </c>
      <c r="CC39" s="305">
        <f t="shared" si="18"/>
        <v>9</v>
      </c>
      <c r="CD39" s="305">
        <f t="shared" si="18"/>
        <v>9</v>
      </c>
      <c r="CE39" s="305">
        <f t="shared" si="18"/>
        <v>9</v>
      </c>
    </row>
    <row r="40" spans="1:86" ht="14.25" customHeight="1" x14ac:dyDescent="0.2">
      <c r="A40" s="643"/>
      <c r="B40" s="285" t="s">
        <v>246</v>
      </c>
      <c r="C40" s="307">
        <v>6.3090000000000002</v>
      </c>
      <c r="D40" s="287">
        <v>0.39200000000000002</v>
      </c>
      <c r="E40" s="658"/>
      <c r="F40" s="288">
        <v>1</v>
      </c>
      <c r="G40" s="289">
        <v>3</v>
      </c>
      <c r="H40" s="288">
        <v>0.5</v>
      </c>
      <c r="I40" s="290"/>
      <c r="J40" s="290"/>
      <c r="K40" s="289">
        <v>3</v>
      </c>
      <c r="L40" s="289">
        <v>3</v>
      </c>
      <c r="M40" s="291">
        <v>1</v>
      </c>
      <c r="N40" s="155"/>
      <c r="O40" s="292">
        <f t="shared" si="19"/>
        <v>11.5</v>
      </c>
      <c r="R40" s="84"/>
      <c r="U40" s="84"/>
      <c r="V40" s="289"/>
      <c r="W40" s="288"/>
      <c r="X40" s="290"/>
      <c r="Y40" s="290"/>
      <c r="Z40" s="289"/>
      <c r="AA40" s="289"/>
      <c r="AB40" s="291"/>
      <c r="AC40" s="291"/>
      <c r="AD40" s="155"/>
      <c r="AE40" s="292"/>
      <c r="AH40" s="84"/>
      <c r="AJ40" s="293"/>
      <c r="AK40" s="293"/>
      <c r="AL40" s="294"/>
      <c r="AM40" s="294"/>
      <c r="AN40" s="295"/>
      <c r="AO40" s="295"/>
      <c r="AP40" s="296"/>
      <c r="AQ40" s="311"/>
      <c r="AR40" s="297"/>
      <c r="AU40" s="84"/>
      <c r="AW40" s="293"/>
      <c r="AX40" s="293"/>
      <c r="AY40" s="294"/>
      <c r="AZ40" s="294"/>
      <c r="BA40" s="295"/>
      <c r="BB40" s="295"/>
      <c r="BC40" s="296"/>
      <c r="BD40" s="311"/>
      <c r="BE40" s="297"/>
      <c r="BH40" s="84"/>
      <c r="BJ40" s="298"/>
      <c r="BK40" s="299">
        <v>0.1</v>
      </c>
      <c r="BL40" s="299">
        <v>0.9</v>
      </c>
      <c r="BM40" s="300"/>
      <c r="BN40" s="103"/>
      <c r="BO40" s="301">
        <f t="shared" si="20"/>
        <v>11.5</v>
      </c>
      <c r="BP40" s="301">
        <f t="shared" si="20"/>
        <v>11.5</v>
      </c>
      <c r="BQ40" s="301">
        <f t="shared" si="20"/>
        <v>11.5</v>
      </c>
      <c r="BR40" s="301">
        <f t="shared" si="20"/>
        <v>11.5</v>
      </c>
      <c r="BS40" s="103"/>
      <c r="BT40" s="302">
        <f t="shared" si="13"/>
        <v>0</v>
      </c>
      <c r="BU40" s="303">
        <f t="shared" si="14"/>
        <v>2.932500000000001</v>
      </c>
      <c r="BV40" s="303">
        <f t="shared" si="15"/>
        <v>8.3087499999999999</v>
      </c>
      <c r="BW40" s="303">
        <f t="shared" si="15"/>
        <v>74.778749999999988</v>
      </c>
      <c r="BX40" s="303">
        <f t="shared" si="15"/>
        <v>0</v>
      </c>
      <c r="BY40" s="304">
        <f t="shared" si="16"/>
        <v>11.730000000000004</v>
      </c>
      <c r="CA40" s="304">
        <f t="shared" si="17"/>
        <v>14.662500000000003</v>
      </c>
      <c r="CB40" s="305">
        <f t="shared" si="18"/>
        <v>11.5</v>
      </c>
      <c r="CC40" s="305">
        <f t="shared" si="18"/>
        <v>11.5</v>
      </c>
      <c r="CD40" s="305">
        <f t="shared" si="18"/>
        <v>11.5</v>
      </c>
      <c r="CE40" s="305">
        <f t="shared" si="18"/>
        <v>11.5</v>
      </c>
    </row>
    <row r="41" spans="1:86" ht="14.25" customHeight="1" x14ac:dyDescent="0.2">
      <c r="A41" s="643"/>
      <c r="B41" s="318" t="s">
        <v>247</v>
      </c>
      <c r="C41" s="319">
        <v>9.3049999999999997</v>
      </c>
      <c r="D41" s="320" t="s">
        <v>248</v>
      </c>
      <c r="E41" s="658"/>
      <c r="F41" s="321">
        <v>1</v>
      </c>
      <c r="G41" s="322"/>
      <c r="H41" s="321">
        <v>0.5</v>
      </c>
      <c r="I41" s="323">
        <v>15</v>
      </c>
      <c r="J41" s="323">
        <v>1</v>
      </c>
      <c r="K41" s="323">
        <v>5</v>
      </c>
      <c r="L41" s="323">
        <v>5</v>
      </c>
      <c r="M41" s="324">
        <v>4</v>
      </c>
      <c r="N41" s="325"/>
      <c r="O41" s="326">
        <f t="shared" si="19"/>
        <v>31.5</v>
      </c>
      <c r="R41" s="84"/>
      <c r="U41" s="84"/>
      <c r="V41" s="322"/>
      <c r="W41" s="321"/>
      <c r="X41" s="323"/>
      <c r="Y41" s="323"/>
      <c r="Z41" s="323"/>
      <c r="AA41" s="323"/>
      <c r="AB41" s="324"/>
      <c r="AC41" s="324"/>
      <c r="AD41" s="325"/>
      <c r="AE41" s="326"/>
      <c r="AH41" s="84"/>
      <c r="AJ41" s="327"/>
      <c r="AK41" s="327"/>
      <c r="AL41" s="328"/>
      <c r="AM41" s="328"/>
      <c r="AN41" s="328"/>
      <c r="AO41" s="328"/>
      <c r="AP41" s="329"/>
      <c r="AQ41" s="311"/>
      <c r="AR41" s="330"/>
      <c r="AU41" s="84"/>
      <c r="AW41" s="327"/>
      <c r="AX41" s="327"/>
      <c r="AY41" s="328"/>
      <c r="AZ41" s="328"/>
      <c r="BA41" s="328"/>
      <c r="BB41" s="328"/>
      <c r="BC41" s="329"/>
      <c r="BD41" s="311"/>
      <c r="BE41" s="330"/>
      <c r="BH41" s="84"/>
      <c r="BJ41" s="331"/>
      <c r="BK41" s="332">
        <v>1</v>
      </c>
      <c r="BL41" s="332"/>
      <c r="BM41" s="333"/>
      <c r="BN41" s="103"/>
      <c r="BO41" s="334">
        <f t="shared" si="20"/>
        <v>31.5</v>
      </c>
      <c r="BP41" s="334">
        <f t="shared" si="20"/>
        <v>31.5</v>
      </c>
      <c r="BQ41" s="334">
        <f t="shared" si="20"/>
        <v>31.5</v>
      </c>
      <c r="BR41" s="334">
        <f t="shared" si="20"/>
        <v>31.5</v>
      </c>
      <c r="BS41" s="103"/>
      <c r="BT41" s="335">
        <f t="shared" si="13"/>
        <v>0</v>
      </c>
      <c r="BU41" s="336">
        <f t="shared" si="14"/>
        <v>8.0325000000000006</v>
      </c>
      <c r="BV41" s="336">
        <f t="shared" si="15"/>
        <v>227.58750000000001</v>
      </c>
      <c r="BW41" s="336">
        <f t="shared" si="15"/>
        <v>0</v>
      </c>
      <c r="BX41" s="336">
        <f t="shared" si="15"/>
        <v>0</v>
      </c>
      <c r="BY41" s="337">
        <f t="shared" si="16"/>
        <v>32.130000000000003</v>
      </c>
      <c r="CA41" s="337">
        <f t="shared" si="17"/>
        <v>40.162500000000001</v>
      </c>
      <c r="CB41" s="338">
        <f t="shared" si="18"/>
        <v>31.5</v>
      </c>
      <c r="CC41" s="338">
        <f t="shared" si="18"/>
        <v>31.5</v>
      </c>
      <c r="CD41" s="338">
        <f t="shared" si="18"/>
        <v>31.5</v>
      </c>
      <c r="CE41" s="338">
        <f t="shared" si="18"/>
        <v>31.5</v>
      </c>
    </row>
    <row r="42" spans="1:86" ht="14.25" customHeight="1" x14ac:dyDescent="0.2">
      <c r="A42" s="643"/>
      <c r="B42" s="318" t="s">
        <v>249</v>
      </c>
      <c r="C42" s="319" t="s">
        <v>250</v>
      </c>
      <c r="D42" s="320">
        <v>0.08</v>
      </c>
      <c r="E42" s="658"/>
      <c r="F42" s="321">
        <v>0</v>
      </c>
      <c r="G42" s="322"/>
      <c r="H42" s="339"/>
      <c r="I42" s="322"/>
      <c r="J42" s="322"/>
      <c r="K42" s="322"/>
      <c r="L42" s="322"/>
      <c r="M42" s="324"/>
      <c r="N42" s="325"/>
      <c r="O42" s="326">
        <f t="shared" si="19"/>
        <v>0</v>
      </c>
      <c r="R42" s="84"/>
      <c r="U42" s="84"/>
      <c r="V42" s="322"/>
      <c r="W42" s="321"/>
      <c r="X42" s="323"/>
      <c r="Y42" s="323"/>
      <c r="Z42" s="323"/>
      <c r="AA42" s="323"/>
      <c r="AB42" s="324"/>
      <c r="AC42" s="324"/>
      <c r="AD42" s="325"/>
      <c r="AE42" s="326"/>
      <c r="AH42" s="84"/>
      <c r="AJ42" s="327"/>
      <c r="AK42" s="327"/>
      <c r="AL42" s="328"/>
      <c r="AM42" s="328"/>
      <c r="AN42" s="328"/>
      <c r="AO42" s="328"/>
      <c r="AP42" s="329"/>
      <c r="AQ42" s="311"/>
      <c r="AR42" s="330"/>
      <c r="AU42" s="84"/>
      <c r="AW42" s="327"/>
      <c r="AX42" s="327"/>
      <c r="AY42" s="328"/>
      <c r="AZ42" s="328"/>
      <c r="BA42" s="328"/>
      <c r="BB42" s="328"/>
      <c r="BC42" s="329"/>
      <c r="BD42" s="311"/>
      <c r="BE42" s="330"/>
      <c r="BH42" s="84"/>
      <c r="BJ42" s="331"/>
      <c r="BK42" s="332">
        <v>0.1</v>
      </c>
      <c r="BL42" s="332">
        <v>0.9</v>
      </c>
      <c r="BM42" s="333"/>
      <c r="BN42" s="103"/>
      <c r="BO42" s="334"/>
      <c r="BP42" s="334"/>
      <c r="BQ42" s="334"/>
      <c r="BR42" s="334"/>
      <c r="BS42" s="103"/>
      <c r="BT42" s="335">
        <f t="shared" si="13"/>
        <v>0</v>
      </c>
      <c r="BU42" s="336">
        <f t="shared" si="14"/>
        <v>0</v>
      </c>
      <c r="BV42" s="336">
        <f t="shared" si="15"/>
        <v>0</v>
      </c>
      <c r="BW42" s="336">
        <f t="shared" si="15"/>
        <v>0</v>
      </c>
      <c r="BX42" s="336">
        <f t="shared" si="15"/>
        <v>0</v>
      </c>
      <c r="BY42" s="337">
        <f t="shared" si="16"/>
        <v>0</v>
      </c>
      <c r="CA42" s="337">
        <f t="shared" si="17"/>
        <v>0</v>
      </c>
      <c r="CB42" s="338"/>
      <c r="CC42" s="338"/>
      <c r="CD42" s="338"/>
      <c r="CE42" s="338"/>
    </row>
    <row r="43" spans="1:86" ht="14.25" customHeight="1" x14ac:dyDescent="0.2">
      <c r="A43" s="643"/>
      <c r="B43" s="340" t="s">
        <v>251</v>
      </c>
      <c r="C43" s="319">
        <v>5.3220000000000001</v>
      </c>
      <c r="D43" s="320">
        <v>0.6</v>
      </c>
      <c r="E43" s="658"/>
      <c r="F43" s="339">
        <v>0</v>
      </c>
      <c r="G43" s="322"/>
      <c r="H43" s="339"/>
      <c r="I43" s="322"/>
      <c r="J43" s="322" t="s">
        <v>239</v>
      </c>
      <c r="K43" s="322"/>
      <c r="L43" s="322"/>
      <c r="M43" s="324"/>
      <c r="N43" s="325"/>
      <c r="O43" s="326">
        <f t="shared" si="19"/>
        <v>0</v>
      </c>
      <c r="R43" s="84"/>
      <c r="U43" s="84"/>
      <c r="V43" s="322"/>
      <c r="W43" s="339"/>
      <c r="X43" s="322"/>
      <c r="Y43" s="322"/>
      <c r="Z43" s="322"/>
      <c r="AA43" s="322"/>
      <c r="AB43" s="324"/>
      <c r="AC43" s="324"/>
      <c r="AD43" s="325"/>
      <c r="AE43" s="326"/>
      <c r="AH43" s="84"/>
      <c r="AJ43" s="327"/>
      <c r="AK43" s="327"/>
      <c r="AL43" s="328"/>
      <c r="AM43" s="341"/>
      <c r="AN43" s="341"/>
      <c r="AO43" s="341"/>
      <c r="AP43" s="329"/>
      <c r="AQ43" s="311"/>
      <c r="AR43" s="330"/>
      <c r="AU43" s="84"/>
      <c r="AW43" s="327"/>
      <c r="AX43" s="342"/>
      <c r="AY43" s="341"/>
      <c r="AZ43" s="341"/>
      <c r="BA43" s="341"/>
      <c r="BB43" s="341"/>
      <c r="BC43" s="329"/>
      <c r="BD43" s="311"/>
      <c r="BE43" s="330"/>
      <c r="BH43" s="84"/>
      <c r="BJ43" s="331"/>
      <c r="BK43" s="332">
        <v>1</v>
      </c>
      <c r="BL43" s="332"/>
      <c r="BM43" s="333"/>
      <c r="BN43" s="103"/>
      <c r="BO43" s="334">
        <f t="shared" si="20"/>
        <v>0</v>
      </c>
      <c r="BP43" s="334">
        <f t="shared" si="20"/>
        <v>0</v>
      </c>
      <c r="BQ43" s="334">
        <f t="shared" si="20"/>
        <v>0</v>
      </c>
      <c r="BR43" s="334">
        <f t="shared" si="20"/>
        <v>0</v>
      </c>
      <c r="BS43" s="103"/>
      <c r="BT43" s="335">
        <f t="shared" si="13"/>
        <v>0</v>
      </c>
      <c r="BU43" s="336">
        <f t="shared" si="14"/>
        <v>0</v>
      </c>
      <c r="BV43" s="336">
        <f t="shared" si="15"/>
        <v>0</v>
      </c>
      <c r="BW43" s="336">
        <f t="shared" si="15"/>
        <v>0</v>
      </c>
      <c r="BX43" s="336">
        <f t="shared" si="15"/>
        <v>0</v>
      </c>
      <c r="BY43" s="337">
        <f t="shared" si="16"/>
        <v>0</v>
      </c>
      <c r="CA43" s="337">
        <f t="shared" si="17"/>
        <v>0</v>
      </c>
      <c r="CB43" s="338">
        <f t="shared" si="18"/>
        <v>0</v>
      </c>
      <c r="CC43" s="338">
        <f t="shared" si="18"/>
        <v>0</v>
      </c>
      <c r="CD43" s="338">
        <f t="shared" si="18"/>
        <v>0</v>
      </c>
      <c r="CE43" s="338">
        <f t="shared" si="18"/>
        <v>0</v>
      </c>
    </row>
    <row r="44" spans="1:86" ht="14.25" customHeight="1" x14ac:dyDescent="0.2">
      <c r="A44" s="643"/>
      <c r="B44" s="318" t="s">
        <v>252</v>
      </c>
      <c r="C44" s="319">
        <v>9.3209999999999997</v>
      </c>
      <c r="D44" s="320">
        <v>0.04</v>
      </c>
      <c r="E44" s="658"/>
      <c r="F44" s="321">
        <v>0</v>
      </c>
      <c r="G44" s="322"/>
      <c r="H44" s="339"/>
      <c r="I44" s="322"/>
      <c r="J44" s="322"/>
      <c r="K44" s="322"/>
      <c r="L44" s="322"/>
      <c r="M44" s="324"/>
      <c r="N44" s="325"/>
      <c r="O44" s="326">
        <f t="shared" si="19"/>
        <v>0</v>
      </c>
      <c r="R44" s="84"/>
      <c r="U44" s="84"/>
      <c r="V44" s="322"/>
      <c r="W44" s="339"/>
      <c r="X44" s="322"/>
      <c r="Y44" s="322"/>
      <c r="Z44" s="322"/>
      <c r="AA44" s="322"/>
      <c r="AB44" s="324"/>
      <c r="AC44" s="324"/>
      <c r="AD44" s="325"/>
      <c r="AE44" s="326"/>
      <c r="AH44" s="84"/>
      <c r="AJ44" s="327"/>
      <c r="AK44" s="327"/>
      <c r="AL44" s="328"/>
      <c r="AM44" s="341"/>
      <c r="AN44" s="341"/>
      <c r="AO44" s="341"/>
      <c r="AP44" s="329"/>
      <c r="AQ44" s="311"/>
      <c r="AR44" s="330"/>
      <c r="AU44" s="84"/>
      <c r="AW44" s="327"/>
      <c r="AX44" s="342"/>
      <c r="AY44" s="341"/>
      <c r="AZ44" s="341"/>
      <c r="BA44" s="341"/>
      <c r="BB44" s="341"/>
      <c r="BC44" s="329"/>
      <c r="BD44" s="311"/>
      <c r="BE44" s="330"/>
      <c r="BH44" s="84"/>
      <c r="BJ44" s="331"/>
      <c r="BK44" s="332">
        <v>0.1</v>
      </c>
      <c r="BL44" s="332">
        <v>0.9</v>
      </c>
      <c r="BM44" s="333"/>
      <c r="BN44" s="103"/>
      <c r="BO44" s="334"/>
      <c r="BP44" s="334"/>
      <c r="BQ44" s="334"/>
      <c r="BR44" s="334"/>
      <c r="BS44" s="103"/>
      <c r="BT44" s="335">
        <f t="shared" si="13"/>
        <v>0</v>
      </c>
      <c r="BU44" s="336">
        <f t="shared" si="14"/>
        <v>0</v>
      </c>
      <c r="BV44" s="336">
        <f t="shared" si="15"/>
        <v>0</v>
      </c>
      <c r="BW44" s="336">
        <f t="shared" si="15"/>
        <v>0</v>
      </c>
      <c r="BX44" s="336">
        <f t="shared" si="15"/>
        <v>0</v>
      </c>
      <c r="BY44" s="337">
        <f t="shared" si="16"/>
        <v>0</v>
      </c>
      <c r="CA44" s="337">
        <f t="shared" si="17"/>
        <v>0</v>
      </c>
      <c r="CB44" s="338"/>
      <c r="CC44" s="338"/>
      <c r="CD44" s="338"/>
      <c r="CE44" s="338"/>
    </row>
    <row r="45" spans="1:86" ht="14.25" customHeight="1" x14ac:dyDescent="0.2">
      <c r="A45" s="643"/>
      <c r="B45" s="340" t="s">
        <v>253</v>
      </c>
      <c r="C45" s="319">
        <v>5.3209999999999997</v>
      </c>
      <c r="D45" s="320">
        <v>2.08</v>
      </c>
      <c r="E45" s="658"/>
      <c r="F45" s="339">
        <v>0</v>
      </c>
      <c r="G45" s="322"/>
      <c r="H45" s="339" t="s">
        <v>239</v>
      </c>
      <c r="I45" s="322" t="s">
        <v>239</v>
      </c>
      <c r="J45" s="322" t="s">
        <v>239</v>
      </c>
      <c r="K45" s="322" t="s">
        <v>239</v>
      </c>
      <c r="L45" s="322" t="s">
        <v>239</v>
      </c>
      <c r="M45" s="324"/>
      <c r="N45" s="325"/>
      <c r="O45" s="326">
        <f t="shared" si="19"/>
        <v>0</v>
      </c>
      <c r="R45" s="84"/>
      <c r="U45" s="84"/>
      <c r="V45" s="322"/>
      <c r="W45" s="339"/>
      <c r="X45" s="322"/>
      <c r="Y45" s="322"/>
      <c r="Z45" s="322"/>
      <c r="AA45" s="322"/>
      <c r="AB45" s="324"/>
      <c r="AC45" s="324"/>
      <c r="AD45" s="325"/>
      <c r="AE45" s="326"/>
      <c r="AH45" s="84"/>
      <c r="AJ45" s="327"/>
      <c r="AK45" s="327"/>
      <c r="AL45" s="328"/>
      <c r="AM45" s="341"/>
      <c r="AN45" s="341"/>
      <c r="AO45" s="341"/>
      <c r="AP45" s="329"/>
      <c r="AQ45" s="311"/>
      <c r="AR45" s="330"/>
      <c r="AU45" s="84"/>
      <c r="AW45" s="327"/>
      <c r="AX45" s="342"/>
      <c r="AY45" s="341"/>
      <c r="AZ45" s="341"/>
      <c r="BA45" s="341"/>
      <c r="BB45" s="341"/>
      <c r="BC45" s="329"/>
      <c r="BD45" s="311"/>
      <c r="BE45" s="330"/>
      <c r="BH45" s="84"/>
      <c r="BJ45" s="331"/>
      <c r="BK45" s="332">
        <v>1</v>
      </c>
      <c r="BL45" s="332"/>
      <c r="BM45" s="333"/>
      <c r="BN45" s="103"/>
      <c r="BO45" s="334">
        <f t="shared" si="20"/>
        <v>0</v>
      </c>
      <c r="BP45" s="334">
        <f t="shared" si="20"/>
        <v>0</v>
      </c>
      <c r="BQ45" s="334">
        <f t="shared" si="20"/>
        <v>0</v>
      </c>
      <c r="BR45" s="334">
        <f t="shared" si="20"/>
        <v>0</v>
      </c>
      <c r="BS45" s="103"/>
      <c r="BT45" s="335">
        <f t="shared" si="13"/>
        <v>0</v>
      </c>
      <c r="BU45" s="336">
        <f t="shared" si="14"/>
        <v>0</v>
      </c>
      <c r="BV45" s="336">
        <f t="shared" si="15"/>
        <v>0</v>
      </c>
      <c r="BW45" s="336">
        <f t="shared" si="15"/>
        <v>0</v>
      </c>
      <c r="BX45" s="336">
        <f t="shared" si="15"/>
        <v>0</v>
      </c>
      <c r="BY45" s="337">
        <f t="shared" si="16"/>
        <v>0</v>
      </c>
      <c r="CA45" s="337">
        <f t="shared" si="17"/>
        <v>0</v>
      </c>
      <c r="CB45" s="338">
        <f t="shared" si="18"/>
        <v>0</v>
      </c>
      <c r="CC45" s="338">
        <f t="shared" si="18"/>
        <v>0</v>
      </c>
      <c r="CD45" s="338">
        <f t="shared" si="18"/>
        <v>0</v>
      </c>
      <c r="CE45" s="338">
        <f t="shared" si="18"/>
        <v>0</v>
      </c>
      <c r="CH45" s="343"/>
    </row>
    <row r="46" spans="1:86" ht="14.25" customHeight="1" x14ac:dyDescent="0.2">
      <c r="A46" s="643"/>
      <c r="B46" s="318" t="s">
        <v>254</v>
      </c>
      <c r="C46" s="319">
        <v>9.3010000000000002</v>
      </c>
      <c r="D46" s="320">
        <v>0.03</v>
      </c>
      <c r="E46" s="658"/>
      <c r="F46" s="321">
        <v>0</v>
      </c>
      <c r="G46" s="322"/>
      <c r="H46" s="339"/>
      <c r="I46" s="322"/>
      <c r="J46" s="322"/>
      <c r="K46" s="322"/>
      <c r="L46" s="322"/>
      <c r="M46" s="324"/>
      <c r="N46" s="325"/>
      <c r="O46" s="326">
        <f t="shared" si="19"/>
        <v>0</v>
      </c>
      <c r="R46" s="84"/>
      <c r="U46" s="84"/>
      <c r="V46" s="322"/>
      <c r="W46" s="339"/>
      <c r="X46" s="322"/>
      <c r="Y46" s="322"/>
      <c r="Z46" s="322"/>
      <c r="AA46" s="322"/>
      <c r="AB46" s="324"/>
      <c r="AC46" s="324"/>
      <c r="AD46" s="325"/>
      <c r="AE46" s="326"/>
      <c r="AH46" s="84"/>
      <c r="AJ46" s="327"/>
      <c r="AK46" s="327"/>
      <c r="AL46" s="328"/>
      <c r="AM46" s="341"/>
      <c r="AN46" s="341"/>
      <c r="AO46" s="341"/>
      <c r="AP46" s="329"/>
      <c r="AQ46" s="311"/>
      <c r="AR46" s="330"/>
      <c r="AU46" s="84"/>
      <c r="AW46" s="327"/>
      <c r="AX46" s="342"/>
      <c r="AY46" s="341"/>
      <c r="AZ46" s="341"/>
      <c r="BA46" s="341"/>
      <c r="BB46" s="341"/>
      <c r="BC46" s="329"/>
      <c r="BD46" s="311"/>
      <c r="BE46" s="330"/>
      <c r="BH46" s="84"/>
      <c r="BJ46" s="331"/>
      <c r="BK46" s="332">
        <v>0.1</v>
      </c>
      <c r="BL46" s="332">
        <v>0.9</v>
      </c>
      <c r="BM46" s="333"/>
      <c r="BN46" s="103"/>
      <c r="BO46" s="334">
        <f>$O46+$AE46+$AR46+$BE46</f>
        <v>0</v>
      </c>
      <c r="BP46" s="334">
        <f t="shared" si="20"/>
        <v>0</v>
      </c>
      <c r="BQ46" s="334">
        <f t="shared" si="20"/>
        <v>0</v>
      </c>
      <c r="BR46" s="334">
        <f t="shared" si="20"/>
        <v>0</v>
      </c>
      <c r="BS46" s="103"/>
      <c r="BT46" s="335">
        <f t="shared" si="13"/>
        <v>0</v>
      </c>
      <c r="BU46" s="336">
        <f t="shared" si="14"/>
        <v>0</v>
      </c>
      <c r="BV46" s="336">
        <f t="shared" si="15"/>
        <v>0</v>
      </c>
      <c r="BW46" s="336">
        <f t="shared" si="15"/>
        <v>0</v>
      </c>
      <c r="BX46" s="336">
        <f t="shared" si="15"/>
        <v>0</v>
      </c>
      <c r="BY46" s="337">
        <f t="shared" si="16"/>
        <v>0</v>
      </c>
      <c r="CA46" s="337">
        <f t="shared" si="17"/>
        <v>0</v>
      </c>
      <c r="CB46" s="338"/>
      <c r="CC46" s="338"/>
      <c r="CD46" s="338"/>
      <c r="CE46" s="338"/>
      <c r="CH46" s="343"/>
    </row>
    <row r="47" spans="1:86" ht="14.25" customHeight="1" x14ac:dyDescent="0.2">
      <c r="A47" s="643"/>
      <c r="B47" s="318" t="s">
        <v>255</v>
      </c>
      <c r="C47" s="319">
        <v>9.32</v>
      </c>
      <c r="D47" s="320">
        <v>0.04</v>
      </c>
      <c r="E47" s="658"/>
      <c r="F47" s="321">
        <v>0</v>
      </c>
      <c r="G47" s="322"/>
      <c r="H47" s="339"/>
      <c r="I47" s="322"/>
      <c r="J47" s="322"/>
      <c r="K47" s="322"/>
      <c r="L47" s="322"/>
      <c r="M47" s="324"/>
      <c r="N47" s="325"/>
      <c r="O47" s="326">
        <f t="shared" si="19"/>
        <v>0</v>
      </c>
      <c r="R47" s="84"/>
      <c r="U47" s="84"/>
      <c r="V47" s="322"/>
      <c r="W47" s="339"/>
      <c r="X47" s="322"/>
      <c r="Y47" s="322"/>
      <c r="Z47" s="322"/>
      <c r="AA47" s="322"/>
      <c r="AB47" s="324"/>
      <c r="AC47" s="324"/>
      <c r="AD47" s="325"/>
      <c r="AE47" s="326"/>
      <c r="AH47" s="84"/>
      <c r="AJ47" s="327"/>
      <c r="AK47" s="327"/>
      <c r="AL47" s="328"/>
      <c r="AM47" s="341"/>
      <c r="AN47" s="341"/>
      <c r="AO47" s="341"/>
      <c r="AP47" s="329"/>
      <c r="AQ47" s="311"/>
      <c r="AR47" s="330"/>
      <c r="AU47" s="84"/>
      <c r="AW47" s="327"/>
      <c r="AX47" s="342"/>
      <c r="AY47" s="341"/>
      <c r="AZ47" s="341"/>
      <c r="BA47" s="341"/>
      <c r="BB47" s="341"/>
      <c r="BC47" s="329"/>
      <c r="BD47" s="311"/>
      <c r="BE47" s="330"/>
      <c r="BH47" s="84"/>
      <c r="BJ47" s="331"/>
      <c r="BK47" s="332">
        <v>0.1</v>
      </c>
      <c r="BL47" s="332">
        <v>0.9</v>
      </c>
      <c r="BM47" s="333"/>
      <c r="BN47" s="103"/>
      <c r="BO47" s="334">
        <f t="shared" si="20"/>
        <v>0</v>
      </c>
      <c r="BP47" s="334">
        <f t="shared" si="20"/>
        <v>0</v>
      </c>
      <c r="BQ47" s="334">
        <f t="shared" si="20"/>
        <v>0</v>
      </c>
      <c r="BR47" s="334">
        <f t="shared" si="20"/>
        <v>0</v>
      </c>
      <c r="BS47" s="103"/>
      <c r="BT47" s="335">
        <f t="shared" si="13"/>
        <v>0</v>
      </c>
      <c r="BU47" s="336">
        <f t="shared" si="14"/>
        <v>0</v>
      </c>
      <c r="BV47" s="336">
        <f t="shared" si="15"/>
        <v>0</v>
      </c>
      <c r="BW47" s="336">
        <f t="shared" si="15"/>
        <v>0</v>
      </c>
      <c r="BX47" s="336">
        <f t="shared" si="15"/>
        <v>0</v>
      </c>
      <c r="BY47" s="337">
        <f t="shared" si="16"/>
        <v>0</v>
      </c>
      <c r="CA47" s="337">
        <f t="shared" si="17"/>
        <v>0</v>
      </c>
      <c r="CB47" s="338"/>
      <c r="CC47" s="338"/>
      <c r="CD47" s="338"/>
      <c r="CE47" s="338"/>
      <c r="CH47" s="343"/>
    </row>
    <row r="48" spans="1:86" ht="14.25" customHeight="1" x14ac:dyDescent="0.2">
      <c r="A48" s="643"/>
      <c r="B48" s="318" t="s">
        <v>256</v>
      </c>
      <c r="C48" s="319">
        <v>9.3219999999999992</v>
      </c>
      <c r="D48" s="320">
        <v>0.02</v>
      </c>
      <c r="E48" s="658"/>
      <c r="F48" s="321">
        <v>0</v>
      </c>
      <c r="G48" s="322"/>
      <c r="H48" s="339"/>
      <c r="I48" s="322"/>
      <c r="J48" s="322"/>
      <c r="K48" s="322"/>
      <c r="L48" s="322"/>
      <c r="M48" s="324"/>
      <c r="N48" s="325"/>
      <c r="O48" s="326">
        <f t="shared" si="19"/>
        <v>0</v>
      </c>
      <c r="R48" s="84"/>
      <c r="U48" s="84"/>
      <c r="V48" s="322"/>
      <c r="W48" s="339"/>
      <c r="X48" s="322"/>
      <c r="Y48" s="322"/>
      <c r="Z48" s="322"/>
      <c r="AA48" s="322"/>
      <c r="AB48" s="324"/>
      <c r="AC48" s="324"/>
      <c r="AD48" s="325"/>
      <c r="AE48" s="326"/>
      <c r="AH48" s="84"/>
      <c r="AJ48" s="327"/>
      <c r="AK48" s="327"/>
      <c r="AL48" s="328"/>
      <c r="AM48" s="341"/>
      <c r="AN48" s="341"/>
      <c r="AO48" s="341"/>
      <c r="AP48" s="329"/>
      <c r="AQ48" s="311"/>
      <c r="AR48" s="330"/>
      <c r="AU48" s="84"/>
      <c r="AW48" s="327"/>
      <c r="AX48" s="342"/>
      <c r="AY48" s="341"/>
      <c r="AZ48" s="341"/>
      <c r="BA48" s="341"/>
      <c r="BB48" s="341"/>
      <c r="BC48" s="329"/>
      <c r="BD48" s="311"/>
      <c r="BE48" s="330"/>
      <c r="BH48" s="84"/>
      <c r="BJ48" s="331"/>
      <c r="BK48" s="332">
        <v>0.1</v>
      </c>
      <c r="BL48" s="332">
        <v>0.9</v>
      </c>
      <c r="BM48" s="333"/>
      <c r="BN48" s="103"/>
      <c r="BO48" s="334">
        <f t="shared" si="20"/>
        <v>0</v>
      </c>
      <c r="BP48" s="334">
        <f t="shared" si="20"/>
        <v>0</v>
      </c>
      <c r="BQ48" s="334">
        <f t="shared" si="20"/>
        <v>0</v>
      </c>
      <c r="BR48" s="334">
        <f t="shared" si="20"/>
        <v>0</v>
      </c>
      <c r="BS48" s="103"/>
      <c r="BT48" s="335">
        <f t="shared" si="13"/>
        <v>0</v>
      </c>
      <c r="BU48" s="336">
        <f t="shared" si="14"/>
        <v>0</v>
      </c>
      <c r="BV48" s="336">
        <f t="shared" si="15"/>
        <v>0</v>
      </c>
      <c r="BW48" s="336">
        <f t="shared" si="15"/>
        <v>0</v>
      </c>
      <c r="BX48" s="336">
        <f t="shared" si="15"/>
        <v>0</v>
      </c>
      <c r="BY48" s="337">
        <f t="shared" si="16"/>
        <v>0</v>
      </c>
      <c r="CA48" s="337">
        <f t="shared" si="17"/>
        <v>0</v>
      </c>
      <c r="CB48" s="338"/>
      <c r="CC48" s="338"/>
      <c r="CD48" s="338"/>
      <c r="CE48" s="338"/>
      <c r="CH48" s="343"/>
    </row>
    <row r="49" spans="1:86" ht="14.25" customHeight="1" x14ac:dyDescent="0.2">
      <c r="A49" s="643"/>
      <c r="B49" s="318" t="s">
        <v>257</v>
      </c>
      <c r="C49" s="319">
        <v>9.3000000000000007</v>
      </c>
      <c r="D49" s="320">
        <v>0.04</v>
      </c>
      <c r="E49" s="658"/>
      <c r="F49" s="321">
        <v>0</v>
      </c>
      <c r="G49" s="322"/>
      <c r="H49" s="339"/>
      <c r="I49" s="322"/>
      <c r="J49" s="322"/>
      <c r="K49" s="322"/>
      <c r="L49" s="322"/>
      <c r="M49" s="324"/>
      <c r="N49" s="325"/>
      <c r="O49" s="326">
        <f t="shared" si="19"/>
        <v>0</v>
      </c>
      <c r="R49" s="84"/>
      <c r="U49" s="84"/>
      <c r="V49" s="322"/>
      <c r="W49" s="339"/>
      <c r="X49" s="322"/>
      <c r="Y49" s="322"/>
      <c r="Z49" s="322"/>
      <c r="AA49" s="322"/>
      <c r="AB49" s="324"/>
      <c r="AC49" s="324"/>
      <c r="AD49" s="325"/>
      <c r="AE49" s="326"/>
      <c r="AH49" s="84"/>
      <c r="AJ49" s="327"/>
      <c r="AK49" s="327"/>
      <c r="AL49" s="328"/>
      <c r="AM49" s="341"/>
      <c r="AN49" s="341"/>
      <c r="AO49" s="341"/>
      <c r="AP49" s="329"/>
      <c r="AQ49" s="311"/>
      <c r="AR49" s="330"/>
      <c r="AU49" s="84"/>
      <c r="AW49" s="327"/>
      <c r="AX49" s="342"/>
      <c r="AY49" s="341"/>
      <c r="AZ49" s="341"/>
      <c r="BA49" s="341"/>
      <c r="BB49" s="341"/>
      <c r="BC49" s="329"/>
      <c r="BD49" s="311"/>
      <c r="BE49" s="330"/>
      <c r="BH49" s="84"/>
      <c r="BJ49" s="331"/>
      <c r="BK49" s="332">
        <v>0.1</v>
      </c>
      <c r="BL49" s="332">
        <v>0.9</v>
      </c>
      <c r="BM49" s="333"/>
      <c r="BN49" s="103"/>
      <c r="BO49" s="334">
        <f t="shared" si="20"/>
        <v>0</v>
      </c>
      <c r="BP49" s="334">
        <f t="shared" si="20"/>
        <v>0</v>
      </c>
      <c r="BQ49" s="334">
        <f t="shared" si="20"/>
        <v>0</v>
      </c>
      <c r="BR49" s="334">
        <f t="shared" si="20"/>
        <v>0</v>
      </c>
      <c r="BS49" s="103"/>
      <c r="BT49" s="335">
        <f t="shared" si="13"/>
        <v>0</v>
      </c>
      <c r="BU49" s="336">
        <f t="shared" si="14"/>
        <v>0</v>
      </c>
      <c r="BV49" s="336">
        <f t="shared" si="15"/>
        <v>0</v>
      </c>
      <c r="BW49" s="336">
        <f t="shared" si="15"/>
        <v>0</v>
      </c>
      <c r="BX49" s="336">
        <f t="shared" si="15"/>
        <v>0</v>
      </c>
      <c r="BY49" s="337">
        <f t="shared" si="16"/>
        <v>0</v>
      </c>
      <c r="CA49" s="337">
        <f t="shared" si="17"/>
        <v>0</v>
      </c>
      <c r="CB49" s="338"/>
      <c r="CC49" s="338"/>
      <c r="CD49" s="338"/>
      <c r="CE49" s="338"/>
      <c r="CH49" s="343"/>
    </row>
    <row r="50" spans="1:86" ht="14.25" customHeight="1" x14ac:dyDescent="0.2">
      <c r="A50" s="643"/>
      <c r="B50" s="318" t="s">
        <v>258</v>
      </c>
      <c r="C50" s="319">
        <v>9.3089999999999993</v>
      </c>
      <c r="D50" s="320">
        <v>0.02</v>
      </c>
      <c r="E50" s="658"/>
      <c r="F50" s="321">
        <v>0</v>
      </c>
      <c r="G50" s="322"/>
      <c r="H50" s="339"/>
      <c r="I50" s="322"/>
      <c r="J50" s="322"/>
      <c r="K50" s="322"/>
      <c r="L50" s="322"/>
      <c r="M50" s="324"/>
      <c r="N50" s="325"/>
      <c r="O50" s="326">
        <f t="shared" si="19"/>
        <v>0</v>
      </c>
      <c r="R50" s="84"/>
      <c r="U50" s="84"/>
      <c r="V50" s="322"/>
      <c r="W50" s="339"/>
      <c r="X50" s="322"/>
      <c r="Y50" s="322"/>
      <c r="Z50" s="322"/>
      <c r="AA50" s="322"/>
      <c r="AB50" s="324"/>
      <c r="AC50" s="324"/>
      <c r="AD50" s="325"/>
      <c r="AE50" s="326"/>
      <c r="AH50" s="84"/>
      <c r="AJ50" s="327"/>
      <c r="AK50" s="327"/>
      <c r="AL50" s="328"/>
      <c r="AM50" s="341"/>
      <c r="AN50" s="341"/>
      <c r="AO50" s="341"/>
      <c r="AP50" s="329"/>
      <c r="AQ50" s="311"/>
      <c r="AR50" s="330"/>
      <c r="AU50" s="84"/>
      <c r="AW50" s="327"/>
      <c r="AX50" s="342"/>
      <c r="AY50" s="341"/>
      <c r="AZ50" s="341"/>
      <c r="BA50" s="341"/>
      <c r="BB50" s="341"/>
      <c r="BC50" s="329"/>
      <c r="BD50" s="311"/>
      <c r="BE50" s="330"/>
      <c r="BH50" s="84"/>
      <c r="BJ50" s="331"/>
      <c r="BK50" s="332">
        <v>0.1</v>
      </c>
      <c r="BL50" s="332">
        <v>0.9</v>
      </c>
      <c r="BM50" s="333"/>
      <c r="BN50" s="103"/>
      <c r="BO50" s="334">
        <f t="shared" si="20"/>
        <v>0</v>
      </c>
      <c r="BP50" s="334">
        <f t="shared" si="20"/>
        <v>0</v>
      </c>
      <c r="BQ50" s="334">
        <f t="shared" si="20"/>
        <v>0</v>
      </c>
      <c r="BR50" s="334">
        <f t="shared" si="20"/>
        <v>0</v>
      </c>
      <c r="BS50" s="103"/>
      <c r="BT50" s="335">
        <f t="shared" si="13"/>
        <v>0</v>
      </c>
      <c r="BU50" s="336">
        <f t="shared" si="14"/>
        <v>0</v>
      </c>
      <c r="BV50" s="336">
        <f t="shared" si="15"/>
        <v>0</v>
      </c>
      <c r="BW50" s="336">
        <f t="shared" si="15"/>
        <v>0</v>
      </c>
      <c r="BX50" s="336">
        <f t="shared" si="15"/>
        <v>0</v>
      </c>
      <c r="BY50" s="337">
        <f t="shared" si="16"/>
        <v>0</v>
      </c>
      <c r="CA50" s="337">
        <f t="shared" si="17"/>
        <v>0</v>
      </c>
      <c r="CB50" s="338"/>
      <c r="CC50" s="338"/>
      <c r="CD50" s="338"/>
      <c r="CE50" s="338"/>
      <c r="CH50" s="343"/>
    </row>
    <row r="51" spans="1:86" ht="15" customHeight="1" thickBot="1" x14ac:dyDescent="0.25">
      <c r="A51" s="644"/>
      <c r="B51" s="344" t="s">
        <v>259</v>
      </c>
      <c r="C51" s="345" t="s">
        <v>260</v>
      </c>
      <c r="D51" s="346">
        <v>0.26800000000000002</v>
      </c>
      <c r="E51" s="659"/>
      <c r="F51" s="347">
        <v>1</v>
      </c>
      <c r="G51" s="348"/>
      <c r="H51" s="347">
        <v>0.5</v>
      </c>
      <c r="I51" s="348"/>
      <c r="J51" s="348"/>
      <c r="K51" s="348"/>
      <c r="L51" s="348"/>
      <c r="M51" s="349"/>
      <c r="N51" s="350"/>
      <c r="O51" s="351">
        <f t="shared" si="19"/>
        <v>1.5</v>
      </c>
      <c r="P51" s="352"/>
      <c r="Q51" s="352"/>
      <c r="R51" s="353"/>
      <c r="S51" s="354"/>
      <c r="T51" s="354"/>
      <c r="U51" s="355"/>
      <c r="V51" s="356"/>
      <c r="W51" s="357"/>
      <c r="X51" s="356"/>
      <c r="Y51" s="356"/>
      <c r="Z51" s="356"/>
      <c r="AA51" s="356"/>
      <c r="AB51" s="358"/>
      <c r="AC51" s="358"/>
      <c r="AD51" s="359"/>
      <c r="AE51" s="360"/>
      <c r="AF51" s="352"/>
      <c r="AG51" s="352"/>
      <c r="AH51" s="353"/>
      <c r="AI51" s="135"/>
      <c r="AJ51" s="347"/>
      <c r="AK51" s="347"/>
      <c r="AL51" s="348"/>
      <c r="AM51" s="348"/>
      <c r="AN51" s="348"/>
      <c r="AO51" s="348"/>
      <c r="AP51" s="349"/>
      <c r="AQ51" s="361"/>
      <c r="AR51" s="351"/>
      <c r="AS51" s="352"/>
      <c r="AT51" s="352"/>
      <c r="AU51" s="353"/>
      <c r="AV51" s="135"/>
      <c r="AW51" s="347"/>
      <c r="AX51" s="347"/>
      <c r="AY51" s="348"/>
      <c r="AZ51" s="348"/>
      <c r="BA51" s="348"/>
      <c r="BB51" s="348"/>
      <c r="BC51" s="349"/>
      <c r="BD51" s="350"/>
      <c r="BE51" s="351"/>
      <c r="BF51" s="138"/>
      <c r="BG51" s="138"/>
      <c r="BH51" s="140"/>
      <c r="BJ51" s="362"/>
      <c r="BK51" s="363">
        <v>1</v>
      </c>
      <c r="BL51" s="363"/>
      <c r="BM51" s="364"/>
      <c r="BN51" s="365"/>
      <c r="BO51" s="366">
        <f t="shared" si="20"/>
        <v>1.5</v>
      </c>
      <c r="BP51" s="366">
        <f t="shared" si="20"/>
        <v>1.5</v>
      </c>
      <c r="BQ51" s="366">
        <f t="shared" si="20"/>
        <v>1.5</v>
      </c>
      <c r="BR51" s="366">
        <f t="shared" si="20"/>
        <v>1.5</v>
      </c>
      <c r="BS51" s="365"/>
      <c r="BT51" s="367">
        <f t="shared" si="13"/>
        <v>0</v>
      </c>
      <c r="BU51" s="368">
        <f t="shared" si="14"/>
        <v>0.38250000000000006</v>
      </c>
      <c r="BV51" s="368">
        <f>(BP51*$BZ$1-$CA51)*BK51</f>
        <v>10.8375</v>
      </c>
      <c r="BW51" s="368">
        <f>(BQ51*$BZ$1-$CA51)*BL51</f>
        <v>0</v>
      </c>
      <c r="BX51" s="368">
        <f>(BR51*$BZ$1-$CA51)*BM51</f>
        <v>0</v>
      </c>
      <c r="BY51" s="369">
        <f t="shared" si="16"/>
        <v>1.5300000000000002</v>
      </c>
      <c r="CA51" s="369">
        <f t="shared" si="17"/>
        <v>1.9125000000000003</v>
      </c>
      <c r="CB51" s="370">
        <f t="shared" si="18"/>
        <v>1.5</v>
      </c>
      <c r="CC51" s="370">
        <f t="shared" si="18"/>
        <v>1.5</v>
      </c>
      <c r="CD51" s="370">
        <f t="shared" si="18"/>
        <v>1.5</v>
      </c>
      <c r="CE51" s="370">
        <f t="shared" si="18"/>
        <v>1.5</v>
      </c>
    </row>
    <row r="52" spans="1:86" ht="15" x14ac:dyDescent="0.25">
      <c r="A52" s="228"/>
      <c r="B52" s="371"/>
      <c r="C52" s="193"/>
      <c r="D52" s="194"/>
      <c r="E52" s="372"/>
      <c r="F52" s="373"/>
      <c r="G52" s="374"/>
      <c r="H52" s="199"/>
      <c r="I52" s="200"/>
      <c r="J52" s="200"/>
      <c r="K52" s="200"/>
      <c r="L52" s="200"/>
      <c r="M52" s="201"/>
      <c r="N52" s="161"/>
      <c r="O52" s="202"/>
      <c r="R52" s="84"/>
      <c r="U52" s="84"/>
      <c r="V52" s="375"/>
      <c r="W52" s="195"/>
      <c r="X52" s="196"/>
      <c r="Y52" s="196"/>
      <c r="Z52" s="196"/>
      <c r="AA52" s="196"/>
      <c r="AB52" s="197"/>
      <c r="AC52" s="197"/>
      <c r="AD52" s="155"/>
      <c r="AE52" s="198"/>
      <c r="AH52" s="84"/>
      <c r="AJ52" s="373"/>
      <c r="AK52" s="199"/>
      <c r="AL52" s="200"/>
      <c r="AM52" s="200"/>
      <c r="AN52" s="200"/>
      <c r="AO52" s="200"/>
      <c r="AP52" s="201"/>
      <c r="AQ52" s="161"/>
      <c r="AR52" s="202"/>
      <c r="AU52" s="84"/>
      <c r="AW52" s="373"/>
      <c r="AX52" s="199"/>
      <c r="AY52" s="200"/>
      <c r="AZ52" s="200"/>
      <c r="BA52" s="200"/>
      <c r="BB52" s="200"/>
      <c r="BC52" s="201"/>
      <c r="BD52" s="161"/>
      <c r="BE52" s="202"/>
      <c r="BH52" s="84"/>
      <c r="BJ52" s="203"/>
      <c r="BK52" s="204"/>
      <c r="BL52" s="204"/>
      <c r="BM52" s="205"/>
      <c r="BN52" s="103"/>
      <c r="BO52" s="206"/>
      <c r="BP52" s="206"/>
      <c r="BQ52" s="206"/>
      <c r="BR52" s="206"/>
      <c r="BS52" s="103"/>
      <c r="BT52" s="376"/>
      <c r="BU52" s="377"/>
      <c r="BV52" s="378"/>
      <c r="BW52" s="378"/>
      <c r="BX52" s="379"/>
      <c r="BY52" s="380"/>
      <c r="CA52" s="380"/>
      <c r="CB52" s="84"/>
      <c r="CC52" s="84"/>
      <c r="CD52" s="84"/>
      <c r="CE52" s="84"/>
      <c r="CH52" s="343"/>
    </row>
    <row r="53" spans="1:86" ht="15.75" thickBot="1" x14ac:dyDescent="0.3">
      <c r="A53" s="229"/>
      <c r="F53" s="199">
        <f t="shared" ref="F53:L53" si="21">SUM(F54:F77)</f>
        <v>24</v>
      </c>
      <c r="G53" s="219">
        <f t="shared" si="21"/>
        <v>46</v>
      </c>
      <c r="H53" s="199">
        <f t="shared" si="21"/>
        <v>17.5</v>
      </c>
      <c r="I53" s="200">
        <f>SUM(I54:I77)</f>
        <v>158</v>
      </c>
      <c r="J53" s="200">
        <f t="shared" si="21"/>
        <v>18</v>
      </c>
      <c r="K53" s="200">
        <f t="shared" si="21"/>
        <v>56</v>
      </c>
      <c r="L53" s="200">
        <f t="shared" si="21"/>
        <v>50</v>
      </c>
      <c r="M53" s="201">
        <f t="shared" ref="M53" si="22">SUM(M54:M77)</f>
        <v>16</v>
      </c>
      <c r="N53" s="218"/>
      <c r="O53" s="219"/>
      <c r="P53" s="138">
        <f>SUM(F53:M53)</f>
        <v>385.5</v>
      </c>
      <c r="Q53" s="138">
        <f>P53*8.5</f>
        <v>3276.75</v>
      </c>
      <c r="R53" s="140">
        <v>3000</v>
      </c>
      <c r="S53" s="141"/>
      <c r="T53" s="141"/>
      <c r="U53" s="84"/>
      <c r="V53" s="196">
        <f t="shared" ref="V53:W53" si="23">SUM(V54:V77)</f>
        <v>0</v>
      </c>
      <c r="W53" s="195">
        <f t="shared" si="23"/>
        <v>0</v>
      </c>
      <c r="X53" s="196">
        <f>SUM(X54:X77)</f>
        <v>0</v>
      </c>
      <c r="Y53" s="196">
        <f t="shared" ref="Y53:AC53" si="24">SUM(Y54:Y77)</f>
        <v>0</v>
      </c>
      <c r="Z53" s="196">
        <f t="shared" si="24"/>
        <v>0</v>
      </c>
      <c r="AA53" s="196">
        <f t="shared" si="24"/>
        <v>0</v>
      </c>
      <c r="AB53" s="197">
        <f t="shared" si="24"/>
        <v>0</v>
      </c>
      <c r="AC53" s="197">
        <f t="shared" si="24"/>
        <v>0</v>
      </c>
      <c r="AD53" s="215"/>
      <c r="AE53" s="216"/>
      <c r="AF53" s="138">
        <f>SUM(V53:AC53)</f>
        <v>0</v>
      </c>
      <c r="AG53" s="138">
        <f>AF53*8.5</f>
        <v>0</v>
      </c>
      <c r="AH53" s="381">
        <f>350+3500</f>
        <v>3850</v>
      </c>
      <c r="AJ53" s="199">
        <f t="shared" ref="AJ53:AK53" si="25">SUM(AJ54:AJ77)</f>
        <v>0</v>
      </c>
      <c r="AK53" s="199">
        <f t="shared" si="25"/>
        <v>0</v>
      </c>
      <c r="AL53" s="200">
        <f>SUM(AL54:AL77)</f>
        <v>0</v>
      </c>
      <c r="AM53" s="200">
        <f t="shared" ref="AM53:AP53" si="26">SUM(AM54:AM77)</f>
        <v>0</v>
      </c>
      <c r="AN53" s="200">
        <f t="shared" si="26"/>
        <v>0</v>
      </c>
      <c r="AO53" s="200">
        <f t="shared" si="26"/>
        <v>0</v>
      </c>
      <c r="AP53" s="201">
        <f t="shared" si="26"/>
        <v>0</v>
      </c>
      <c r="AQ53" s="218"/>
      <c r="AR53" s="219"/>
      <c r="AS53" s="138">
        <f>SUM(AJ53:AP53)</f>
        <v>0</v>
      </c>
      <c r="AT53" s="138">
        <f>AS53*8.5</f>
        <v>0</v>
      </c>
      <c r="AU53" s="382">
        <v>4400</v>
      </c>
      <c r="AW53" s="199">
        <f t="shared" ref="AW53:AX53" si="27">SUM(AW54:AW77)</f>
        <v>0</v>
      </c>
      <c r="AX53" s="199">
        <f t="shared" si="27"/>
        <v>0</v>
      </c>
      <c r="AY53" s="200">
        <f>SUM(AY54:AY77)</f>
        <v>0</v>
      </c>
      <c r="AZ53" s="200">
        <f t="shared" ref="AZ53:BC53" si="28">SUM(AZ54:AZ77)</f>
        <v>0</v>
      </c>
      <c r="BA53" s="200">
        <f t="shared" si="28"/>
        <v>0</v>
      </c>
      <c r="BB53" s="200">
        <f t="shared" si="28"/>
        <v>0</v>
      </c>
      <c r="BC53" s="201">
        <f t="shared" si="28"/>
        <v>0</v>
      </c>
      <c r="BD53" s="218"/>
      <c r="BE53" s="219"/>
      <c r="BF53" s="138">
        <f>SUM(AW53:BC53)</f>
        <v>0</v>
      </c>
      <c r="BG53" s="138">
        <f>BF53*8.5</f>
        <v>0</v>
      </c>
      <c r="BH53" s="140">
        <v>900</v>
      </c>
      <c r="BJ53" s="220"/>
      <c r="BK53" s="221"/>
      <c r="BL53" s="221"/>
      <c r="BM53" s="222"/>
      <c r="BN53" s="103"/>
      <c r="BO53" s="146"/>
      <c r="BP53" s="146"/>
      <c r="BQ53" s="146"/>
      <c r="BR53" s="146"/>
      <c r="BS53" s="103"/>
      <c r="BT53" s="383"/>
      <c r="BU53" s="384"/>
      <c r="BV53" s="385"/>
      <c r="BW53" s="385"/>
      <c r="BX53" s="386"/>
      <c r="BY53" s="387"/>
      <c r="CA53" s="387"/>
      <c r="CB53" s="139"/>
      <c r="CC53" s="139"/>
      <c r="CD53" s="139"/>
      <c r="CE53" s="139"/>
    </row>
    <row r="54" spans="1:86" ht="12.75" customHeight="1" x14ac:dyDescent="0.2">
      <c r="A54" s="642" t="s">
        <v>261</v>
      </c>
      <c r="B54" s="388" t="s">
        <v>262</v>
      </c>
      <c r="C54" s="389" t="s">
        <v>263</v>
      </c>
      <c r="D54" s="390">
        <v>0.67800000000000005</v>
      </c>
      <c r="E54" s="664">
        <f>SUM(D54:D77)</f>
        <v>15.698</v>
      </c>
      <c r="F54" s="391">
        <v>1</v>
      </c>
      <c r="G54" s="392">
        <v>4</v>
      </c>
      <c r="H54" s="391">
        <v>1.5</v>
      </c>
      <c r="I54" s="393">
        <v>15</v>
      </c>
      <c r="J54" s="393">
        <v>1</v>
      </c>
      <c r="K54" s="393">
        <v>3</v>
      </c>
      <c r="L54" s="393">
        <v>2</v>
      </c>
      <c r="M54" s="394">
        <v>1</v>
      </c>
      <c r="N54" s="155"/>
      <c r="O54" s="395">
        <f t="shared" ref="O54:O77" si="29">SUM(F54:M54)</f>
        <v>28.5</v>
      </c>
      <c r="R54" s="84"/>
      <c r="U54" s="84"/>
      <c r="V54" s="393"/>
      <c r="W54" s="391"/>
      <c r="X54" s="396"/>
      <c r="Y54" s="393"/>
      <c r="Z54" s="393"/>
      <c r="AA54" s="393"/>
      <c r="AB54" s="394"/>
      <c r="AC54" s="394"/>
      <c r="AD54" s="155"/>
      <c r="AE54" s="395"/>
      <c r="AH54" s="84"/>
      <c r="AJ54" s="391"/>
      <c r="AK54" s="391"/>
      <c r="AL54" s="393"/>
      <c r="AM54" s="393"/>
      <c r="AN54" s="393"/>
      <c r="AO54" s="393"/>
      <c r="AP54" s="394"/>
      <c r="AQ54" s="155"/>
      <c r="AR54" s="395"/>
      <c r="AS54" s="308"/>
      <c r="AT54" s="308"/>
      <c r="AU54" s="84"/>
      <c r="AW54" s="391"/>
      <c r="AX54" s="391"/>
      <c r="AY54" s="393"/>
      <c r="AZ54" s="393"/>
      <c r="BA54" s="393"/>
      <c r="BB54" s="393"/>
      <c r="BC54" s="394"/>
      <c r="BD54" s="155"/>
      <c r="BE54" s="395"/>
      <c r="BH54" s="84"/>
      <c r="BJ54" s="397"/>
      <c r="BK54" s="398"/>
      <c r="BL54" s="398">
        <v>1</v>
      </c>
      <c r="BM54" s="399"/>
      <c r="BN54" s="103"/>
      <c r="BO54" s="400">
        <f t="shared" ref="BO54:BR76" si="30">$O54+$AE54+$AR54+$BE54</f>
        <v>28.5</v>
      </c>
      <c r="BP54" s="400">
        <f t="shared" si="30"/>
        <v>28.5</v>
      </c>
      <c r="BQ54" s="400">
        <f t="shared" si="30"/>
        <v>28.5</v>
      </c>
      <c r="BR54" s="400">
        <f t="shared" si="30"/>
        <v>28.5</v>
      </c>
      <c r="BS54" s="103"/>
      <c r="BT54" s="401">
        <f t="shared" ref="BT54:BT77" si="31">(BO54*$BZ$1-$CA54)*BJ54</f>
        <v>0</v>
      </c>
      <c r="BU54" s="402">
        <f t="shared" ref="BU54:BU77" si="32">CA54*$CI$22</f>
        <v>7.2675000000000018</v>
      </c>
      <c r="BV54" s="402">
        <f t="shared" ref="BV54:BX77" si="33">(BP54*$BZ$1-$CA54)*BK54</f>
        <v>0</v>
      </c>
      <c r="BW54" s="402">
        <f t="shared" si="33"/>
        <v>205.91249999999999</v>
      </c>
      <c r="BX54" s="402">
        <f t="shared" si="33"/>
        <v>0</v>
      </c>
      <c r="BY54" s="403">
        <f t="shared" ref="BY54:BY77" si="34">CA54*$CI$21</f>
        <v>29.070000000000007</v>
      </c>
      <c r="CA54" s="403">
        <f t="shared" ref="CA54:CA77" si="35">(($CH$25+$CH$26)*(O54+AE54+BE54)+($CH$25*AR54))*$BZ$1</f>
        <v>36.337500000000006</v>
      </c>
      <c r="CB54" s="404">
        <f t="shared" ref="CB54:CE77" si="36">$O54+$AE54+$AR54+$BE54</f>
        <v>28.5</v>
      </c>
      <c r="CC54" s="404">
        <f t="shared" si="36"/>
        <v>28.5</v>
      </c>
      <c r="CD54" s="404">
        <f t="shared" si="36"/>
        <v>28.5</v>
      </c>
      <c r="CE54" s="404">
        <f t="shared" si="36"/>
        <v>28.5</v>
      </c>
    </row>
    <row r="55" spans="1:86" ht="14.25" customHeight="1" x14ac:dyDescent="0.2">
      <c r="A55" s="643"/>
      <c r="B55" s="405" t="s">
        <v>264</v>
      </c>
      <c r="C55" s="406" t="s">
        <v>265</v>
      </c>
      <c r="D55" s="407">
        <v>0.38800000000000001</v>
      </c>
      <c r="E55" s="665"/>
      <c r="F55" s="408">
        <v>1</v>
      </c>
      <c r="G55" s="392">
        <v>4</v>
      </c>
      <c r="H55" s="408">
        <v>1</v>
      </c>
      <c r="I55" s="392">
        <v>15</v>
      </c>
      <c r="J55" s="392">
        <v>1</v>
      </c>
      <c r="K55" s="392">
        <v>3</v>
      </c>
      <c r="L55" s="392">
        <v>2</v>
      </c>
      <c r="M55" s="409">
        <v>1</v>
      </c>
      <c r="N55" s="155"/>
      <c r="O55" s="410">
        <f t="shared" si="29"/>
        <v>28</v>
      </c>
      <c r="R55" s="84"/>
      <c r="U55" s="84"/>
      <c r="V55" s="411"/>
      <c r="W55" s="408"/>
      <c r="X55" s="412"/>
      <c r="Y55" s="392"/>
      <c r="Z55" s="392"/>
      <c r="AA55" s="392"/>
      <c r="AB55" s="409"/>
      <c r="AC55" s="409"/>
      <c r="AD55" s="155"/>
      <c r="AE55" s="410"/>
      <c r="AH55" s="84"/>
      <c r="AJ55" s="408"/>
      <c r="AK55" s="408"/>
      <c r="AL55" s="392"/>
      <c r="AM55" s="392"/>
      <c r="AN55" s="392"/>
      <c r="AO55" s="392"/>
      <c r="AP55" s="409"/>
      <c r="AQ55" s="155"/>
      <c r="AR55" s="410"/>
      <c r="AS55" s="308"/>
      <c r="AT55" s="308"/>
      <c r="AU55" s="84"/>
      <c r="AW55" s="408"/>
      <c r="AX55" s="408"/>
      <c r="AY55" s="392"/>
      <c r="AZ55" s="392"/>
      <c r="BA55" s="392"/>
      <c r="BB55" s="392"/>
      <c r="BC55" s="409"/>
      <c r="BD55" s="155"/>
      <c r="BE55" s="410"/>
      <c r="BH55" s="84"/>
      <c r="BJ55" s="413"/>
      <c r="BK55" s="414"/>
      <c r="BL55" s="414">
        <v>1</v>
      </c>
      <c r="BM55" s="415"/>
      <c r="BN55" s="103"/>
      <c r="BO55" s="416">
        <f t="shared" si="30"/>
        <v>28</v>
      </c>
      <c r="BP55" s="416">
        <f t="shared" si="30"/>
        <v>28</v>
      </c>
      <c r="BQ55" s="416">
        <f t="shared" si="30"/>
        <v>28</v>
      </c>
      <c r="BR55" s="416">
        <f t="shared" si="30"/>
        <v>28</v>
      </c>
      <c r="BS55" s="103"/>
      <c r="BT55" s="417">
        <f t="shared" si="31"/>
        <v>0</v>
      </c>
      <c r="BU55" s="418">
        <f t="shared" si="32"/>
        <v>7.1400000000000023</v>
      </c>
      <c r="BV55" s="418">
        <f t="shared" si="33"/>
        <v>0</v>
      </c>
      <c r="BW55" s="418">
        <f t="shared" si="33"/>
        <v>202.29999999999998</v>
      </c>
      <c r="BX55" s="418">
        <f t="shared" si="33"/>
        <v>0</v>
      </c>
      <c r="BY55" s="419">
        <f t="shared" si="34"/>
        <v>28.560000000000009</v>
      </c>
      <c r="CA55" s="419">
        <f t="shared" si="35"/>
        <v>35.70000000000001</v>
      </c>
      <c r="CB55" s="420">
        <f t="shared" si="36"/>
        <v>28</v>
      </c>
      <c r="CC55" s="420">
        <f t="shared" si="36"/>
        <v>28</v>
      </c>
      <c r="CD55" s="420">
        <f t="shared" si="36"/>
        <v>28</v>
      </c>
      <c r="CE55" s="420">
        <f t="shared" si="36"/>
        <v>28</v>
      </c>
    </row>
    <row r="56" spans="1:86" ht="14.25" customHeight="1" x14ac:dyDescent="0.2">
      <c r="A56" s="643"/>
      <c r="B56" s="405" t="s">
        <v>266</v>
      </c>
      <c r="C56" s="406" t="s">
        <v>267</v>
      </c>
      <c r="D56" s="407">
        <v>0.44</v>
      </c>
      <c r="E56" s="665"/>
      <c r="F56" s="408">
        <v>1</v>
      </c>
      <c r="G56" s="392">
        <v>4</v>
      </c>
      <c r="H56" s="408">
        <v>1</v>
      </c>
      <c r="I56" s="392">
        <v>5</v>
      </c>
      <c r="J56" s="392">
        <v>1</v>
      </c>
      <c r="K56" s="392">
        <v>3</v>
      </c>
      <c r="L56" s="392">
        <v>2</v>
      </c>
      <c r="M56" s="409">
        <v>1</v>
      </c>
      <c r="N56" s="155"/>
      <c r="O56" s="410">
        <f t="shared" si="29"/>
        <v>18</v>
      </c>
      <c r="P56" s="308"/>
      <c r="Q56" s="308"/>
      <c r="R56" s="309"/>
      <c r="U56" s="84"/>
      <c r="V56" s="392"/>
      <c r="W56" s="408"/>
      <c r="X56" s="392"/>
      <c r="Y56" s="392"/>
      <c r="Z56" s="392"/>
      <c r="AA56" s="392"/>
      <c r="AB56" s="409"/>
      <c r="AC56" s="409"/>
      <c r="AD56" s="155"/>
      <c r="AE56" s="410"/>
      <c r="AH56" s="84"/>
      <c r="AJ56" s="408"/>
      <c r="AK56" s="408"/>
      <c r="AL56" s="392"/>
      <c r="AM56" s="392"/>
      <c r="AN56" s="392"/>
      <c r="AO56" s="392"/>
      <c r="AP56" s="409"/>
      <c r="AQ56" s="155"/>
      <c r="AR56" s="410"/>
      <c r="AS56" s="308"/>
      <c r="AT56" s="308"/>
      <c r="AU56" s="84"/>
      <c r="AW56" s="408"/>
      <c r="AX56" s="408"/>
      <c r="AY56" s="392"/>
      <c r="AZ56" s="392"/>
      <c r="BA56" s="392"/>
      <c r="BB56" s="392"/>
      <c r="BC56" s="409"/>
      <c r="BD56" s="155"/>
      <c r="BE56" s="410"/>
      <c r="BH56" s="84"/>
      <c r="BJ56" s="413"/>
      <c r="BK56" s="414"/>
      <c r="BL56" s="414">
        <v>1</v>
      </c>
      <c r="BM56" s="415"/>
      <c r="BN56" s="103"/>
      <c r="BO56" s="416">
        <f t="shared" si="30"/>
        <v>18</v>
      </c>
      <c r="BP56" s="416">
        <f t="shared" si="30"/>
        <v>18</v>
      </c>
      <c r="BQ56" s="416">
        <f t="shared" si="30"/>
        <v>18</v>
      </c>
      <c r="BR56" s="416">
        <f t="shared" si="30"/>
        <v>18</v>
      </c>
      <c r="BS56" s="103"/>
      <c r="BT56" s="417">
        <f t="shared" si="31"/>
        <v>0</v>
      </c>
      <c r="BU56" s="418">
        <f t="shared" si="32"/>
        <v>4.5900000000000007</v>
      </c>
      <c r="BV56" s="418">
        <f t="shared" si="33"/>
        <v>0</v>
      </c>
      <c r="BW56" s="418">
        <f t="shared" si="33"/>
        <v>130.05000000000001</v>
      </c>
      <c r="BX56" s="418">
        <f t="shared" si="33"/>
        <v>0</v>
      </c>
      <c r="BY56" s="419">
        <f t="shared" si="34"/>
        <v>18.360000000000003</v>
      </c>
      <c r="CA56" s="419">
        <f t="shared" si="35"/>
        <v>22.950000000000003</v>
      </c>
      <c r="CB56" s="420">
        <f t="shared" si="36"/>
        <v>18</v>
      </c>
      <c r="CC56" s="420">
        <f t="shared" si="36"/>
        <v>18</v>
      </c>
      <c r="CD56" s="420">
        <f t="shared" si="36"/>
        <v>18</v>
      </c>
      <c r="CE56" s="420">
        <f t="shared" si="36"/>
        <v>18</v>
      </c>
    </row>
    <row r="57" spans="1:86" s="424" customFormat="1" ht="15" x14ac:dyDescent="0.25">
      <c r="A57" s="643"/>
      <c r="B57" s="405" t="s">
        <v>268</v>
      </c>
      <c r="C57" s="406" t="s">
        <v>269</v>
      </c>
      <c r="D57" s="421" t="s">
        <v>270</v>
      </c>
      <c r="E57" s="665"/>
      <c r="F57" s="408">
        <v>0</v>
      </c>
      <c r="G57" s="392"/>
      <c r="H57" s="408"/>
      <c r="I57" s="392"/>
      <c r="J57" s="392"/>
      <c r="K57" s="392"/>
      <c r="L57" s="392"/>
      <c r="M57" s="409"/>
      <c r="N57" s="155"/>
      <c r="O57" s="410">
        <f t="shared" si="29"/>
        <v>0</v>
      </c>
      <c r="P57" s="422"/>
      <c r="Q57" s="422"/>
      <c r="R57" s="423"/>
      <c r="U57" s="425"/>
      <c r="V57" s="392"/>
      <c r="W57" s="408"/>
      <c r="X57" s="392"/>
      <c r="Y57" s="392"/>
      <c r="Z57" s="392"/>
      <c r="AA57" s="392"/>
      <c r="AB57" s="409"/>
      <c r="AC57" s="409"/>
      <c r="AD57" s="155"/>
      <c r="AE57" s="410"/>
      <c r="AH57" s="425"/>
      <c r="AJ57" s="408"/>
      <c r="AK57" s="408"/>
      <c r="AL57" s="392"/>
      <c r="AM57" s="392"/>
      <c r="AN57" s="392"/>
      <c r="AO57" s="392"/>
      <c r="AP57" s="409"/>
      <c r="AQ57" s="155"/>
      <c r="AR57" s="410"/>
      <c r="AS57" s="422"/>
      <c r="AT57" s="422"/>
      <c r="AU57" s="425"/>
      <c r="AW57" s="408"/>
      <c r="AX57" s="408"/>
      <c r="AY57" s="392"/>
      <c r="AZ57" s="392"/>
      <c r="BA57" s="392"/>
      <c r="BB57" s="392"/>
      <c r="BC57" s="409"/>
      <c r="BD57" s="155"/>
      <c r="BE57" s="410"/>
      <c r="BH57" s="425"/>
      <c r="BJ57" s="413"/>
      <c r="BK57" s="414"/>
      <c r="BL57" s="414">
        <v>1</v>
      </c>
      <c r="BM57" s="415"/>
      <c r="BN57" s="426"/>
      <c r="BO57" s="416">
        <f t="shared" si="30"/>
        <v>0</v>
      </c>
      <c r="BP57" s="416">
        <f t="shared" si="30"/>
        <v>0</v>
      </c>
      <c r="BQ57" s="416">
        <f t="shared" si="30"/>
        <v>0</v>
      </c>
      <c r="BR57" s="416">
        <f t="shared" si="30"/>
        <v>0</v>
      </c>
      <c r="BS57" s="426"/>
      <c r="BT57" s="417">
        <f t="shared" si="31"/>
        <v>0</v>
      </c>
      <c r="BU57" s="418">
        <f t="shared" si="32"/>
        <v>0</v>
      </c>
      <c r="BV57" s="418">
        <f t="shared" si="33"/>
        <v>0</v>
      </c>
      <c r="BW57" s="418">
        <f t="shared" si="33"/>
        <v>0</v>
      </c>
      <c r="BX57" s="418">
        <f t="shared" si="33"/>
        <v>0</v>
      </c>
      <c r="BY57" s="419">
        <f t="shared" si="34"/>
        <v>0</v>
      </c>
      <c r="CA57" s="419">
        <f t="shared" si="35"/>
        <v>0</v>
      </c>
      <c r="CB57" s="420">
        <f t="shared" si="36"/>
        <v>0</v>
      </c>
      <c r="CC57" s="420">
        <f t="shared" si="36"/>
        <v>0</v>
      </c>
      <c r="CD57" s="420">
        <f t="shared" si="36"/>
        <v>0</v>
      </c>
      <c r="CE57" s="420">
        <f t="shared" si="36"/>
        <v>0</v>
      </c>
    </row>
    <row r="58" spans="1:86" s="424" customFormat="1" ht="15" x14ac:dyDescent="0.25">
      <c r="A58" s="643"/>
      <c r="B58" s="427" t="s">
        <v>271</v>
      </c>
      <c r="C58" s="428">
        <v>1.53</v>
      </c>
      <c r="D58" s="429" t="s">
        <v>270</v>
      </c>
      <c r="E58" s="665"/>
      <c r="F58" s="430">
        <v>0</v>
      </c>
      <c r="G58" s="431"/>
      <c r="H58" s="432"/>
      <c r="I58" s="431"/>
      <c r="J58" s="431"/>
      <c r="K58" s="431"/>
      <c r="L58" s="431"/>
      <c r="M58" s="433"/>
      <c r="N58" s="155"/>
      <c r="O58" s="434">
        <f>SUM(F58:M58)</f>
        <v>0</v>
      </c>
      <c r="P58" s="435"/>
      <c r="Q58" s="422"/>
      <c r="R58" s="423"/>
      <c r="U58" s="425"/>
      <c r="V58" s="431"/>
      <c r="W58" s="432"/>
      <c r="X58" s="431"/>
      <c r="Y58" s="431"/>
      <c r="Z58" s="431"/>
      <c r="AA58" s="431"/>
      <c r="AB58" s="433"/>
      <c r="AC58" s="433"/>
      <c r="AD58" s="155"/>
      <c r="AE58" s="434"/>
      <c r="AH58" s="425"/>
      <c r="AJ58" s="432"/>
      <c r="AK58" s="432"/>
      <c r="AL58" s="431"/>
      <c r="AM58" s="431"/>
      <c r="AN58" s="431"/>
      <c r="AO58" s="431"/>
      <c r="AP58" s="433"/>
      <c r="AQ58" s="155"/>
      <c r="AR58" s="434"/>
      <c r="AS58" s="435"/>
      <c r="AT58" s="422"/>
      <c r="AU58" s="425"/>
      <c r="AW58" s="432"/>
      <c r="AX58" s="432"/>
      <c r="AY58" s="431"/>
      <c r="AZ58" s="431"/>
      <c r="BA58" s="431"/>
      <c r="BB58" s="431"/>
      <c r="BC58" s="433"/>
      <c r="BD58" s="155"/>
      <c r="BE58" s="434"/>
      <c r="BH58" s="425"/>
      <c r="BJ58" s="436">
        <v>1</v>
      </c>
      <c r="BK58" s="437"/>
      <c r="BL58" s="437"/>
      <c r="BM58" s="438"/>
      <c r="BN58" s="426"/>
      <c r="BO58" s="439">
        <f t="shared" si="30"/>
        <v>0</v>
      </c>
      <c r="BP58" s="439">
        <f t="shared" si="30"/>
        <v>0</v>
      </c>
      <c r="BQ58" s="439">
        <f t="shared" si="30"/>
        <v>0</v>
      </c>
      <c r="BR58" s="439">
        <f t="shared" si="30"/>
        <v>0</v>
      </c>
      <c r="BS58" s="426"/>
      <c r="BT58" s="440">
        <f t="shared" si="31"/>
        <v>0</v>
      </c>
      <c r="BU58" s="441">
        <f t="shared" si="32"/>
        <v>0</v>
      </c>
      <c r="BV58" s="441">
        <f t="shared" si="33"/>
        <v>0</v>
      </c>
      <c r="BW58" s="441">
        <f t="shared" si="33"/>
        <v>0</v>
      </c>
      <c r="BX58" s="442">
        <f t="shared" si="33"/>
        <v>0</v>
      </c>
      <c r="BY58" s="443">
        <f t="shared" si="34"/>
        <v>0</v>
      </c>
      <c r="CA58" s="443">
        <f t="shared" si="35"/>
        <v>0</v>
      </c>
      <c r="CB58" s="444">
        <f t="shared" si="36"/>
        <v>0</v>
      </c>
      <c r="CC58" s="444">
        <f t="shared" si="36"/>
        <v>0</v>
      </c>
      <c r="CD58" s="444">
        <f t="shared" si="36"/>
        <v>0</v>
      </c>
      <c r="CE58" s="444">
        <f t="shared" si="36"/>
        <v>0</v>
      </c>
    </row>
    <row r="59" spans="1:86" ht="14.25" customHeight="1" x14ac:dyDescent="0.2">
      <c r="A59" s="643"/>
      <c r="B59" s="427" t="s">
        <v>272</v>
      </c>
      <c r="C59" s="428" t="s">
        <v>273</v>
      </c>
      <c r="D59" s="445">
        <v>0.10100000000000001</v>
      </c>
      <c r="E59" s="665"/>
      <c r="F59" s="432">
        <v>1</v>
      </c>
      <c r="G59" s="431">
        <v>3</v>
      </c>
      <c r="H59" s="432">
        <v>1</v>
      </c>
      <c r="I59" s="431">
        <v>10</v>
      </c>
      <c r="J59" s="431">
        <v>1</v>
      </c>
      <c r="K59" s="431">
        <v>3</v>
      </c>
      <c r="L59" s="431">
        <v>2</v>
      </c>
      <c r="M59" s="433">
        <v>1</v>
      </c>
      <c r="N59" s="155"/>
      <c r="O59" s="434">
        <f t="shared" si="29"/>
        <v>22</v>
      </c>
      <c r="P59" s="308"/>
      <c r="Q59" s="308"/>
      <c r="R59" s="309"/>
      <c r="U59" s="84"/>
      <c r="V59" s="431"/>
      <c r="W59" s="432"/>
      <c r="X59" s="446"/>
      <c r="Y59" s="431"/>
      <c r="Z59" s="431"/>
      <c r="AA59" s="431"/>
      <c r="AB59" s="433"/>
      <c r="AC59" s="433"/>
      <c r="AD59" s="155"/>
      <c r="AE59" s="434"/>
      <c r="AH59" s="84"/>
      <c r="AJ59" s="432"/>
      <c r="AK59" s="432"/>
      <c r="AL59" s="431"/>
      <c r="AM59" s="431"/>
      <c r="AN59" s="431"/>
      <c r="AO59" s="431"/>
      <c r="AP59" s="433"/>
      <c r="AQ59" s="155"/>
      <c r="AR59" s="434"/>
      <c r="AS59" s="308"/>
      <c r="AT59" s="308"/>
      <c r="AU59" s="84"/>
      <c r="AW59" s="432"/>
      <c r="AX59" s="432"/>
      <c r="AY59" s="431"/>
      <c r="AZ59" s="431"/>
      <c r="BA59" s="431"/>
      <c r="BB59" s="431"/>
      <c r="BC59" s="433"/>
      <c r="BD59" s="155"/>
      <c r="BE59" s="434"/>
      <c r="BH59" s="84"/>
      <c r="BJ59" s="436"/>
      <c r="BK59" s="437"/>
      <c r="BL59" s="437">
        <v>1</v>
      </c>
      <c r="BM59" s="438"/>
      <c r="BN59" s="103"/>
      <c r="BO59" s="447">
        <f t="shared" si="30"/>
        <v>22</v>
      </c>
      <c r="BP59" s="447">
        <f t="shared" si="30"/>
        <v>22</v>
      </c>
      <c r="BQ59" s="447">
        <f t="shared" si="30"/>
        <v>22</v>
      </c>
      <c r="BR59" s="447">
        <f t="shared" si="30"/>
        <v>22</v>
      </c>
      <c r="BS59" s="103"/>
      <c r="BT59" s="440">
        <f t="shared" si="31"/>
        <v>0</v>
      </c>
      <c r="BU59" s="441">
        <f t="shared" si="32"/>
        <v>5.6100000000000012</v>
      </c>
      <c r="BV59" s="441">
        <f t="shared" si="33"/>
        <v>0</v>
      </c>
      <c r="BW59" s="441">
        <f t="shared" si="33"/>
        <v>158.94999999999999</v>
      </c>
      <c r="BX59" s="448">
        <f t="shared" si="33"/>
        <v>0</v>
      </c>
      <c r="BY59" s="443">
        <f t="shared" si="34"/>
        <v>22.440000000000005</v>
      </c>
      <c r="CA59" s="443">
        <f t="shared" si="35"/>
        <v>28.050000000000004</v>
      </c>
      <c r="CB59" s="449">
        <f t="shared" si="36"/>
        <v>22</v>
      </c>
      <c r="CC59" s="449">
        <f t="shared" si="36"/>
        <v>22</v>
      </c>
      <c r="CD59" s="449">
        <f t="shared" si="36"/>
        <v>22</v>
      </c>
      <c r="CE59" s="449">
        <f t="shared" si="36"/>
        <v>22</v>
      </c>
    </row>
    <row r="60" spans="1:86" s="424" customFormat="1" ht="15" x14ac:dyDescent="0.25">
      <c r="A60" s="643"/>
      <c r="B60" s="427" t="s">
        <v>274</v>
      </c>
      <c r="C60" s="428">
        <v>1.67</v>
      </c>
      <c r="D60" s="429" t="s">
        <v>270</v>
      </c>
      <c r="E60" s="665"/>
      <c r="F60" s="432">
        <v>0</v>
      </c>
      <c r="G60" s="431"/>
      <c r="H60" s="432"/>
      <c r="I60" s="431"/>
      <c r="J60" s="431"/>
      <c r="K60" s="431"/>
      <c r="L60" s="431"/>
      <c r="M60" s="433"/>
      <c r="N60" s="155"/>
      <c r="O60" s="434">
        <f t="shared" si="29"/>
        <v>0</v>
      </c>
      <c r="P60" s="422"/>
      <c r="Q60" s="422"/>
      <c r="R60" s="423"/>
      <c r="U60" s="425"/>
      <c r="V60" s="431"/>
      <c r="W60" s="432"/>
      <c r="X60" s="431"/>
      <c r="Y60" s="431"/>
      <c r="Z60" s="431"/>
      <c r="AA60" s="431"/>
      <c r="AB60" s="433"/>
      <c r="AC60" s="433"/>
      <c r="AD60" s="155"/>
      <c r="AE60" s="434"/>
      <c r="AH60" s="425"/>
      <c r="AJ60" s="432"/>
      <c r="AK60" s="432"/>
      <c r="AL60" s="431"/>
      <c r="AM60" s="431"/>
      <c r="AN60" s="431"/>
      <c r="AO60" s="431"/>
      <c r="AP60" s="433"/>
      <c r="AQ60" s="155"/>
      <c r="AR60" s="434"/>
      <c r="AS60" s="422"/>
      <c r="AT60" s="422"/>
      <c r="AU60" s="425"/>
      <c r="AW60" s="432"/>
      <c r="AX60" s="432"/>
      <c r="AY60" s="431"/>
      <c r="AZ60" s="431"/>
      <c r="BA60" s="431"/>
      <c r="BB60" s="431"/>
      <c r="BC60" s="433"/>
      <c r="BD60" s="155"/>
      <c r="BE60" s="434"/>
      <c r="BH60" s="425"/>
      <c r="BJ60" s="436">
        <v>1</v>
      </c>
      <c r="BK60" s="437"/>
      <c r="BL60" s="437"/>
      <c r="BM60" s="438"/>
      <c r="BN60" s="426"/>
      <c r="BO60" s="447">
        <f t="shared" si="30"/>
        <v>0</v>
      </c>
      <c r="BP60" s="447">
        <f t="shared" si="30"/>
        <v>0</v>
      </c>
      <c r="BQ60" s="447">
        <f t="shared" si="30"/>
        <v>0</v>
      </c>
      <c r="BR60" s="447">
        <f t="shared" si="30"/>
        <v>0</v>
      </c>
      <c r="BS60" s="426"/>
      <c r="BT60" s="440">
        <f t="shared" si="31"/>
        <v>0</v>
      </c>
      <c r="BU60" s="441">
        <f t="shared" si="32"/>
        <v>0</v>
      </c>
      <c r="BV60" s="441">
        <f t="shared" si="33"/>
        <v>0</v>
      </c>
      <c r="BW60" s="441">
        <f t="shared" si="33"/>
        <v>0</v>
      </c>
      <c r="BX60" s="448">
        <f t="shared" si="33"/>
        <v>0</v>
      </c>
      <c r="BY60" s="443">
        <f t="shared" si="34"/>
        <v>0</v>
      </c>
      <c r="CA60" s="443">
        <f t="shared" si="35"/>
        <v>0</v>
      </c>
      <c r="CB60" s="449">
        <f t="shared" si="36"/>
        <v>0</v>
      </c>
      <c r="CC60" s="449">
        <f t="shared" si="36"/>
        <v>0</v>
      </c>
      <c r="CD60" s="449">
        <f t="shared" si="36"/>
        <v>0</v>
      </c>
      <c r="CE60" s="449">
        <f t="shared" si="36"/>
        <v>0</v>
      </c>
    </row>
    <row r="61" spans="1:86" ht="14.25" customHeight="1" x14ac:dyDescent="0.2">
      <c r="A61" s="643"/>
      <c r="B61" s="427" t="s">
        <v>275</v>
      </c>
      <c r="C61" s="428">
        <v>1.671</v>
      </c>
      <c r="D61" s="445">
        <v>0.61299999999999999</v>
      </c>
      <c r="E61" s="665"/>
      <c r="F61" s="432">
        <v>1</v>
      </c>
      <c r="G61" s="431">
        <v>3</v>
      </c>
      <c r="H61" s="432">
        <v>1</v>
      </c>
      <c r="I61" s="431">
        <v>10</v>
      </c>
      <c r="J61" s="431">
        <v>1</v>
      </c>
      <c r="K61" s="431">
        <v>3</v>
      </c>
      <c r="L61" s="431">
        <v>2</v>
      </c>
      <c r="M61" s="433">
        <v>1</v>
      </c>
      <c r="N61" s="155"/>
      <c r="O61" s="434">
        <f t="shared" si="29"/>
        <v>22</v>
      </c>
      <c r="R61" s="84"/>
      <c r="U61" s="84"/>
      <c r="V61" s="431"/>
      <c r="W61" s="432"/>
      <c r="X61" s="431"/>
      <c r="Y61" s="431"/>
      <c r="Z61" s="431"/>
      <c r="AA61" s="431"/>
      <c r="AB61" s="433"/>
      <c r="AC61" s="433"/>
      <c r="AD61" s="155"/>
      <c r="AE61" s="434"/>
      <c r="AF61" s="424"/>
      <c r="AG61" s="424"/>
      <c r="AH61" s="84"/>
      <c r="AJ61" s="432"/>
      <c r="AK61" s="432"/>
      <c r="AL61" s="431"/>
      <c r="AM61" s="431"/>
      <c r="AN61" s="431"/>
      <c r="AO61" s="431"/>
      <c r="AP61" s="433"/>
      <c r="AQ61" s="155"/>
      <c r="AR61" s="434"/>
      <c r="AS61" s="308"/>
      <c r="AT61" s="308"/>
      <c r="AU61" s="84"/>
      <c r="AW61" s="432"/>
      <c r="AX61" s="432"/>
      <c r="AY61" s="431"/>
      <c r="AZ61" s="431"/>
      <c r="BA61" s="431"/>
      <c r="BB61" s="431"/>
      <c r="BC61" s="433"/>
      <c r="BD61" s="155"/>
      <c r="BE61" s="434"/>
      <c r="BH61" s="84"/>
      <c r="BJ61" s="436"/>
      <c r="BK61" s="437"/>
      <c r="BL61" s="437">
        <v>1</v>
      </c>
      <c r="BM61" s="438"/>
      <c r="BN61" s="103"/>
      <c r="BO61" s="447">
        <f t="shared" si="30"/>
        <v>22</v>
      </c>
      <c r="BP61" s="447">
        <f t="shared" si="30"/>
        <v>22</v>
      </c>
      <c r="BQ61" s="447">
        <f t="shared" si="30"/>
        <v>22</v>
      </c>
      <c r="BR61" s="447">
        <f t="shared" si="30"/>
        <v>22</v>
      </c>
      <c r="BS61" s="103"/>
      <c r="BT61" s="440">
        <f t="shared" si="31"/>
        <v>0</v>
      </c>
      <c r="BU61" s="441">
        <f t="shared" si="32"/>
        <v>5.6100000000000012</v>
      </c>
      <c r="BV61" s="441">
        <f t="shared" si="33"/>
        <v>0</v>
      </c>
      <c r="BW61" s="441">
        <f t="shared" si="33"/>
        <v>158.94999999999999</v>
      </c>
      <c r="BX61" s="448">
        <f t="shared" si="33"/>
        <v>0</v>
      </c>
      <c r="BY61" s="443">
        <f t="shared" si="34"/>
        <v>22.440000000000005</v>
      </c>
      <c r="CA61" s="443">
        <f t="shared" si="35"/>
        <v>28.050000000000004</v>
      </c>
      <c r="CB61" s="449">
        <f t="shared" si="36"/>
        <v>22</v>
      </c>
      <c r="CC61" s="449">
        <f t="shared" si="36"/>
        <v>22</v>
      </c>
      <c r="CD61" s="449">
        <f t="shared" si="36"/>
        <v>22</v>
      </c>
      <c r="CE61" s="449">
        <f t="shared" si="36"/>
        <v>22</v>
      </c>
    </row>
    <row r="62" spans="1:86" ht="14.25" customHeight="1" x14ac:dyDescent="0.2">
      <c r="A62" s="643"/>
      <c r="B62" s="427" t="s">
        <v>276</v>
      </c>
      <c r="C62" s="428">
        <v>1.6739999999999999</v>
      </c>
      <c r="D62" s="445">
        <v>0.42399999999999999</v>
      </c>
      <c r="E62" s="665"/>
      <c r="F62" s="432">
        <v>1</v>
      </c>
      <c r="G62" s="431">
        <v>3</v>
      </c>
      <c r="H62" s="432">
        <v>1</v>
      </c>
      <c r="I62" s="431"/>
      <c r="J62" s="431"/>
      <c r="K62" s="431">
        <v>3</v>
      </c>
      <c r="L62" s="431">
        <v>2</v>
      </c>
      <c r="M62" s="433">
        <v>1</v>
      </c>
      <c r="N62" s="155"/>
      <c r="O62" s="434">
        <f t="shared" si="29"/>
        <v>11</v>
      </c>
      <c r="R62" s="84"/>
      <c r="U62" s="84"/>
      <c r="V62" s="431"/>
      <c r="W62" s="432"/>
      <c r="X62" s="431"/>
      <c r="Y62" s="431"/>
      <c r="Z62" s="431"/>
      <c r="AA62" s="431"/>
      <c r="AB62" s="433"/>
      <c r="AC62" s="433"/>
      <c r="AD62" s="155"/>
      <c r="AE62" s="434"/>
      <c r="AH62" s="84"/>
      <c r="AJ62" s="432"/>
      <c r="AK62" s="432"/>
      <c r="AL62" s="431"/>
      <c r="AM62" s="431"/>
      <c r="AN62" s="431"/>
      <c r="AO62" s="431"/>
      <c r="AP62" s="433"/>
      <c r="AQ62" s="155"/>
      <c r="AR62" s="434"/>
      <c r="AS62" s="308"/>
      <c r="AT62" s="308"/>
      <c r="AU62" s="84"/>
      <c r="AW62" s="432"/>
      <c r="AX62" s="432"/>
      <c r="AY62" s="431"/>
      <c r="AZ62" s="431"/>
      <c r="BA62" s="431"/>
      <c r="BB62" s="431"/>
      <c r="BC62" s="433"/>
      <c r="BD62" s="155"/>
      <c r="BE62" s="434"/>
      <c r="BH62" s="84"/>
      <c r="BJ62" s="436">
        <v>1</v>
      </c>
      <c r="BK62" s="437"/>
      <c r="BL62" s="437"/>
      <c r="BM62" s="438"/>
      <c r="BN62" s="103"/>
      <c r="BO62" s="447">
        <f t="shared" si="30"/>
        <v>11</v>
      </c>
      <c r="BP62" s="447">
        <f t="shared" si="30"/>
        <v>11</v>
      </c>
      <c r="BQ62" s="447">
        <f t="shared" si="30"/>
        <v>11</v>
      </c>
      <c r="BR62" s="447">
        <f t="shared" si="30"/>
        <v>11</v>
      </c>
      <c r="BS62" s="103"/>
      <c r="BT62" s="440">
        <f t="shared" si="31"/>
        <v>79.474999999999994</v>
      </c>
      <c r="BU62" s="441">
        <f t="shared" si="32"/>
        <v>2.8050000000000006</v>
      </c>
      <c r="BV62" s="441">
        <f t="shared" si="33"/>
        <v>0</v>
      </c>
      <c r="BW62" s="441">
        <f t="shared" si="33"/>
        <v>0</v>
      </c>
      <c r="BX62" s="448">
        <f t="shared" si="33"/>
        <v>0</v>
      </c>
      <c r="BY62" s="443">
        <f t="shared" si="34"/>
        <v>11.220000000000002</v>
      </c>
      <c r="CA62" s="443">
        <f t="shared" si="35"/>
        <v>14.025000000000002</v>
      </c>
      <c r="CB62" s="449">
        <f t="shared" si="36"/>
        <v>11</v>
      </c>
      <c r="CC62" s="449">
        <f t="shared" si="36"/>
        <v>11</v>
      </c>
      <c r="CD62" s="449">
        <f t="shared" si="36"/>
        <v>11</v>
      </c>
      <c r="CE62" s="449">
        <f t="shared" si="36"/>
        <v>11</v>
      </c>
    </row>
    <row r="63" spans="1:86" s="424" customFormat="1" ht="15" x14ac:dyDescent="0.25">
      <c r="A63" s="643"/>
      <c r="B63" s="427" t="s">
        <v>277</v>
      </c>
      <c r="C63" s="428">
        <v>1.68</v>
      </c>
      <c r="D63" s="450" t="s">
        <v>239</v>
      </c>
      <c r="E63" s="665"/>
      <c r="F63" s="432">
        <v>1</v>
      </c>
      <c r="G63" s="431"/>
      <c r="H63" s="432">
        <v>1</v>
      </c>
      <c r="I63" s="451">
        <v>5</v>
      </c>
      <c r="J63" s="451">
        <v>1</v>
      </c>
      <c r="K63" s="451"/>
      <c r="L63" s="451"/>
      <c r="M63" s="452"/>
      <c r="N63" s="155"/>
      <c r="O63" s="434">
        <f t="shared" si="29"/>
        <v>8</v>
      </c>
      <c r="R63" s="425"/>
      <c r="U63" s="425"/>
      <c r="V63" s="431"/>
      <c r="W63" s="432"/>
      <c r="X63" s="431"/>
      <c r="Y63" s="431"/>
      <c r="Z63" s="431"/>
      <c r="AA63" s="431"/>
      <c r="AB63" s="433"/>
      <c r="AC63" s="452"/>
      <c r="AD63" s="155"/>
      <c r="AE63" s="434"/>
      <c r="AH63" s="425"/>
      <c r="AJ63" s="432"/>
      <c r="AK63" s="432"/>
      <c r="AL63" s="431"/>
      <c r="AM63" s="451"/>
      <c r="AN63" s="451"/>
      <c r="AO63" s="451"/>
      <c r="AP63" s="452"/>
      <c r="AQ63" s="155"/>
      <c r="AR63" s="434"/>
      <c r="AS63" s="422"/>
      <c r="AT63" s="422"/>
      <c r="AU63" s="425"/>
      <c r="AW63" s="432"/>
      <c r="AX63" s="432"/>
      <c r="AY63" s="451"/>
      <c r="AZ63" s="451"/>
      <c r="BA63" s="451"/>
      <c r="BB63" s="451"/>
      <c r="BC63" s="452"/>
      <c r="BD63" s="155"/>
      <c r="BE63" s="434"/>
      <c r="BH63" s="425"/>
      <c r="BJ63" s="436">
        <v>1</v>
      </c>
      <c r="BK63" s="437"/>
      <c r="BL63" s="437"/>
      <c r="BM63" s="438"/>
      <c r="BN63" s="426"/>
      <c r="BO63" s="447">
        <f t="shared" si="30"/>
        <v>8</v>
      </c>
      <c r="BP63" s="447">
        <f t="shared" si="30"/>
        <v>8</v>
      </c>
      <c r="BQ63" s="447">
        <f t="shared" si="30"/>
        <v>8</v>
      </c>
      <c r="BR63" s="447">
        <f t="shared" si="30"/>
        <v>8</v>
      </c>
      <c r="BS63" s="426"/>
      <c r="BT63" s="440">
        <f t="shared" si="31"/>
        <v>57.8</v>
      </c>
      <c r="BU63" s="441">
        <f t="shared" si="32"/>
        <v>2.0400000000000005</v>
      </c>
      <c r="BV63" s="441">
        <f t="shared" si="33"/>
        <v>0</v>
      </c>
      <c r="BW63" s="441">
        <f t="shared" si="33"/>
        <v>0</v>
      </c>
      <c r="BX63" s="448">
        <f t="shared" si="33"/>
        <v>0</v>
      </c>
      <c r="BY63" s="443">
        <f t="shared" si="34"/>
        <v>8.1600000000000019</v>
      </c>
      <c r="CA63" s="443">
        <f t="shared" si="35"/>
        <v>10.200000000000001</v>
      </c>
      <c r="CB63" s="449">
        <f t="shared" si="36"/>
        <v>8</v>
      </c>
      <c r="CC63" s="449">
        <f t="shared" si="36"/>
        <v>8</v>
      </c>
      <c r="CD63" s="449">
        <f t="shared" si="36"/>
        <v>8</v>
      </c>
      <c r="CE63" s="449">
        <f t="shared" si="36"/>
        <v>8</v>
      </c>
    </row>
    <row r="64" spans="1:86" ht="14.25" customHeight="1" x14ac:dyDescent="0.2">
      <c r="A64" s="643"/>
      <c r="B64" s="453" t="s">
        <v>278</v>
      </c>
      <c r="C64" s="454">
        <v>2.6720000000000002</v>
      </c>
      <c r="D64" s="455">
        <v>0.35599999999999998</v>
      </c>
      <c r="E64" s="665"/>
      <c r="F64" s="456">
        <v>1</v>
      </c>
      <c r="G64" s="457">
        <v>3</v>
      </c>
      <c r="H64" s="456">
        <v>0.5</v>
      </c>
      <c r="I64" s="457">
        <v>8</v>
      </c>
      <c r="J64" s="457">
        <v>1</v>
      </c>
      <c r="K64" s="457">
        <v>2</v>
      </c>
      <c r="L64" s="457">
        <v>2</v>
      </c>
      <c r="M64" s="458">
        <v>1</v>
      </c>
      <c r="N64" s="155"/>
      <c r="O64" s="459">
        <f t="shared" si="29"/>
        <v>18.5</v>
      </c>
      <c r="R64" s="84"/>
      <c r="U64" s="84"/>
      <c r="V64" s="457"/>
      <c r="W64" s="456"/>
      <c r="X64" s="457"/>
      <c r="Y64" s="457"/>
      <c r="Z64" s="457"/>
      <c r="AA64" s="457"/>
      <c r="AB64" s="458"/>
      <c r="AC64" s="458"/>
      <c r="AD64" s="155"/>
      <c r="AE64" s="459"/>
      <c r="AH64" s="84"/>
      <c r="AJ64" s="456"/>
      <c r="AK64" s="456"/>
      <c r="AL64" s="457"/>
      <c r="AM64" s="457"/>
      <c r="AN64" s="457"/>
      <c r="AO64" s="457"/>
      <c r="AP64" s="458"/>
      <c r="AQ64" s="155"/>
      <c r="AR64" s="459"/>
      <c r="AU64" s="84"/>
      <c r="AW64" s="456"/>
      <c r="AX64" s="456"/>
      <c r="AY64" s="457"/>
      <c r="AZ64" s="457"/>
      <c r="BA64" s="457"/>
      <c r="BB64" s="457"/>
      <c r="BC64" s="458"/>
      <c r="BD64" s="155"/>
      <c r="BE64" s="459"/>
      <c r="BH64" s="84"/>
      <c r="BJ64" s="460">
        <v>1</v>
      </c>
      <c r="BK64" s="461"/>
      <c r="BL64" s="461"/>
      <c r="BM64" s="462"/>
      <c r="BN64" s="103"/>
      <c r="BO64" s="463">
        <f t="shared" si="30"/>
        <v>18.5</v>
      </c>
      <c r="BP64" s="463">
        <f t="shared" si="30"/>
        <v>18.5</v>
      </c>
      <c r="BQ64" s="463">
        <f t="shared" si="30"/>
        <v>18.5</v>
      </c>
      <c r="BR64" s="463">
        <f t="shared" si="30"/>
        <v>18.5</v>
      </c>
      <c r="BS64" s="103"/>
      <c r="BT64" s="464">
        <f t="shared" si="31"/>
        <v>133.66249999999999</v>
      </c>
      <c r="BU64" s="465">
        <f t="shared" si="32"/>
        <v>4.7175000000000002</v>
      </c>
      <c r="BV64" s="465">
        <f t="shared" si="33"/>
        <v>0</v>
      </c>
      <c r="BW64" s="465">
        <f t="shared" si="33"/>
        <v>0</v>
      </c>
      <c r="BX64" s="465">
        <f t="shared" si="33"/>
        <v>0</v>
      </c>
      <c r="BY64" s="466">
        <f t="shared" si="34"/>
        <v>18.87</v>
      </c>
      <c r="CA64" s="466">
        <f t="shared" si="35"/>
        <v>23.587500000000002</v>
      </c>
      <c r="CB64" s="467">
        <f t="shared" si="36"/>
        <v>18.5</v>
      </c>
      <c r="CC64" s="467">
        <f t="shared" si="36"/>
        <v>18.5</v>
      </c>
      <c r="CD64" s="467">
        <f t="shared" si="36"/>
        <v>18.5</v>
      </c>
      <c r="CE64" s="467">
        <f t="shared" si="36"/>
        <v>18.5</v>
      </c>
    </row>
    <row r="65" spans="1:84" ht="14.25" customHeight="1" x14ac:dyDescent="0.2">
      <c r="A65" s="643"/>
      <c r="B65" s="453" t="s">
        <v>279</v>
      </c>
      <c r="C65" s="454">
        <v>2.673</v>
      </c>
      <c r="D65" s="455">
        <v>0.27300000000000002</v>
      </c>
      <c r="E65" s="665"/>
      <c r="F65" s="456">
        <v>1</v>
      </c>
      <c r="G65" s="457">
        <v>3</v>
      </c>
      <c r="H65" s="456">
        <v>0.5</v>
      </c>
      <c r="I65" s="457">
        <v>8</v>
      </c>
      <c r="J65" s="457">
        <v>1</v>
      </c>
      <c r="K65" s="457">
        <v>2</v>
      </c>
      <c r="L65" s="457">
        <v>2</v>
      </c>
      <c r="M65" s="458">
        <v>1</v>
      </c>
      <c r="N65" s="155"/>
      <c r="O65" s="459">
        <f t="shared" si="29"/>
        <v>18.5</v>
      </c>
      <c r="R65" s="84"/>
      <c r="U65" s="84"/>
      <c r="V65" s="457"/>
      <c r="W65" s="456"/>
      <c r="X65" s="468"/>
      <c r="Y65" s="457"/>
      <c r="Z65" s="457"/>
      <c r="AA65" s="457"/>
      <c r="AB65" s="458"/>
      <c r="AC65" s="458"/>
      <c r="AD65" s="155"/>
      <c r="AE65" s="459"/>
      <c r="AH65" s="84"/>
      <c r="AJ65" s="456"/>
      <c r="AK65" s="456"/>
      <c r="AL65" s="457"/>
      <c r="AM65" s="457"/>
      <c r="AN65" s="457"/>
      <c r="AO65" s="457"/>
      <c r="AP65" s="458"/>
      <c r="AQ65" s="155"/>
      <c r="AR65" s="459"/>
      <c r="AU65" s="84"/>
      <c r="AW65" s="456"/>
      <c r="AX65" s="456"/>
      <c r="AY65" s="457"/>
      <c r="AZ65" s="457"/>
      <c r="BA65" s="457"/>
      <c r="BB65" s="457"/>
      <c r="BC65" s="458"/>
      <c r="BD65" s="155"/>
      <c r="BE65" s="459"/>
      <c r="BH65" s="84"/>
      <c r="BJ65" s="460">
        <v>1</v>
      </c>
      <c r="BK65" s="461"/>
      <c r="BL65" s="461"/>
      <c r="BM65" s="462"/>
      <c r="BN65" s="103"/>
      <c r="BO65" s="463">
        <f t="shared" si="30"/>
        <v>18.5</v>
      </c>
      <c r="BP65" s="463">
        <f t="shared" si="30"/>
        <v>18.5</v>
      </c>
      <c r="BQ65" s="463">
        <f t="shared" si="30"/>
        <v>18.5</v>
      </c>
      <c r="BR65" s="463">
        <f t="shared" si="30"/>
        <v>18.5</v>
      </c>
      <c r="BS65" s="103"/>
      <c r="BT65" s="464">
        <f t="shared" si="31"/>
        <v>133.66249999999999</v>
      </c>
      <c r="BU65" s="465">
        <f t="shared" si="32"/>
        <v>4.7175000000000002</v>
      </c>
      <c r="BV65" s="465">
        <f t="shared" si="33"/>
        <v>0</v>
      </c>
      <c r="BW65" s="465">
        <f t="shared" si="33"/>
        <v>0</v>
      </c>
      <c r="BX65" s="465">
        <f t="shared" si="33"/>
        <v>0</v>
      </c>
      <c r="BY65" s="466">
        <f t="shared" si="34"/>
        <v>18.87</v>
      </c>
      <c r="CA65" s="466">
        <f t="shared" si="35"/>
        <v>23.587500000000002</v>
      </c>
      <c r="CB65" s="467">
        <f t="shared" si="36"/>
        <v>18.5</v>
      </c>
      <c r="CC65" s="467">
        <f t="shared" si="36"/>
        <v>18.5</v>
      </c>
      <c r="CD65" s="467">
        <f t="shared" si="36"/>
        <v>18.5</v>
      </c>
      <c r="CE65" s="467">
        <f t="shared" si="36"/>
        <v>18.5</v>
      </c>
    </row>
    <row r="66" spans="1:84" s="424" customFormat="1" ht="15" x14ac:dyDescent="0.25">
      <c r="A66" s="643"/>
      <c r="B66" s="453" t="s">
        <v>280</v>
      </c>
      <c r="C66" s="454">
        <v>2.677</v>
      </c>
      <c r="D66" s="469" t="s">
        <v>239</v>
      </c>
      <c r="E66" s="665"/>
      <c r="F66" s="456">
        <v>1</v>
      </c>
      <c r="G66" s="457">
        <v>1.5</v>
      </c>
      <c r="H66" s="456">
        <v>0.5</v>
      </c>
      <c r="I66" s="457">
        <v>8</v>
      </c>
      <c r="J66" s="457">
        <v>1</v>
      </c>
      <c r="K66" s="457"/>
      <c r="L66" s="457"/>
      <c r="M66" s="458"/>
      <c r="N66" s="155"/>
      <c r="O66" s="459">
        <f t="shared" si="29"/>
        <v>12</v>
      </c>
      <c r="P66" s="161"/>
      <c r="R66" s="425"/>
      <c r="U66" s="425"/>
      <c r="V66" s="457"/>
      <c r="W66" s="456"/>
      <c r="X66" s="468"/>
      <c r="Y66" s="457"/>
      <c r="Z66" s="457"/>
      <c r="AA66" s="457"/>
      <c r="AB66" s="458"/>
      <c r="AC66" s="458"/>
      <c r="AD66" s="155"/>
      <c r="AE66" s="459"/>
      <c r="AH66" s="425"/>
      <c r="AJ66" s="456"/>
      <c r="AK66" s="456"/>
      <c r="AL66" s="457"/>
      <c r="AM66" s="457"/>
      <c r="AN66" s="457"/>
      <c r="AO66" s="457"/>
      <c r="AP66" s="458"/>
      <c r="AQ66" s="155"/>
      <c r="AR66" s="459"/>
      <c r="AU66" s="425"/>
      <c r="AW66" s="456"/>
      <c r="AX66" s="456"/>
      <c r="AY66" s="457"/>
      <c r="AZ66" s="457"/>
      <c r="BA66" s="457"/>
      <c r="BB66" s="457"/>
      <c r="BC66" s="458"/>
      <c r="BD66" s="155"/>
      <c r="BE66" s="459"/>
      <c r="BH66" s="425"/>
      <c r="BJ66" s="460">
        <v>1</v>
      </c>
      <c r="BK66" s="461"/>
      <c r="BL66" s="461"/>
      <c r="BM66" s="462"/>
      <c r="BN66" s="426"/>
      <c r="BO66" s="463">
        <f t="shared" si="30"/>
        <v>12</v>
      </c>
      <c r="BP66" s="463">
        <f t="shared" si="30"/>
        <v>12</v>
      </c>
      <c r="BQ66" s="463">
        <f t="shared" si="30"/>
        <v>12</v>
      </c>
      <c r="BR66" s="463">
        <f t="shared" si="30"/>
        <v>12</v>
      </c>
      <c r="BS66" s="426"/>
      <c r="BT66" s="464">
        <f t="shared" si="31"/>
        <v>86.7</v>
      </c>
      <c r="BU66" s="465">
        <f t="shared" si="32"/>
        <v>3.0600000000000005</v>
      </c>
      <c r="BV66" s="465">
        <f t="shared" si="33"/>
        <v>0</v>
      </c>
      <c r="BW66" s="465">
        <f t="shared" si="33"/>
        <v>0</v>
      </c>
      <c r="BX66" s="465">
        <f t="shared" si="33"/>
        <v>0</v>
      </c>
      <c r="BY66" s="466">
        <f t="shared" si="34"/>
        <v>12.240000000000002</v>
      </c>
      <c r="CA66" s="466">
        <f t="shared" si="35"/>
        <v>15.300000000000002</v>
      </c>
      <c r="CB66" s="467">
        <f t="shared" si="36"/>
        <v>12</v>
      </c>
      <c r="CC66" s="467">
        <f t="shared" si="36"/>
        <v>12</v>
      </c>
      <c r="CD66" s="467">
        <f t="shared" si="36"/>
        <v>12</v>
      </c>
      <c r="CE66" s="467">
        <f t="shared" si="36"/>
        <v>12</v>
      </c>
    </row>
    <row r="67" spans="1:84" s="424" customFormat="1" ht="15" x14ac:dyDescent="0.25">
      <c r="A67" s="643"/>
      <c r="B67" s="453" t="s">
        <v>281</v>
      </c>
      <c r="C67" s="454">
        <v>2.6779999999999999</v>
      </c>
      <c r="D67" s="469" t="s">
        <v>239</v>
      </c>
      <c r="E67" s="665"/>
      <c r="F67" s="456">
        <v>1</v>
      </c>
      <c r="G67" s="457">
        <v>1.5</v>
      </c>
      <c r="H67" s="456">
        <v>0.5</v>
      </c>
      <c r="I67" s="457">
        <v>8</v>
      </c>
      <c r="J67" s="457">
        <v>1</v>
      </c>
      <c r="K67" s="457"/>
      <c r="L67" s="457"/>
      <c r="M67" s="458"/>
      <c r="N67" s="155"/>
      <c r="O67" s="459">
        <f t="shared" si="29"/>
        <v>12</v>
      </c>
      <c r="P67" s="161"/>
      <c r="R67" s="425"/>
      <c r="U67" s="425"/>
      <c r="V67" s="457"/>
      <c r="W67" s="456"/>
      <c r="X67" s="468"/>
      <c r="Y67" s="457"/>
      <c r="Z67" s="457"/>
      <c r="AA67" s="457"/>
      <c r="AB67" s="458"/>
      <c r="AC67" s="458"/>
      <c r="AD67" s="155"/>
      <c r="AE67" s="459"/>
      <c r="AH67" s="425"/>
      <c r="AJ67" s="456"/>
      <c r="AK67" s="456"/>
      <c r="AL67" s="457"/>
      <c r="AM67" s="457"/>
      <c r="AN67" s="457"/>
      <c r="AO67" s="457"/>
      <c r="AP67" s="458"/>
      <c r="AQ67" s="155"/>
      <c r="AR67" s="459"/>
      <c r="AU67" s="425"/>
      <c r="AW67" s="456"/>
      <c r="AX67" s="456"/>
      <c r="AY67" s="457"/>
      <c r="AZ67" s="457"/>
      <c r="BA67" s="457"/>
      <c r="BB67" s="457"/>
      <c r="BC67" s="458"/>
      <c r="BD67" s="155"/>
      <c r="BE67" s="459"/>
      <c r="BH67" s="425"/>
      <c r="BJ67" s="460">
        <v>1</v>
      </c>
      <c r="BK67" s="461"/>
      <c r="BL67" s="461"/>
      <c r="BM67" s="462"/>
      <c r="BN67" s="426"/>
      <c r="BO67" s="463">
        <f t="shared" si="30"/>
        <v>12</v>
      </c>
      <c r="BP67" s="463">
        <f t="shared" si="30"/>
        <v>12</v>
      </c>
      <c r="BQ67" s="463">
        <f t="shared" si="30"/>
        <v>12</v>
      </c>
      <c r="BR67" s="463">
        <f t="shared" si="30"/>
        <v>12</v>
      </c>
      <c r="BS67" s="426"/>
      <c r="BT67" s="464">
        <f t="shared" si="31"/>
        <v>86.7</v>
      </c>
      <c r="BU67" s="465">
        <f t="shared" si="32"/>
        <v>3.0600000000000005</v>
      </c>
      <c r="BV67" s="465">
        <f t="shared" si="33"/>
        <v>0</v>
      </c>
      <c r="BW67" s="465">
        <f t="shared" si="33"/>
        <v>0</v>
      </c>
      <c r="BX67" s="465">
        <f t="shared" si="33"/>
        <v>0</v>
      </c>
      <c r="BY67" s="466">
        <f t="shared" si="34"/>
        <v>12.240000000000002</v>
      </c>
      <c r="CA67" s="466">
        <f t="shared" si="35"/>
        <v>15.300000000000002</v>
      </c>
      <c r="CB67" s="467">
        <f t="shared" si="36"/>
        <v>12</v>
      </c>
      <c r="CC67" s="467">
        <f t="shared" si="36"/>
        <v>12</v>
      </c>
      <c r="CD67" s="467">
        <f t="shared" si="36"/>
        <v>12</v>
      </c>
      <c r="CE67" s="467">
        <f t="shared" si="36"/>
        <v>12</v>
      </c>
    </row>
    <row r="68" spans="1:84" ht="14.25" customHeight="1" x14ac:dyDescent="0.2">
      <c r="A68" s="643"/>
      <c r="B68" s="453" t="s">
        <v>282</v>
      </c>
      <c r="C68" s="454">
        <v>2.6789999999999998</v>
      </c>
      <c r="D68" s="455">
        <v>0.17699999999999999</v>
      </c>
      <c r="E68" s="665"/>
      <c r="F68" s="456">
        <v>1</v>
      </c>
      <c r="G68" s="457">
        <v>3</v>
      </c>
      <c r="H68" s="456">
        <v>0.5</v>
      </c>
      <c r="I68" s="457">
        <v>8</v>
      </c>
      <c r="J68" s="457">
        <v>1</v>
      </c>
      <c r="K68" s="457">
        <v>2</v>
      </c>
      <c r="L68" s="457">
        <v>2</v>
      </c>
      <c r="M68" s="458">
        <v>1</v>
      </c>
      <c r="N68" s="155"/>
      <c r="O68" s="459">
        <f t="shared" si="29"/>
        <v>18.5</v>
      </c>
      <c r="P68" s="161"/>
      <c r="R68" s="84"/>
      <c r="U68" s="84"/>
      <c r="V68" s="457"/>
      <c r="W68" s="456"/>
      <c r="X68" s="468"/>
      <c r="Y68" s="457"/>
      <c r="Z68" s="457"/>
      <c r="AA68" s="457"/>
      <c r="AB68" s="458"/>
      <c r="AC68" s="458"/>
      <c r="AD68" s="155"/>
      <c r="AE68" s="459"/>
      <c r="AH68" s="84"/>
      <c r="AJ68" s="456"/>
      <c r="AK68" s="456"/>
      <c r="AL68" s="457"/>
      <c r="AM68" s="457"/>
      <c r="AN68" s="457"/>
      <c r="AO68" s="457"/>
      <c r="AP68" s="458"/>
      <c r="AQ68" s="155"/>
      <c r="AR68" s="459"/>
      <c r="AU68" s="84"/>
      <c r="AW68" s="456"/>
      <c r="AX68" s="456"/>
      <c r="AY68" s="457"/>
      <c r="AZ68" s="457"/>
      <c r="BA68" s="457"/>
      <c r="BB68" s="457"/>
      <c r="BC68" s="458"/>
      <c r="BD68" s="155"/>
      <c r="BE68" s="459"/>
      <c r="BH68" s="84"/>
      <c r="BJ68" s="460">
        <v>1</v>
      </c>
      <c r="BK68" s="461"/>
      <c r="BL68" s="461"/>
      <c r="BM68" s="462"/>
      <c r="BN68" s="103"/>
      <c r="BO68" s="463">
        <f t="shared" si="30"/>
        <v>18.5</v>
      </c>
      <c r="BP68" s="463">
        <f t="shared" si="30"/>
        <v>18.5</v>
      </c>
      <c r="BQ68" s="463">
        <f t="shared" si="30"/>
        <v>18.5</v>
      </c>
      <c r="BR68" s="463">
        <f t="shared" si="30"/>
        <v>18.5</v>
      </c>
      <c r="BS68" s="103"/>
      <c r="BT68" s="464">
        <f t="shared" si="31"/>
        <v>133.66249999999999</v>
      </c>
      <c r="BU68" s="465">
        <f t="shared" si="32"/>
        <v>4.7175000000000002</v>
      </c>
      <c r="BV68" s="465">
        <f t="shared" si="33"/>
        <v>0</v>
      </c>
      <c r="BW68" s="465">
        <f t="shared" si="33"/>
        <v>0</v>
      </c>
      <c r="BX68" s="465">
        <f t="shared" si="33"/>
        <v>0</v>
      </c>
      <c r="BY68" s="466">
        <f t="shared" si="34"/>
        <v>18.87</v>
      </c>
      <c r="CA68" s="466">
        <f t="shared" si="35"/>
        <v>23.587500000000002</v>
      </c>
      <c r="CB68" s="467">
        <f t="shared" si="36"/>
        <v>18.5</v>
      </c>
      <c r="CC68" s="467">
        <f t="shared" si="36"/>
        <v>18.5</v>
      </c>
      <c r="CD68" s="467">
        <f t="shared" si="36"/>
        <v>18.5</v>
      </c>
      <c r="CE68" s="467">
        <f t="shared" si="36"/>
        <v>18.5</v>
      </c>
    </row>
    <row r="69" spans="1:84" s="424" customFormat="1" ht="15" x14ac:dyDescent="0.25">
      <c r="A69" s="643"/>
      <c r="B69" s="453" t="s">
        <v>283</v>
      </c>
      <c r="C69" s="454">
        <v>2.681</v>
      </c>
      <c r="D69" s="469" t="s">
        <v>239</v>
      </c>
      <c r="E69" s="666"/>
      <c r="F69" s="456">
        <v>1</v>
      </c>
      <c r="G69" s="457">
        <v>1.5</v>
      </c>
      <c r="H69" s="456">
        <v>0.5</v>
      </c>
      <c r="I69" s="457">
        <v>8</v>
      </c>
      <c r="J69" s="457">
        <v>1</v>
      </c>
      <c r="K69" s="457"/>
      <c r="L69" s="457"/>
      <c r="M69" s="458"/>
      <c r="N69" s="155"/>
      <c r="O69" s="459">
        <f t="shared" si="29"/>
        <v>12</v>
      </c>
      <c r="P69" s="161"/>
      <c r="R69" s="425"/>
      <c r="U69" s="425"/>
      <c r="V69" s="457"/>
      <c r="W69" s="456"/>
      <c r="X69" s="468"/>
      <c r="Y69" s="457"/>
      <c r="Z69" s="457"/>
      <c r="AA69" s="457"/>
      <c r="AB69" s="458"/>
      <c r="AC69" s="458"/>
      <c r="AD69" s="155"/>
      <c r="AE69" s="459"/>
      <c r="AH69" s="425"/>
      <c r="AJ69" s="456"/>
      <c r="AK69" s="456"/>
      <c r="AL69" s="457"/>
      <c r="AM69" s="457"/>
      <c r="AN69" s="457"/>
      <c r="AO69" s="457"/>
      <c r="AP69" s="458"/>
      <c r="AQ69" s="155"/>
      <c r="AR69" s="459"/>
      <c r="AU69" s="425"/>
      <c r="AW69" s="456"/>
      <c r="AX69" s="456"/>
      <c r="AY69" s="457"/>
      <c r="AZ69" s="457"/>
      <c r="BA69" s="457"/>
      <c r="BB69" s="457"/>
      <c r="BC69" s="458"/>
      <c r="BD69" s="155"/>
      <c r="BE69" s="459"/>
      <c r="BH69" s="425"/>
      <c r="BJ69" s="460">
        <v>1</v>
      </c>
      <c r="BK69" s="461"/>
      <c r="BL69" s="461"/>
      <c r="BM69" s="462"/>
      <c r="BN69" s="426"/>
      <c r="BO69" s="470">
        <f t="shared" si="30"/>
        <v>12</v>
      </c>
      <c r="BP69" s="470">
        <f t="shared" si="30"/>
        <v>12</v>
      </c>
      <c r="BQ69" s="470">
        <f t="shared" si="30"/>
        <v>12</v>
      </c>
      <c r="BR69" s="470">
        <f t="shared" si="30"/>
        <v>12</v>
      </c>
      <c r="BS69" s="426"/>
      <c r="BT69" s="464">
        <f t="shared" si="31"/>
        <v>86.7</v>
      </c>
      <c r="BU69" s="465">
        <f t="shared" si="32"/>
        <v>3.0600000000000005</v>
      </c>
      <c r="BV69" s="465">
        <f t="shared" si="33"/>
        <v>0</v>
      </c>
      <c r="BW69" s="465">
        <f t="shared" si="33"/>
        <v>0</v>
      </c>
      <c r="BX69" s="465">
        <f t="shared" si="33"/>
        <v>0</v>
      </c>
      <c r="BY69" s="466">
        <f t="shared" si="34"/>
        <v>12.240000000000002</v>
      </c>
      <c r="CA69" s="466">
        <f t="shared" si="35"/>
        <v>15.300000000000002</v>
      </c>
      <c r="CB69" s="471">
        <f t="shared" si="36"/>
        <v>12</v>
      </c>
      <c r="CC69" s="471">
        <f t="shared" si="36"/>
        <v>12</v>
      </c>
      <c r="CD69" s="471">
        <f t="shared" si="36"/>
        <v>12</v>
      </c>
      <c r="CE69" s="471">
        <f t="shared" si="36"/>
        <v>12</v>
      </c>
    </row>
    <row r="70" spans="1:84" s="424" customFormat="1" ht="15" x14ac:dyDescent="0.25">
      <c r="A70" s="643"/>
      <c r="B70" s="453" t="s">
        <v>284</v>
      </c>
      <c r="C70" s="454" t="s">
        <v>285</v>
      </c>
      <c r="D70" s="469" t="s">
        <v>239</v>
      </c>
      <c r="E70" s="666"/>
      <c r="F70" s="456">
        <v>0</v>
      </c>
      <c r="G70" s="457"/>
      <c r="H70" s="456"/>
      <c r="I70" s="457"/>
      <c r="J70" s="457"/>
      <c r="K70" s="457"/>
      <c r="L70" s="457"/>
      <c r="M70" s="458"/>
      <c r="N70" s="155"/>
      <c r="O70" s="459">
        <f t="shared" si="29"/>
        <v>0</v>
      </c>
      <c r="P70" s="161"/>
      <c r="R70" s="425"/>
      <c r="U70" s="425"/>
      <c r="V70" s="457"/>
      <c r="W70" s="456"/>
      <c r="X70" s="468"/>
      <c r="Y70" s="457"/>
      <c r="Z70" s="457"/>
      <c r="AA70" s="457"/>
      <c r="AB70" s="458"/>
      <c r="AC70" s="458"/>
      <c r="AD70" s="155"/>
      <c r="AE70" s="459"/>
      <c r="AH70" s="425"/>
      <c r="AJ70" s="456"/>
      <c r="AK70" s="456"/>
      <c r="AL70" s="457"/>
      <c r="AM70" s="457"/>
      <c r="AN70" s="457"/>
      <c r="AO70" s="457"/>
      <c r="AP70" s="458"/>
      <c r="AQ70" s="155"/>
      <c r="AR70" s="459"/>
      <c r="AU70" s="425"/>
      <c r="AW70" s="456"/>
      <c r="AX70" s="456"/>
      <c r="AY70" s="457"/>
      <c r="AZ70" s="457"/>
      <c r="BA70" s="457"/>
      <c r="BB70" s="457"/>
      <c r="BC70" s="458"/>
      <c r="BD70" s="155"/>
      <c r="BE70" s="459"/>
      <c r="BH70" s="425"/>
      <c r="BJ70" s="460">
        <v>1</v>
      </c>
      <c r="BK70" s="461"/>
      <c r="BL70" s="461"/>
      <c r="BM70" s="462"/>
      <c r="BN70" s="426"/>
      <c r="BO70" s="470">
        <f t="shared" si="30"/>
        <v>0</v>
      </c>
      <c r="BP70" s="470">
        <f t="shared" si="30"/>
        <v>0</v>
      </c>
      <c r="BQ70" s="470">
        <f t="shared" si="30"/>
        <v>0</v>
      </c>
      <c r="BR70" s="470">
        <f t="shared" si="30"/>
        <v>0</v>
      </c>
      <c r="BS70" s="426"/>
      <c r="BT70" s="464">
        <f t="shared" si="31"/>
        <v>0</v>
      </c>
      <c r="BU70" s="465">
        <f t="shared" si="32"/>
        <v>0</v>
      </c>
      <c r="BV70" s="465">
        <f t="shared" si="33"/>
        <v>0</v>
      </c>
      <c r="BW70" s="465">
        <f t="shared" si="33"/>
        <v>0</v>
      </c>
      <c r="BX70" s="465">
        <f t="shared" si="33"/>
        <v>0</v>
      </c>
      <c r="BY70" s="466">
        <f t="shared" si="34"/>
        <v>0</v>
      </c>
      <c r="CA70" s="466">
        <f t="shared" si="35"/>
        <v>0</v>
      </c>
      <c r="CB70" s="471">
        <f t="shared" si="36"/>
        <v>0</v>
      </c>
      <c r="CC70" s="471">
        <f t="shared" si="36"/>
        <v>0</v>
      </c>
      <c r="CD70" s="471">
        <f t="shared" si="36"/>
        <v>0</v>
      </c>
      <c r="CE70" s="471">
        <f t="shared" si="36"/>
        <v>0</v>
      </c>
    </row>
    <row r="71" spans="1:84" ht="14.25" customHeight="1" x14ac:dyDescent="0.2">
      <c r="A71" s="643"/>
      <c r="B71" s="453" t="s">
        <v>286</v>
      </c>
      <c r="C71" s="454">
        <v>2.6819999999999999</v>
      </c>
      <c r="D71" s="455">
        <v>0.42</v>
      </c>
      <c r="E71" s="665"/>
      <c r="F71" s="456">
        <v>1</v>
      </c>
      <c r="G71" s="457">
        <v>3</v>
      </c>
      <c r="H71" s="456">
        <v>0.5</v>
      </c>
      <c r="I71" s="457">
        <v>8</v>
      </c>
      <c r="J71" s="457">
        <v>1</v>
      </c>
      <c r="K71" s="457">
        <v>2</v>
      </c>
      <c r="L71" s="457">
        <v>2</v>
      </c>
      <c r="M71" s="458">
        <v>1</v>
      </c>
      <c r="N71" s="155"/>
      <c r="O71" s="459">
        <f t="shared" si="29"/>
        <v>18.5</v>
      </c>
      <c r="P71" s="161"/>
      <c r="R71" s="84"/>
      <c r="U71" s="84"/>
      <c r="V71" s="457"/>
      <c r="W71" s="456"/>
      <c r="X71" s="468"/>
      <c r="Y71" s="457"/>
      <c r="Z71" s="457"/>
      <c r="AA71" s="457"/>
      <c r="AB71" s="458"/>
      <c r="AC71" s="458"/>
      <c r="AD71" s="155"/>
      <c r="AE71" s="459"/>
      <c r="AH71" s="84"/>
      <c r="AJ71" s="456"/>
      <c r="AK71" s="456"/>
      <c r="AL71" s="457"/>
      <c r="AM71" s="457"/>
      <c r="AN71" s="457"/>
      <c r="AO71" s="457"/>
      <c r="AP71" s="458"/>
      <c r="AQ71" s="155"/>
      <c r="AR71" s="459"/>
      <c r="AU71" s="84"/>
      <c r="AW71" s="456"/>
      <c r="AX71" s="456"/>
      <c r="AY71" s="457"/>
      <c r="AZ71" s="457"/>
      <c r="BA71" s="457"/>
      <c r="BB71" s="457"/>
      <c r="BC71" s="458"/>
      <c r="BD71" s="155"/>
      <c r="BE71" s="459"/>
      <c r="BH71" s="84"/>
      <c r="BJ71" s="460">
        <v>1</v>
      </c>
      <c r="BK71" s="461"/>
      <c r="BL71" s="461"/>
      <c r="BM71" s="462"/>
      <c r="BN71" s="103"/>
      <c r="BO71" s="463">
        <f t="shared" si="30"/>
        <v>18.5</v>
      </c>
      <c r="BP71" s="463">
        <f t="shared" si="30"/>
        <v>18.5</v>
      </c>
      <c r="BQ71" s="463">
        <f t="shared" si="30"/>
        <v>18.5</v>
      </c>
      <c r="BR71" s="463">
        <f t="shared" si="30"/>
        <v>18.5</v>
      </c>
      <c r="BS71" s="103"/>
      <c r="BT71" s="464">
        <f t="shared" si="31"/>
        <v>133.66249999999999</v>
      </c>
      <c r="BU71" s="465">
        <f t="shared" si="32"/>
        <v>4.7175000000000002</v>
      </c>
      <c r="BV71" s="465">
        <f t="shared" si="33"/>
        <v>0</v>
      </c>
      <c r="BW71" s="465">
        <f t="shared" si="33"/>
        <v>0</v>
      </c>
      <c r="BX71" s="465">
        <f t="shared" si="33"/>
        <v>0</v>
      </c>
      <c r="BY71" s="466">
        <f t="shared" si="34"/>
        <v>18.87</v>
      </c>
      <c r="CA71" s="466">
        <f t="shared" si="35"/>
        <v>23.587500000000002</v>
      </c>
      <c r="CB71" s="467">
        <f t="shared" si="36"/>
        <v>18.5</v>
      </c>
      <c r="CC71" s="467">
        <f t="shared" si="36"/>
        <v>18.5</v>
      </c>
      <c r="CD71" s="467">
        <f t="shared" si="36"/>
        <v>18.5</v>
      </c>
      <c r="CE71" s="467">
        <f t="shared" si="36"/>
        <v>18.5</v>
      </c>
    </row>
    <row r="72" spans="1:84" ht="15" x14ac:dyDescent="0.25">
      <c r="A72" s="643"/>
      <c r="B72" s="472" t="s">
        <v>287</v>
      </c>
      <c r="C72" s="473">
        <v>5.407</v>
      </c>
      <c r="D72" s="474">
        <v>0.14000000000000001</v>
      </c>
      <c r="E72" s="665"/>
      <c r="F72" s="475">
        <v>1</v>
      </c>
      <c r="G72" s="476">
        <v>1.5</v>
      </c>
      <c r="H72" s="475">
        <v>0.5</v>
      </c>
      <c r="I72" s="476"/>
      <c r="J72" s="476"/>
      <c r="K72" s="476">
        <v>2</v>
      </c>
      <c r="L72" s="476">
        <v>2</v>
      </c>
      <c r="M72" s="477"/>
      <c r="N72" s="155"/>
      <c r="O72" s="478">
        <f>SUM(F72:M72)</f>
        <v>7</v>
      </c>
      <c r="P72" s="161"/>
      <c r="R72" s="84"/>
      <c r="U72" s="84"/>
      <c r="V72" s="476"/>
      <c r="W72" s="475"/>
      <c r="X72" s="476"/>
      <c r="Y72" s="476"/>
      <c r="Z72" s="476"/>
      <c r="AA72" s="476"/>
      <c r="AB72" s="477"/>
      <c r="AC72" s="477"/>
      <c r="AD72" s="155"/>
      <c r="AE72" s="478"/>
      <c r="AH72" s="84"/>
      <c r="AJ72" s="475"/>
      <c r="AK72" s="475"/>
      <c r="AL72" s="479"/>
      <c r="AM72" s="476"/>
      <c r="AN72" s="476"/>
      <c r="AO72" s="476"/>
      <c r="AP72" s="477"/>
      <c r="AQ72" s="155"/>
      <c r="AR72" s="198"/>
      <c r="AU72" s="84"/>
      <c r="AW72" s="475"/>
      <c r="AX72" s="475"/>
      <c r="AY72" s="476"/>
      <c r="AZ72" s="476"/>
      <c r="BA72" s="476"/>
      <c r="BB72" s="476"/>
      <c r="BC72" s="477"/>
      <c r="BD72" s="155"/>
      <c r="BE72" s="198"/>
      <c r="BH72" s="84"/>
      <c r="BJ72" s="480">
        <v>1</v>
      </c>
      <c r="BK72" s="204"/>
      <c r="BL72" s="204"/>
      <c r="BM72" s="205"/>
      <c r="BN72" s="103"/>
      <c r="BO72" s="206">
        <f t="shared" si="30"/>
        <v>7</v>
      </c>
      <c r="BP72" s="206">
        <f t="shared" si="30"/>
        <v>7</v>
      </c>
      <c r="BQ72" s="206">
        <f t="shared" si="30"/>
        <v>7</v>
      </c>
      <c r="BR72" s="206">
        <f t="shared" si="30"/>
        <v>7</v>
      </c>
      <c r="BS72" s="103"/>
      <c r="BT72" s="481">
        <f t="shared" si="31"/>
        <v>50.574999999999996</v>
      </c>
      <c r="BU72" s="482">
        <f t="shared" si="32"/>
        <v>1.7850000000000006</v>
      </c>
      <c r="BV72" s="482">
        <f t="shared" si="33"/>
        <v>0</v>
      </c>
      <c r="BW72" s="483">
        <f t="shared" si="33"/>
        <v>0</v>
      </c>
      <c r="BX72" s="483">
        <f t="shared" si="33"/>
        <v>0</v>
      </c>
      <c r="BY72" s="484">
        <f t="shared" si="34"/>
        <v>7.1400000000000023</v>
      </c>
      <c r="CA72" s="484">
        <f t="shared" si="35"/>
        <v>8.9250000000000025</v>
      </c>
      <c r="CB72" s="84">
        <f t="shared" si="36"/>
        <v>7</v>
      </c>
      <c r="CC72" s="84">
        <f t="shared" si="36"/>
        <v>7</v>
      </c>
      <c r="CD72" s="84">
        <f t="shared" si="36"/>
        <v>7</v>
      </c>
      <c r="CE72" s="84">
        <f t="shared" si="36"/>
        <v>7</v>
      </c>
    </row>
    <row r="73" spans="1:84" s="424" customFormat="1" ht="15" x14ac:dyDescent="0.25">
      <c r="A73" s="643"/>
      <c r="B73" s="485" t="s">
        <v>288</v>
      </c>
      <c r="C73" s="486">
        <v>7.3019999999999996</v>
      </c>
      <c r="D73" s="487" t="s">
        <v>239</v>
      </c>
      <c r="E73" s="666"/>
      <c r="F73" s="488">
        <v>1</v>
      </c>
      <c r="G73" s="489">
        <v>1.5</v>
      </c>
      <c r="H73" s="488">
        <v>0.5</v>
      </c>
      <c r="I73" s="489">
        <v>8</v>
      </c>
      <c r="J73" s="489">
        <v>1</v>
      </c>
      <c r="K73" s="489"/>
      <c r="L73" s="489"/>
      <c r="M73" s="490"/>
      <c r="N73" s="155"/>
      <c r="O73" s="491">
        <f t="shared" si="29"/>
        <v>12</v>
      </c>
      <c r="P73" s="161"/>
      <c r="R73" s="425"/>
      <c r="U73" s="425"/>
      <c r="V73" s="489"/>
      <c r="W73" s="488"/>
      <c r="X73" s="492"/>
      <c r="Y73" s="492"/>
      <c r="Z73" s="489"/>
      <c r="AA73" s="489"/>
      <c r="AB73" s="490"/>
      <c r="AC73" s="490"/>
      <c r="AD73" s="155"/>
      <c r="AE73" s="491"/>
      <c r="AH73" s="425"/>
      <c r="AJ73" s="488"/>
      <c r="AK73" s="488"/>
      <c r="AL73" s="489"/>
      <c r="AM73" s="489"/>
      <c r="AN73" s="489"/>
      <c r="AO73" s="489"/>
      <c r="AP73" s="490"/>
      <c r="AQ73" s="155"/>
      <c r="AR73" s="491"/>
      <c r="AU73" s="425"/>
      <c r="AW73" s="488"/>
      <c r="AX73" s="488"/>
      <c r="AY73" s="489"/>
      <c r="AZ73" s="489"/>
      <c r="BA73" s="489"/>
      <c r="BB73" s="489"/>
      <c r="BC73" s="490"/>
      <c r="BD73" s="155"/>
      <c r="BE73" s="491"/>
      <c r="BH73" s="425"/>
      <c r="BJ73" s="493">
        <v>1</v>
      </c>
      <c r="BK73" s="494"/>
      <c r="BL73" s="494"/>
      <c r="BM73" s="495"/>
      <c r="BN73" s="426"/>
      <c r="BO73" s="496">
        <f t="shared" si="30"/>
        <v>12</v>
      </c>
      <c r="BP73" s="496">
        <f t="shared" si="30"/>
        <v>12</v>
      </c>
      <c r="BQ73" s="496">
        <f t="shared" si="30"/>
        <v>12</v>
      </c>
      <c r="BR73" s="496">
        <f t="shared" si="30"/>
        <v>12</v>
      </c>
      <c r="BS73" s="426"/>
      <c r="BT73" s="497">
        <f t="shared" si="31"/>
        <v>86.7</v>
      </c>
      <c r="BU73" s="498">
        <f t="shared" si="32"/>
        <v>3.0600000000000005</v>
      </c>
      <c r="BV73" s="499">
        <f t="shared" si="33"/>
        <v>0</v>
      </c>
      <c r="BW73" s="499">
        <f t="shared" si="33"/>
        <v>0</v>
      </c>
      <c r="BX73" s="499">
        <f t="shared" si="33"/>
        <v>0</v>
      </c>
      <c r="BY73" s="500">
        <f t="shared" si="34"/>
        <v>12.240000000000002</v>
      </c>
      <c r="CA73" s="500">
        <f t="shared" si="35"/>
        <v>15.300000000000002</v>
      </c>
      <c r="CB73" s="501">
        <f t="shared" si="36"/>
        <v>12</v>
      </c>
      <c r="CC73" s="501">
        <f t="shared" si="36"/>
        <v>12</v>
      </c>
      <c r="CD73" s="501">
        <f t="shared" si="36"/>
        <v>12</v>
      </c>
      <c r="CE73" s="501">
        <f t="shared" si="36"/>
        <v>12</v>
      </c>
    </row>
    <row r="74" spans="1:84" s="424" customFormat="1" ht="15" x14ac:dyDescent="0.25">
      <c r="A74" s="643"/>
      <c r="B74" s="485" t="s">
        <v>289</v>
      </c>
      <c r="C74" s="486">
        <v>7.3029999999999999</v>
      </c>
      <c r="D74" s="487" t="s">
        <v>239</v>
      </c>
      <c r="E74" s="666"/>
      <c r="F74" s="488">
        <v>1</v>
      </c>
      <c r="G74" s="489">
        <v>1.5</v>
      </c>
      <c r="H74" s="488">
        <v>0.5</v>
      </c>
      <c r="I74" s="489">
        <v>8</v>
      </c>
      <c r="J74" s="489">
        <v>1</v>
      </c>
      <c r="K74" s="489"/>
      <c r="L74" s="489"/>
      <c r="M74" s="490"/>
      <c r="N74" s="155"/>
      <c r="O74" s="491">
        <f t="shared" si="29"/>
        <v>12</v>
      </c>
      <c r="P74" s="161"/>
      <c r="R74" s="425"/>
      <c r="U74" s="425"/>
      <c r="V74" s="489"/>
      <c r="W74" s="488"/>
      <c r="X74" s="492"/>
      <c r="Y74" s="492"/>
      <c r="Z74" s="489"/>
      <c r="AA74" s="489"/>
      <c r="AB74" s="490"/>
      <c r="AC74" s="490"/>
      <c r="AD74" s="155"/>
      <c r="AE74" s="491"/>
      <c r="AH74" s="425"/>
      <c r="AJ74" s="488"/>
      <c r="AK74" s="488"/>
      <c r="AL74" s="489"/>
      <c r="AM74" s="489"/>
      <c r="AN74" s="489"/>
      <c r="AO74" s="489"/>
      <c r="AP74" s="490"/>
      <c r="AQ74" s="155"/>
      <c r="AR74" s="491"/>
      <c r="AU74" s="425"/>
      <c r="AW74" s="488"/>
      <c r="AX74" s="488"/>
      <c r="AY74" s="489"/>
      <c r="AZ74" s="489"/>
      <c r="BA74" s="489"/>
      <c r="BB74" s="489"/>
      <c r="BC74" s="490"/>
      <c r="BD74" s="155"/>
      <c r="BE74" s="491"/>
      <c r="BH74" s="425"/>
      <c r="BJ74" s="493">
        <v>1</v>
      </c>
      <c r="BK74" s="494"/>
      <c r="BL74" s="494"/>
      <c r="BM74" s="495"/>
      <c r="BN74" s="426"/>
      <c r="BO74" s="496">
        <f t="shared" si="30"/>
        <v>12</v>
      </c>
      <c r="BP74" s="496">
        <f t="shared" si="30"/>
        <v>12</v>
      </c>
      <c r="BQ74" s="496">
        <f t="shared" si="30"/>
        <v>12</v>
      </c>
      <c r="BR74" s="496">
        <f t="shared" si="30"/>
        <v>12</v>
      </c>
      <c r="BS74" s="426"/>
      <c r="BT74" s="497">
        <f t="shared" si="31"/>
        <v>86.7</v>
      </c>
      <c r="BU74" s="498">
        <f t="shared" si="32"/>
        <v>3.0600000000000005</v>
      </c>
      <c r="BV74" s="499">
        <f t="shared" si="33"/>
        <v>0</v>
      </c>
      <c r="BW74" s="499">
        <f t="shared" si="33"/>
        <v>0</v>
      </c>
      <c r="BX74" s="499">
        <f t="shared" si="33"/>
        <v>0</v>
      </c>
      <c r="BY74" s="500">
        <f t="shared" si="34"/>
        <v>12.240000000000002</v>
      </c>
      <c r="CA74" s="500">
        <f t="shared" si="35"/>
        <v>15.300000000000002</v>
      </c>
      <c r="CB74" s="501">
        <f t="shared" si="36"/>
        <v>12</v>
      </c>
      <c r="CC74" s="501">
        <f t="shared" si="36"/>
        <v>12</v>
      </c>
      <c r="CD74" s="501">
        <f t="shared" si="36"/>
        <v>12</v>
      </c>
      <c r="CE74" s="501">
        <f t="shared" si="36"/>
        <v>12</v>
      </c>
    </row>
    <row r="75" spans="1:84" ht="14.25" customHeight="1" x14ac:dyDescent="0.2">
      <c r="A75" s="643"/>
      <c r="B75" s="485" t="s">
        <v>290</v>
      </c>
      <c r="C75" s="486">
        <v>7.306</v>
      </c>
      <c r="D75" s="502">
        <v>0.318</v>
      </c>
      <c r="E75" s="665"/>
      <c r="F75" s="488">
        <v>1</v>
      </c>
      <c r="G75" s="489">
        <v>2</v>
      </c>
      <c r="H75" s="488">
        <v>0.5</v>
      </c>
      <c r="I75" s="492"/>
      <c r="J75" s="492"/>
      <c r="K75" s="489">
        <v>2</v>
      </c>
      <c r="L75" s="489">
        <v>2</v>
      </c>
      <c r="M75" s="490">
        <v>1</v>
      </c>
      <c r="N75" s="155"/>
      <c r="O75" s="491">
        <f t="shared" si="29"/>
        <v>8.5</v>
      </c>
      <c r="R75" s="84"/>
      <c r="U75" s="84"/>
      <c r="V75" s="489"/>
      <c r="W75" s="488"/>
      <c r="X75" s="492"/>
      <c r="Y75" s="492"/>
      <c r="Z75" s="489"/>
      <c r="AA75" s="489"/>
      <c r="AB75" s="490"/>
      <c r="AC75" s="490"/>
      <c r="AD75" s="155"/>
      <c r="AE75" s="491"/>
      <c r="AH75" s="84"/>
      <c r="AJ75" s="488"/>
      <c r="AK75" s="488"/>
      <c r="AL75" s="492"/>
      <c r="AM75" s="492"/>
      <c r="AN75" s="489"/>
      <c r="AO75" s="489"/>
      <c r="AP75" s="490"/>
      <c r="AQ75" s="155"/>
      <c r="AR75" s="491"/>
      <c r="AU75" s="84"/>
      <c r="AW75" s="488"/>
      <c r="AX75" s="488"/>
      <c r="AY75" s="492"/>
      <c r="AZ75" s="492"/>
      <c r="BA75" s="489"/>
      <c r="BB75" s="489"/>
      <c r="BC75" s="490"/>
      <c r="BD75" s="155"/>
      <c r="BE75" s="491"/>
      <c r="BH75" s="84"/>
      <c r="BJ75" s="493">
        <v>1</v>
      </c>
      <c r="BK75" s="494"/>
      <c r="BL75" s="494"/>
      <c r="BM75" s="495"/>
      <c r="BN75" s="103"/>
      <c r="BO75" s="503">
        <f t="shared" si="30"/>
        <v>8.5</v>
      </c>
      <c r="BP75" s="503">
        <f t="shared" si="30"/>
        <v>8.5</v>
      </c>
      <c r="BQ75" s="503">
        <f t="shared" si="30"/>
        <v>8.5</v>
      </c>
      <c r="BR75" s="503">
        <f t="shared" si="30"/>
        <v>8.5</v>
      </c>
      <c r="BS75" s="103"/>
      <c r="BT75" s="497">
        <f t="shared" si="31"/>
        <v>61.412500000000001</v>
      </c>
      <c r="BU75" s="498">
        <f t="shared" si="32"/>
        <v>2.1675</v>
      </c>
      <c r="BV75" s="499">
        <f t="shared" si="33"/>
        <v>0</v>
      </c>
      <c r="BW75" s="499">
        <f t="shared" si="33"/>
        <v>0</v>
      </c>
      <c r="BX75" s="499">
        <f t="shared" si="33"/>
        <v>0</v>
      </c>
      <c r="BY75" s="500">
        <f t="shared" si="34"/>
        <v>8.67</v>
      </c>
      <c r="CA75" s="500">
        <f t="shared" si="35"/>
        <v>10.8375</v>
      </c>
      <c r="CB75" s="504">
        <f t="shared" si="36"/>
        <v>8.5</v>
      </c>
      <c r="CC75" s="504">
        <f t="shared" si="36"/>
        <v>8.5</v>
      </c>
      <c r="CD75" s="504">
        <f t="shared" si="36"/>
        <v>8.5</v>
      </c>
      <c r="CE75" s="504">
        <f t="shared" si="36"/>
        <v>8.5</v>
      </c>
    </row>
    <row r="76" spans="1:84" ht="14.25" customHeight="1" x14ac:dyDescent="0.2">
      <c r="A76" s="643"/>
      <c r="B76" s="485" t="s">
        <v>291</v>
      </c>
      <c r="C76" s="486">
        <v>7.3070000000000004</v>
      </c>
      <c r="D76" s="502">
        <v>0.37</v>
      </c>
      <c r="E76" s="665"/>
      <c r="F76" s="488">
        <v>1</v>
      </c>
      <c r="G76" s="489">
        <v>2</v>
      </c>
      <c r="H76" s="488">
        <v>0.5</v>
      </c>
      <c r="I76" s="492"/>
      <c r="J76" s="492"/>
      <c r="K76" s="489">
        <v>2</v>
      </c>
      <c r="L76" s="489">
        <v>2</v>
      </c>
      <c r="M76" s="490">
        <v>1</v>
      </c>
      <c r="N76" s="155"/>
      <c r="O76" s="491">
        <f t="shared" si="29"/>
        <v>8.5</v>
      </c>
      <c r="R76" s="84"/>
      <c r="U76" s="84"/>
      <c r="V76" s="489"/>
      <c r="W76" s="488"/>
      <c r="X76" s="492"/>
      <c r="Y76" s="492"/>
      <c r="Z76" s="489"/>
      <c r="AA76" s="489"/>
      <c r="AB76" s="490"/>
      <c r="AC76" s="490"/>
      <c r="AD76" s="155"/>
      <c r="AE76" s="491"/>
      <c r="AH76" s="84"/>
      <c r="AJ76" s="488"/>
      <c r="AK76" s="488"/>
      <c r="AL76" s="492"/>
      <c r="AM76" s="492"/>
      <c r="AN76" s="489"/>
      <c r="AO76" s="489"/>
      <c r="AP76" s="490"/>
      <c r="AQ76" s="155"/>
      <c r="AR76" s="491"/>
      <c r="AU76" s="84"/>
      <c r="AW76" s="488"/>
      <c r="AX76" s="488"/>
      <c r="AY76" s="492"/>
      <c r="AZ76" s="492"/>
      <c r="BA76" s="489"/>
      <c r="BB76" s="489"/>
      <c r="BC76" s="490"/>
      <c r="BD76" s="155"/>
      <c r="BE76" s="491"/>
      <c r="BH76" s="84"/>
      <c r="BJ76" s="493">
        <v>1</v>
      </c>
      <c r="BK76" s="494"/>
      <c r="BL76" s="494"/>
      <c r="BM76" s="495"/>
      <c r="BN76" s="103"/>
      <c r="BO76" s="503">
        <f t="shared" si="30"/>
        <v>8.5</v>
      </c>
      <c r="BP76" s="503">
        <f t="shared" si="30"/>
        <v>8.5</v>
      </c>
      <c r="BQ76" s="503">
        <f t="shared" si="30"/>
        <v>8.5</v>
      </c>
      <c r="BR76" s="503">
        <f t="shared" si="30"/>
        <v>8.5</v>
      </c>
      <c r="BS76" s="103"/>
      <c r="BT76" s="497">
        <f t="shared" si="31"/>
        <v>61.412500000000001</v>
      </c>
      <c r="BU76" s="498">
        <f t="shared" si="32"/>
        <v>2.1675</v>
      </c>
      <c r="BV76" s="499">
        <f t="shared" si="33"/>
        <v>0</v>
      </c>
      <c r="BW76" s="499">
        <f t="shared" si="33"/>
        <v>0</v>
      </c>
      <c r="BX76" s="499">
        <f t="shared" si="33"/>
        <v>0</v>
      </c>
      <c r="BY76" s="500">
        <f t="shared" si="34"/>
        <v>8.67</v>
      </c>
      <c r="CA76" s="500">
        <f t="shared" si="35"/>
        <v>10.8375</v>
      </c>
      <c r="CB76" s="504">
        <f t="shared" si="36"/>
        <v>8.5</v>
      </c>
      <c r="CC76" s="504">
        <f t="shared" si="36"/>
        <v>8.5</v>
      </c>
      <c r="CD76" s="504">
        <f t="shared" si="36"/>
        <v>8.5</v>
      </c>
      <c r="CE76" s="504">
        <f t="shared" si="36"/>
        <v>8.5</v>
      </c>
    </row>
    <row r="77" spans="1:84" ht="15.75" thickBot="1" x14ac:dyDescent="0.25">
      <c r="A77" s="644"/>
      <c r="B77" s="505" t="s">
        <v>292</v>
      </c>
      <c r="C77" s="506"/>
      <c r="D77" s="507">
        <v>11</v>
      </c>
      <c r="E77" s="667"/>
      <c r="F77" s="508">
        <v>5</v>
      </c>
      <c r="G77" s="509"/>
      <c r="H77" s="508">
        <v>4</v>
      </c>
      <c r="I77" s="510">
        <v>26</v>
      </c>
      <c r="J77" s="511">
        <v>3</v>
      </c>
      <c r="K77" s="511">
        <v>24</v>
      </c>
      <c r="L77" s="511">
        <v>24</v>
      </c>
      <c r="M77" s="512">
        <v>4</v>
      </c>
      <c r="N77" s="511"/>
      <c r="O77" s="513">
        <f t="shared" si="29"/>
        <v>90</v>
      </c>
      <c r="P77" s="138"/>
      <c r="Q77" s="138"/>
      <c r="R77" s="140"/>
      <c r="S77" s="141"/>
      <c r="T77" s="141"/>
      <c r="U77" s="84"/>
      <c r="V77" s="509"/>
      <c r="W77" s="508"/>
      <c r="X77" s="510"/>
      <c r="Y77" s="511"/>
      <c r="Z77" s="511"/>
      <c r="AA77" s="511"/>
      <c r="AB77" s="512"/>
      <c r="AC77" s="512"/>
      <c r="AD77" s="215"/>
      <c r="AE77" s="513"/>
      <c r="AF77" s="138"/>
      <c r="AG77" s="138"/>
      <c r="AH77" s="140"/>
      <c r="AJ77" s="508"/>
      <c r="AK77" s="508"/>
      <c r="AL77" s="510"/>
      <c r="AM77" s="511"/>
      <c r="AN77" s="511"/>
      <c r="AO77" s="511"/>
      <c r="AP77" s="512"/>
      <c r="AQ77" s="215"/>
      <c r="AR77" s="513"/>
      <c r="AS77" s="138"/>
      <c r="AT77" s="138">
        <v>270</v>
      </c>
      <c r="AU77" s="140"/>
      <c r="AW77" s="514"/>
      <c r="AX77" s="514"/>
      <c r="AY77" s="515"/>
      <c r="AZ77" s="516"/>
      <c r="BA77" s="516"/>
      <c r="BB77" s="516"/>
      <c r="BC77" s="517"/>
      <c r="BD77" s="218"/>
      <c r="BE77" s="518"/>
      <c r="BF77" s="138"/>
      <c r="BG77" s="138"/>
      <c r="BH77" s="140"/>
      <c r="BJ77" s="519">
        <v>1</v>
      </c>
      <c r="BK77" s="520"/>
      <c r="BL77" s="520"/>
      <c r="BM77" s="521"/>
      <c r="BN77" s="103"/>
      <c r="BO77" s="522">
        <f t="shared" ref="BO77:BR77" si="37">$O77+$AE77+$AR77+$BE77</f>
        <v>90</v>
      </c>
      <c r="BP77" s="522">
        <f t="shared" si="37"/>
        <v>90</v>
      </c>
      <c r="BQ77" s="522">
        <f t="shared" si="37"/>
        <v>90</v>
      </c>
      <c r="BR77" s="522">
        <f t="shared" si="37"/>
        <v>90</v>
      </c>
      <c r="BS77" s="103"/>
      <c r="BT77" s="523">
        <f t="shared" si="31"/>
        <v>650.25</v>
      </c>
      <c r="BU77" s="524">
        <f t="shared" si="32"/>
        <v>22.950000000000003</v>
      </c>
      <c r="BV77" s="524">
        <f t="shared" si="33"/>
        <v>0</v>
      </c>
      <c r="BW77" s="525">
        <f t="shared" si="33"/>
        <v>0</v>
      </c>
      <c r="BX77" s="525">
        <f t="shared" si="33"/>
        <v>0</v>
      </c>
      <c r="BY77" s="526">
        <f t="shared" si="34"/>
        <v>91.800000000000011</v>
      </c>
      <c r="CA77" s="526">
        <f t="shared" si="35"/>
        <v>114.75000000000001</v>
      </c>
      <c r="CB77" s="527">
        <f t="shared" si="36"/>
        <v>90</v>
      </c>
      <c r="CC77" s="527">
        <f t="shared" si="36"/>
        <v>90</v>
      </c>
      <c r="CD77" s="527">
        <f t="shared" si="36"/>
        <v>90</v>
      </c>
      <c r="CE77" s="527">
        <f t="shared" si="36"/>
        <v>90</v>
      </c>
    </row>
    <row r="78" spans="1:84" ht="15" x14ac:dyDescent="0.25">
      <c r="A78" s="228"/>
      <c r="B78" s="142"/>
      <c r="C78" s="193"/>
      <c r="D78" s="194"/>
      <c r="E78" s="372"/>
      <c r="F78" s="195"/>
      <c r="G78" s="196"/>
      <c r="H78" s="195"/>
      <c r="I78" s="196"/>
      <c r="J78" s="196"/>
      <c r="K78" s="196"/>
      <c r="L78" s="196"/>
      <c r="M78" s="197"/>
      <c r="N78" s="155"/>
      <c r="O78" s="198"/>
      <c r="R78" s="84"/>
      <c r="U78" s="84"/>
      <c r="V78" s="196"/>
      <c r="W78" s="195"/>
      <c r="X78" s="196"/>
      <c r="Y78" s="196"/>
      <c r="Z78" s="196"/>
      <c r="AA78" s="196"/>
      <c r="AB78" s="197"/>
      <c r="AC78" s="197"/>
      <c r="AD78" s="155"/>
      <c r="AE78" s="198"/>
      <c r="AH78" s="84"/>
      <c r="AJ78" s="195"/>
      <c r="AK78" s="195"/>
      <c r="AL78" s="196"/>
      <c r="AM78" s="196"/>
      <c r="AN78" s="196"/>
      <c r="AO78" s="196"/>
      <c r="AP78" s="197"/>
      <c r="AQ78" s="155"/>
      <c r="AR78" s="198"/>
      <c r="AU78" s="84"/>
      <c r="AW78" s="199"/>
      <c r="AX78" s="199"/>
      <c r="AY78" s="200"/>
      <c r="AZ78" s="200"/>
      <c r="BA78" s="200"/>
      <c r="BB78" s="200"/>
      <c r="BC78" s="201"/>
      <c r="BD78" s="161"/>
      <c r="BE78" s="202"/>
      <c r="BH78" s="84"/>
      <c r="BJ78" s="203"/>
      <c r="BK78" s="204"/>
      <c r="BL78" s="204"/>
      <c r="BM78" s="205"/>
      <c r="BN78" s="103"/>
      <c r="BO78" s="206"/>
      <c r="BP78" s="206"/>
      <c r="BQ78" s="206"/>
      <c r="BR78" s="206"/>
      <c r="BS78" s="103"/>
      <c r="BT78" s="376"/>
      <c r="BU78" s="377"/>
      <c r="BV78" s="378"/>
      <c r="BW78" s="378"/>
      <c r="BX78" s="379"/>
      <c r="BY78" s="380"/>
      <c r="CA78" s="380"/>
      <c r="CB78" s="84"/>
      <c r="CC78" s="84"/>
      <c r="CD78" s="84"/>
      <c r="CE78" s="84"/>
    </row>
    <row r="79" spans="1:84" ht="15.75" thickBot="1" x14ac:dyDescent="0.3">
      <c r="A79" s="229"/>
      <c r="F79" s="528">
        <f>SUM(F80:F92)</f>
        <v>24</v>
      </c>
      <c r="G79" s="375">
        <f t="shared" ref="G79:M79" si="38">SUM(G80:G92)</f>
        <v>18</v>
      </c>
      <c r="H79" s="529">
        <f t="shared" si="38"/>
        <v>12</v>
      </c>
      <c r="I79" s="359">
        <f t="shared" si="38"/>
        <v>8</v>
      </c>
      <c r="J79" s="375">
        <f t="shared" si="38"/>
        <v>3</v>
      </c>
      <c r="K79" s="196">
        <f t="shared" si="38"/>
        <v>110</v>
      </c>
      <c r="L79" s="196">
        <f t="shared" si="38"/>
        <v>100</v>
      </c>
      <c r="M79" s="197">
        <f t="shared" si="38"/>
        <v>31</v>
      </c>
      <c r="N79" s="215"/>
      <c r="O79" s="216"/>
      <c r="P79" s="138">
        <f>SUM(F79:M79)</f>
        <v>306</v>
      </c>
      <c r="Q79" s="138">
        <f>P79*8.5</f>
        <v>2601</v>
      </c>
      <c r="R79" s="140">
        <v>2600</v>
      </c>
      <c r="S79" s="141"/>
      <c r="T79" s="141"/>
      <c r="U79" s="84"/>
      <c r="V79" s="375">
        <f>SUM(V80:V92)</f>
        <v>0</v>
      </c>
      <c r="W79" s="529">
        <f t="shared" ref="W79:AC79" si="39">SUM(W80:W92)</f>
        <v>0</v>
      </c>
      <c r="X79" s="359">
        <f t="shared" si="39"/>
        <v>0</v>
      </c>
      <c r="Y79" s="375">
        <f t="shared" si="39"/>
        <v>0</v>
      </c>
      <c r="Z79" s="196">
        <f t="shared" si="39"/>
        <v>0</v>
      </c>
      <c r="AA79" s="196">
        <f t="shared" si="39"/>
        <v>0</v>
      </c>
      <c r="AB79" s="197">
        <f t="shared" si="39"/>
        <v>0</v>
      </c>
      <c r="AC79" s="197">
        <f t="shared" si="39"/>
        <v>0</v>
      </c>
      <c r="AD79" s="215"/>
      <c r="AE79" s="216"/>
      <c r="AF79" s="138">
        <f>SUM(V79:AC79)</f>
        <v>0</v>
      </c>
      <c r="AG79" s="138">
        <f>AF79*8.5</f>
        <v>0</v>
      </c>
      <c r="AH79" s="381">
        <f>300+2800</f>
        <v>3100</v>
      </c>
      <c r="AI79" s="142"/>
      <c r="AJ79" s="528">
        <f t="shared" ref="AJ79:AP79" si="40">SUM(AJ80:AJ92)</f>
        <v>0</v>
      </c>
      <c r="AK79" s="529">
        <f t="shared" si="40"/>
        <v>0</v>
      </c>
      <c r="AL79" s="359">
        <f t="shared" si="40"/>
        <v>0</v>
      </c>
      <c r="AM79" s="375">
        <f>SUM(AM80:AM92)</f>
        <v>0</v>
      </c>
      <c r="AN79" s="196">
        <f t="shared" si="40"/>
        <v>0</v>
      </c>
      <c r="AO79" s="196">
        <f t="shared" si="40"/>
        <v>0</v>
      </c>
      <c r="AP79" s="197">
        <f t="shared" si="40"/>
        <v>0</v>
      </c>
      <c r="AQ79" s="215"/>
      <c r="AR79" s="216"/>
      <c r="AS79" s="138">
        <f>SUM(AJ79:AP79)</f>
        <v>0</v>
      </c>
      <c r="AT79" s="138">
        <f>AS79*8.5</f>
        <v>0</v>
      </c>
      <c r="AU79" s="382">
        <v>3600</v>
      </c>
      <c r="AV79" s="142"/>
      <c r="AW79" s="373">
        <f t="shared" ref="AW79:BC79" si="41">SUM(AW80:AW92)</f>
        <v>0</v>
      </c>
      <c r="AX79" s="530">
        <f t="shared" si="41"/>
        <v>0</v>
      </c>
      <c r="AY79" s="350">
        <f t="shared" si="41"/>
        <v>0</v>
      </c>
      <c r="AZ79" s="374">
        <f t="shared" si="41"/>
        <v>0</v>
      </c>
      <c r="BA79" s="200">
        <f t="shared" si="41"/>
        <v>0</v>
      </c>
      <c r="BB79" s="200">
        <f t="shared" si="41"/>
        <v>0</v>
      </c>
      <c r="BC79" s="201">
        <f t="shared" si="41"/>
        <v>0</v>
      </c>
      <c r="BD79" s="218"/>
      <c r="BE79" s="219"/>
      <c r="BF79" s="138">
        <f>SUM(AW79:BC79)</f>
        <v>0</v>
      </c>
      <c r="BG79" s="138">
        <f>BF79*8.5</f>
        <v>0</v>
      </c>
      <c r="BH79" s="140">
        <v>1000</v>
      </c>
      <c r="BJ79" s="220"/>
      <c r="BK79" s="221"/>
      <c r="BL79" s="221"/>
      <c r="BM79" s="222"/>
      <c r="BN79" s="103"/>
      <c r="BO79" s="146"/>
      <c r="BP79" s="146"/>
      <c r="BQ79" s="146"/>
      <c r="BR79" s="146"/>
      <c r="BS79" s="103"/>
      <c r="BT79" s="531"/>
      <c r="BU79" s="532"/>
      <c r="BV79" s="533"/>
      <c r="BW79" s="533"/>
      <c r="BX79" s="534"/>
      <c r="BY79" s="535"/>
      <c r="CA79" s="535"/>
      <c r="CB79" s="139"/>
      <c r="CC79" s="139"/>
      <c r="CD79" s="139"/>
      <c r="CE79" s="138"/>
      <c r="CF79" s="371"/>
    </row>
    <row r="80" spans="1:84" ht="14.25" customHeight="1" x14ac:dyDescent="0.2">
      <c r="A80" s="642" t="s">
        <v>293</v>
      </c>
      <c r="B80" s="536" t="s">
        <v>294</v>
      </c>
      <c r="C80" s="537" t="s">
        <v>295</v>
      </c>
      <c r="D80" s="538">
        <v>10.06</v>
      </c>
      <c r="E80" s="645">
        <f>SUM(D80:D92)</f>
        <v>22.534999999999997</v>
      </c>
      <c r="F80" s="539">
        <v>2</v>
      </c>
      <c r="G80" s="540">
        <v>2</v>
      </c>
      <c r="H80" s="539">
        <v>1</v>
      </c>
      <c r="I80" s="540"/>
      <c r="J80" s="540"/>
      <c r="K80" s="540">
        <v>15</v>
      </c>
      <c r="L80" s="540">
        <v>15</v>
      </c>
      <c r="M80" s="541">
        <v>15</v>
      </c>
      <c r="N80" s="155"/>
      <c r="O80" s="542">
        <f t="shared" ref="O80:O91" si="42">SUM(F80:M80)</f>
        <v>50</v>
      </c>
      <c r="R80" s="84"/>
      <c r="U80" s="84"/>
      <c r="V80" s="540"/>
      <c r="W80" s="539"/>
      <c r="X80" s="540"/>
      <c r="Y80" s="540"/>
      <c r="Z80" s="540"/>
      <c r="AA80" s="540"/>
      <c r="AB80" s="541"/>
      <c r="AC80" s="541"/>
      <c r="AD80" s="155"/>
      <c r="AE80" s="542"/>
      <c r="AH80" s="84"/>
      <c r="AJ80" s="539"/>
      <c r="AK80" s="539"/>
      <c r="AL80" s="540"/>
      <c r="AM80" s="540"/>
      <c r="AN80" s="540"/>
      <c r="AO80" s="540"/>
      <c r="AP80" s="541"/>
      <c r="AQ80" s="155"/>
      <c r="AR80" s="542"/>
      <c r="AU80" s="84"/>
      <c r="AW80" s="543"/>
      <c r="AX80" s="543"/>
      <c r="AY80" s="544"/>
      <c r="AZ80" s="544"/>
      <c r="BA80" s="544"/>
      <c r="BB80" s="544"/>
      <c r="BC80" s="545"/>
      <c r="BD80" s="161"/>
      <c r="BE80" s="546"/>
      <c r="BH80" s="84"/>
      <c r="BJ80" s="547"/>
      <c r="BK80" s="548"/>
      <c r="BL80" s="548"/>
      <c r="BM80" s="549">
        <v>1</v>
      </c>
      <c r="BN80" s="103"/>
      <c r="BO80" s="550">
        <f t="shared" ref="BO80:BR92" si="43">$O80+$AE80+$AR80+$BE80</f>
        <v>50</v>
      </c>
      <c r="BP80" s="550">
        <f t="shared" si="43"/>
        <v>50</v>
      </c>
      <c r="BQ80" s="550">
        <f t="shared" si="43"/>
        <v>50</v>
      </c>
      <c r="BR80" s="550">
        <f t="shared" si="43"/>
        <v>50</v>
      </c>
      <c r="BS80" s="103"/>
      <c r="BT80" s="551">
        <f t="shared" ref="BT80:BT92" si="44">(BO80*$BZ$1-$CA80)*BJ80</f>
        <v>0</v>
      </c>
      <c r="BU80" s="552">
        <f t="shared" ref="BU80:BU92" si="45">CA80*$CI$22</f>
        <v>12.750000000000002</v>
      </c>
      <c r="BV80" s="553">
        <f t="shared" ref="BV80:BX92" si="46">(BP80*$BZ$1-$CA80)*BK80</f>
        <v>0</v>
      </c>
      <c r="BW80" s="553">
        <f t="shared" si="46"/>
        <v>0</v>
      </c>
      <c r="BX80" s="553">
        <f t="shared" si="46"/>
        <v>361.25</v>
      </c>
      <c r="BY80" s="554">
        <f t="shared" ref="BY80:BY92" si="47">CA80*$CI$21</f>
        <v>51.000000000000007</v>
      </c>
      <c r="CA80" s="554">
        <f t="shared" ref="CA80:CA92" si="48">(($CH$25+$CH$26)*(O80+AE80+BE80)+($CH$25*AR80))*$BZ$1</f>
        <v>63.750000000000007</v>
      </c>
      <c r="CB80" s="555">
        <f t="shared" ref="CB80:CE92" si="49">$O80+$AE80+$AR80+$BE80</f>
        <v>50</v>
      </c>
      <c r="CC80" s="555">
        <f t="shared" si="49"/>
        <v>50</v>
      </c>
      <c r="CD80" s="555">
        <f t="shared" si="49"/>
        <v>50</v>
      </c>
      <c r="CE80" s="556">
        <f t="shared" si="49"/>
        <v>50</v>
      </c>
      <c r="CF80" s="557"/>
    </row>
    <row r="81" spans="1:84" ht="14.25" customHeight="1" x14ac:dyDescent="0.2">
      <c r="A81" s="643"/>
      <c r="B81" s="558" t="s">
        <v>296</v>
      </c>
      <c r="C81" s="559" t="s">
        <v>295</v>
      </c>
      <c r="D81" s="560" t="s">
        <v>297</v>
      </c>
      <c r="E81" s="646"/>
      <c r="F81" s="561">
        <v>2</v>
      </c>
      <c r="G81" s="562">
        <v>2</v>
      </c>
      <c r="H81" s="561">
        <v>1</v>
      </c>
      <c r="I81" s="562"/>
      <c r="J81" s="562"/>
      <c r="K81" s="562">
        <v>10</v>
      </c>
      <c r="L81" s="562">
        <v>10</v>
      </c>
      <c r="M81" s="563">
        <v>2</v>
      </c>
      <c r="N81" s="155"/>
      <c r="O81" s="564">
        <f t="shared" si="42"/>
        <v>27</v>
      </c>
      <c r="R81" s="84"/>
      <c r="U81" s="84"/>
      <c r="V81" s="562"/>
      <c r="W81" s="561"/>
      <c r="X81" s="562"/>
      <c r="Y81" s="562"/>
      <c r="Z81" s="562"/>
      <c r="AA81" s="562"/>
      <c r="AB81" s="563"/>
      <c r="AC81" s="563"/>
      <c r="AD81" s="155"/>
      <c r="AE81" s="564"/>
      <c r="AH81" s="84"/>
      <c r="AJ81" s="561"/>
      <c r="AK81" s="561"/>
      <c r="AL81" s="562"/>
      <c r="AM81" s="562"/>
      <c r="AN81" s="562"/>
      <c r="AO81" s="562"/>
      <c r="AP81" s="563"/>
      <c r="AQ81" s="155"/>
      <c r="AR81" s="564"/>
      <c r="AU81" s="84"/>
      <c r="AW81" s="565"/>
      <c r="AX81" s="565"/>
      <c r="AY81" s="566"/>
      <c r="AZ81" s="566"/>
      <c r="BA81" s="566"/>
      <c r="BB81" s="566"/>
      <c r="BC81" s="567"/>
      <c r="BD81" s="161"/>
      <c r="BE81" s="568"/>
      <c r="BH81" s="84"/>
      <c r="BJ81" s="569"/>
      <c r="BK81" s="570"/>
      <c r="BL81" s="570"/>
      <c r="BM81" s="571">
        <v>1</v>
      </c>
      <c r="BN81" s="103"/>
      <c r="BO81" s="572">
        <f t="shared" si="43"/>
        <v>27</v>
      </c>
      <c r="BP81" s="572">
        <f t="shared" si="43"/>
        <v>27</v>
      </c>
      <c r="BQ81" s="572">
        <f t="shared" si="43"/>
        <v>27</v>
      </c>
      <c r="BR81" s="572">
        <f t="shared" si="43"/>
        <v>27</v>
      </c>
      <c r="BS81" s="103"/>
      <c r="BT81" s="573">
        <f t="shared" si="44"/>
        <v>0</v>
      </c>
      <c r="BU81" s="574">
        <f t="shared" si="45"/>
        <v>6.8850000000000016</v>
      </c>
      <c r="BV81" s="575">
        <f t="shared" si="46"/>
        <v>0</v>
      </c>
      <c r="BW81" s="575">
        <f t="shared" si="46"/>
        <v>0</v>
      </c>
      <c r="BX81" s="575">
        <f t="shared" si="46"/>
        <v>195.07499999999999</v>
      </c>
      <c r="BY81" s="576">
        <f t="shared" si="47"/>
        <v>27.540000000000006</v>
      </c>
      <c r="CA81" s="576">
        <f t="shared" si="48"/>
        <v>34.425000000000004</v>
      </c>
      <c r="CB81" s="577">
        <f t="shared" si="49"/>
        <v>27</v>
      </c>
      <c r="CC81" s="577">
        <f t="shared" si="49"/>
        <v>27</v>
      </c>
      <c r="CD81" s="577">
        <f t="shared" si="49"/>
        <v>27</v>
      </c>
      <c r="CE81" s="578">
        <f t="shared" si="49"/>
        <v>27</v>
      </c>
      <c r="CF81" s="557"/>
    </row>
    <row r="82" spans="1:84" ht="14.25" customHeight="1" x14ac:dyDescent="0.2">
      <c r="A82" s="643"/>
      <c r="B82" s="558" t="s">
        <v>298</v>
      </c>
      <c r="C82" s="559" t="s">
        <v>295</v>
      </c>
      <c r="D82" s="560">
        <v>3.55</v>
      </c>
      <c r="E82" s="646"/>
      <c r="F82" s="561">
        <v>2</v>
      </c>
      <c r="G82" s="562">
        <v>2</v>
      </c>
      <c r="H82" s="561">
        <v>1</v>
      </c>
      <c r="I82" s="562"/>
      <c r="J82" s="562"/>
      <c r="K82" s="562">
        <v>10</v>
      </c>
      <c r="L82" s="562">
        <v>10</v>
      </c>
      <c r="M82" s="563">
        <v>2</v>
      </c>
      <c r="N82" s="155"/>
      <c r="O82" s="564">
        <f t="shared" si="42"/>
        <v>27</v>
      </c>
      <c r="R82" s="84"/>
      <c r="U82" s="84"/>
      <c r="V82" s="562"/>
      <c r="W82" s="561"/>
      <c r="X82" s="562"/>
      <c r="Y82" s="562"/>
      <c r="Z82" s="562"/>
      <c r="AA82" s="562"/>
      <c r="AB82" s="563"/>
      <c r="AC82" s="563"/>
      <c r="AD82" s="155"/>
      <c r="AE82" s="564"/>
      <c r="AH82" s="84"/>
      <c r="AJ82" s="561"/>
      <c r="AK82" s="561"/>
      <c r="AL82" s="562"/>
      <c r="AM82" s="562"/>
      <c r="AN82" s="562"/>
      <c r="AO82" s="562"/>
      <c r="AP82" s="563"/>
      <c r="AQ82" s="155"/>
      <c r="AR82" s="564"/>
      <c r="AU82" s="84"/>
      <c r="AW82" s="565"/>
      <c r="AX82" s="565"/>
      <c r="AY82" s="566"/>
      <c r="AZ82" s="566"/>
      <c r="BA82" s="566"/>
      <c r="BB82" s="566"/>
      <c r="BC82" s="567"/>
      <c r="BD82" s="161"/>
      <c r="BE82" s="568"/>
      <c r="BH82" s="84"/>
      <c r="BJ82" s="569"/>
      <c r="BK82" s="570"/>
      <c r="BL82" s="570"/>
      <c r="BM82" s="571">
        <v>1</v>
      </c>
      <c r="BN82" s="103"/>
      <c r="BO82" s="572">
        <f t="shared" si="43"/>
        <v>27</v>
      </c>
      <c r="BP82" s="572">
        <f t="shared" si="43"/>
        <v>27</v>
      </c>
      <c r="BQ82" s="572">
        <f t="shared" si="43"/>
        <v>27</v>
      </c>
      <c r="BR82" s="572">
        <f t="shared" si="43"/>
        <v>27</v>
      </c>
      <c r="BS82" s="103"/>
      <c r="BT82" s="573">
        <f t="shared" si="44"/>
        <v>0</v>
      </c>
      <c r="BU82" s="574">
        <f t="shared" si="45"/>
        <v>6.8850000000000016</v>
      </c>
      <c r="BV82" s="575">
        <f t="shared" si="46"/>
        <v>0</v>
      </c>
      <c r="BW82" s="575">
        <f t="shared" si="46"/>
        <v>0</v>
      </c>
      <c r="BX82" s="575">
        <f t="shared" si="46"/>
        <v>195.07499999999999</v>
      </c>
      <c r="BY82" s="576">
        <f t="shared" si="47"/>
        <v>27.540000000000006</v>
      </c>
      <c r="CA82" s="576">
        <f t="shared" si="48"/>
        <v>34.425000000000004</v>
      </c>
      <c r="CB82" s="577">
        <f t="shared" si="49"/>
        <v>27</v>
      </c>
      <c r="CC82" s="577">
        <f t="shared" si="49"/>
        <v>27</v>
      </c>
      <c r="CD82" s="577">
        <f t="shared" si="49"/>
        <v>27</v>
      </c>
      <c r="CE82" s="578">
        <f t="shared" si="49"/>
        <v>27</v>
      </c>
      <c r="CF82" s="557"/>
    </row>
    <row r="83" spans="1:84" ht="14.25" customHeight="1" x14ac:dyDescent="0.2">
      <c r="A83" s="643"/>
      <c r="B83" s="558" t="s">
        <v>299</v>
      </c>
      <c r="C83" s="559" t="s">
        <v>295</v>
      </c>
      <c r="D83" s="579" t="s">
        <v>239</v>
      </c>
      <c r="E83" s="646"/>
      <c r="F83" s="561">
        <v>2</v>
      </c>
      <c r="G83" s="562">
        <v>2</v>
      </c>
      <c r="H83" s="561">
        <v>1</v>
      </c>
      <c r="I83" s="562"/>
      <c r="J83" s="562"/>
      <c r="K83" s="562">
        <v>10</v>
      </c>
      <c r="L83" s="562">
        <v>5</v>
      </c>
      <c r="M83" s="563">
        <v>2</v>
      </c>
      <c r="N83" s="155"/>
      <c r="O83" s="564">
        <f t="shared" si="42"/>
        <v>22</v>
      </c>
      <c r="R83" s="84"/>
      <c r="U83" s="84"/>
      <c r="V83" s="562"/>
      <c r="W83" s="561"/>
      <c r="X83" s="562"/>
      <c r="Y83" s="562"/>
      <c r="Z83" s="562"/>
      <c r="AA83" s="562"/>
      <c r="AB83" s="563"/>
      <c r="AC83" s="563"/>
      <c r="AD83" s="155"/>
      <c r="AE83" s="564"/>
      <c r="AH83" s="84"/>
      <c r="AJ83" s="561"/>
      <c r="AK83" s="561"/>
      <c r="AL83" s="562"/>
      <c r="AM83" s="562"/>
      <c r="AN83" s="562"/>
      <c r="AO83" s="562"/>
      <c r="AP83" s="563"/>
      <c r="AQ83" s="155"/>
      <c r="AR83" s="564"/>
      <c r="AU83" s="84"/>
      <c r="AW83" s="565"/>
      <c r="AX83" s="565"/>
      <c r="AY83" s="566"/>
      <c r="AZ83" s="566"/>
      <c r="BA83" s="566"/>
      <c r="BB83" s="566"/>
      <c r="BC83" s="567"/>
      <c r="BD83" s="161"/>
      <c r="BE83" s="568"/>
      <c r="BH83" s="84"/>
      <c r="BJ83" s="569"/>
      <c r="BK83" s="570"/>
      <c r="BL83" s="570"/>
      <c r="BM83" s="571">
        <v>1</v>
      </c>
      <c r="BN83" s="103"/>
      <c r="BO83" s="572">
        <f t="shared" si="43"/>
        <v>22</v>
      </c>
      <c r="BP83" s="572">
        <f t="shared" si="43"/>
        <v>22</v>
      </c>
      <c r="BQ83" s="572">
        <f t="shared" si="43"/>
        <v>22</v>
      </c>
      <c r="BR83" s="572">
        <f t="shared" si="43"/>
        <v>22</v>
      </c>
      <c r="BS83" s="103"/>
      <c r="BT83" s="573">
        <f t="shared" si="44"/>
        <v>0</v>
      </c>
      <c r="BU83" s="574">
        <f t="shared" si="45"/>
        <v>5.6100000000000012</v>
      </c>
      <c r="BV83" s="575">
        <f t="shared" si="46"/>
        <v>0</v>
      </c>
      <c r="BW83" s="575">
        <f t="shared" si="46"/>
        <v>0</v>
      </c>
      <c r="BX83" s="575">
        <f t="shared" si="46"/>
        <v>158.94999999999999</v>
      </c>
      <c r="BY83" s="576">
        <f t="shared" si="47"/>
        <v>22.440000000000005</v>
      </c>
      <c r="CA83" s="576">
        <f t="shared" si="48"/>
        <v>28.050000000000004</v>
      </c>
      <c r="CB83" s="577">
        <f t="shared" si="49"/>
        <v>22</v>
      </c>
      <c r="CC83" s="577">
        <f t="shared" si="49"/>
        <v>22</v>
      </c>
      <c r="CD83" s="577">
        <f t="shared" si="49"/>
        <v>22</v>
      </c>
      <c r="CE83" s="578">
        <f t="shared" si="49"/>
        <v>22</v>
      </c>
      <c r="CF83" s="557"/>
    </row>
    <row r="84" spans="1:84" ht="14.25" customHeight="1" x14ac:dyDescent="0.2">
      <c r="A84" s="643"/>
      <c r="B84" s="558" t="s">
        <v>300</v>
      </c>
      <c r="C84" s="559" t="s">
        <v>295</v>
      </c>
      <c r="D84" s="560">
        <v>0.82499999999999996</v>
      </c>
      <c r="E84" s="646"/>
      <c r="F84" s="561">
        <v>2</v>
      </c>
      <c r="G84" s="562">
        <v>2</v>
      </c>
      <c r="H84" s="561">
        <v>1</v>
      </c>
      <c r="I84" s="562"/>
      <c r="J84" s="562"/>
      <c r="K84" s="562">
        <v>10</v>
      </c>
      <c r="L84" s="562">
        <v>5</v>
      </c>
      <c r="M84" s="563">
        <v>1</v>
      </c>
      <c r="N84" s="155"/>
      <c r="O84" s="564">
        <f t="shared" si="42"/>
        <v>21</v>
      </c>
      <c r="R84" s="84"/>
      <c r="U84" s="84"/>
      <c r="V84" s="562"/>
      <c r="W84" s="561"/>
      <c r="X84" s="562"/>
      <c r="Y84" s="562"/>
      <c r="Z84" s="562"/>
      <c r="AA84" s="562"/>
      <c r="AB84" s="563"/>
      <c r="AC84" s="563"/>
      <c r="AD84" s="155"/>
      <c r="AE84" s="564"/>
      <c r="AH84" s="84"/>
      <c r="AJ84" s="561"/>
      <c r="AK84" s="561"/>
      <c r="AL84" s="562"/>
      <c r="AM84" s="562"/>
      <c r="AN84" s="562"/>
      <c r="AO84" s="562"/>
      <c r="AP84" s="563"/>
      <c r="AQ84" s="155"/>
      <c r="AR84" s="564"/>
      <c r="AU84" s="84"/>
      <c r="AW84" s="565"/>
      <c r="AX84" s="565"/>
      <c r="AY84" s="566"/>
      <c r="AZ84" s="566"/>
      <c r="BA84" s="566"/>
      <c r="BB84" s="566"/>
      <c r="BC84" s="567"/>
      <c r="BD84" s="161"/>
      <c r="BE84" s="568"/>
      <c r="BH84" s="84"/>
      <c r="BJ84" s="569"/>
      <c r="BK84" s="570"/>
      <c r="BL84" s="570"/>
      <c r="BM84" s="571">
        <v>1</v>
      </c>
      <c r="BN84" s="103"/>
      <c r="BO84" s="572">
        <f t="shared" si="43"/>
        <v>21</v>
      </c>
      <c r="BP84" s="572">
        <f t="shared" si="43"/>
        <v>21</v>
      </c>
      <c r="BQ84" s="572">
        <f t="shared" si="43"/>
        <v>21</v>
      </c>
      <c r="BR84" s="572">
        <f t="shared" si="43"/>
        <v>21</v>
      </c>
      <c r="BS84" s="103"/>
      <c r="BT84" s="573">
        <f t="shared" si="44"/>
        <v>0</v>
      </c>
      <c r="BU84" s="574">
        <f t="shared" si="45"/>
        <v>5.3550000000000004</v>
      </c>
      <c r="BV84" s="575">
        <f t="shared" si="46"/>
        <v>0</v>
      </c>
      <c r="BW84" s="575">
        <f t="shared" si="46"/>
        <v>0</v>
      </c>
      <c r="BX84" s="575">
        <f t="shared" si="46"/>
        <v>151.72499999999999</v>
      </c>
      <c r="BY84" s="576">
        <f t="shared" si="47"/>
        <v>21.42</v>
      </c>
      <c r="CA84" s="576">
        <f t="shared" si="48"/>
        <v>26.775000000000002</v>
      </c>
      <c r="CB84" s="577">
        <f t="shared" si="49"/>
        <v>21</v>
      </c>
      <c r="CC84" s="577">
        <f t="shared" si="49"/>
        <v>21</v>
      </c>
      <c r="CD84" s="577">
        <f t="shared" si="49"/>
        <v>21</v>
      </c>
      <c r="CE84" s="578">
        <f t="shared" si="49"/>
        <v>21</v>
      </c>
      <c r="CF84" s="557"/>
    </row>
    <row r="85" spans="1:84" ht="14.25" customHeight="1" x14ac:dyDescent="0.2">
      <c r="A85" s="643"/>
      <c r="B85" s="558" t="s">
        <v>301</v>
      </c>
      <c r="C85" s="559" t="s">
        <v>295</v>
      </c>
      <c r="D85" s="560">
        <v>0.45</v>
      </c>
      <c r="E85" s="646"/>
      <c r="F85" s="561">
        <v>2</v>
      </c>
      <c r="G85" s="562">
        <v>1</v>
      </c>
      <c r="H85" s="561">
        <v>1</v>
      </c>
      <c r="I85" s="562"/>
      <c r="J85" s="562"/>
      <c r="K85" s="562">
        <v>5</v>
      </c>
      <c r="L85" s="562">
        <v>5</v>
      </c>
      <c r="M85" s="563">
        <v>1</v>
      </c>
      <c r="N85" s="155"/>
      <c r="O85" s="564">
        <f t="shared" si="42"/>
        <v>15</v>
      </c>
      <c r="R85" s="84"/>
      <c r="U85" s="84"/>
      <c r="V85" s="562"/>
      <c r="W85" s="561"/>
      <c r="X85" s="562"/>
      <c r="Y85" s="562"/>
      <c r="Z85" s="562"/>
      <c r="AA85" s="562"/>
      <c r="AB85" s="563"/>
      <c r="AC85" s="563"/>
      <c r="AD85" s="155"/>
      <c r="AE85" s="564"/>
      <c r="AH85" s="84"/>
      <c r="AJ85" s="561"/>
      <c r="AK85" s="561"/>
      <c r="AL85" s="562"/>
      <c r="AM85" s="562"/>
      <c r="AN85" s="562"/>
      <c r="AO85" s="562"/>
      <c r="AP85" s="563"/>
      <c r="AQ85" s="155"/>
      <c r="AR85" s="564"/>
      <c r="AU85" s="84"/>
      <c r="AW85" s="565"/>
      <c r="AX85" s="565"/>
      <c r="AY85" s="566"/>
      <c r="AZ85" s="566"/>
      <c r="BA85" s="566"/>
      <c r="BB85" s="566"/>
      <c r="BC85" s="567"/>
      <c r="BD85" s="161"/>
      <c r="BE85" s="568"/>
      <c r="BH85" s="84"/>
      <c r="BJ85" s="569"/>
      <c r="BK85" s="570"/>
      <c r="BL85" s="570"/>
      <c r="BM85" s="571">
        <v>1</v>
      </c>
      <c r="BN85" s="103"/>
      <c r="BO85" s="572">
        <f t="shared" si="43"/>
        <v>15</v>
      </c>
      <c r="BP85" s="572">
        <f t="shared" si="43"/>
        <v>15</v>
      </c>
      <c r="BQ85" s="572">
        <f t="shared" si="43"/>
        <v>15</v>
      </c>
      <c r="BR85" s="572">
        <f t="shared" si="43"/>
        <v>15</v>
      </c>
      <c r="BS85" s="103"/>
      <c r="BT85" s="573">
        <f t="shared" si="44"/>
        <v>0</v>
      </c>
      <c r="BU85" s="574">
        <f t="shared" si="45"/>
        <v>3.8250000000000011</v>
      </c>
      <c r="BV85" s="575">
        <f t="shared" si="46"/>
        <v>0</v>
      </c>
      <c r="BW85" s="575">
        <f t="shared" si="46"/>
        <v>0</v>
      </c>
      <c r="BX85" s="575">
        <f t="shared" si="46"/>
        <v>108.375</v>
      </c>
      <c r="BY85" s="576">
        <f t="shared" si="47"/>
        <v>15.300000000000004</v>
      </c>
      <c r="CA85" s="576">
        <f t="shared" si="48"/>
        <v>19.125000000000004</v>
      </c>
      <c r="CB85" s="577">
        <f t="shared" si="49"/>
        <v>15</v>
      </c>
      <c r="CC85" s="577">
        <f t="shared" si="49"/>
        <v>15</v>
      </c>
      <c r="CD85" s="577">
        <f t="shared" si="49"/>
        <v>15</v>
      </c>
      <c r="CE85" s="578">
        <f t="shared" si="49"/>
        <v>15</v>
      </c>
      <c r="CF85" s="557"/>
    </row>
    <row r="86" spans="1:84" ht="14.25" customHeight="1" x14ac:dyDescent="0.2">
      <c r="A86" s="643"/>
      <c r="B86" s="558" t="s">
        <v>302</v>
      </c>
      <c r="C86" s="559" t="s">
        <v>295</v>
      </c>
      <c r="D86" s="560">
        <v>0.7</v>
      </c>
      <c r="E86" s="646"/>
      <c r="F86" s="561">
        <v>2</v>
      </c>
      <c r="G86" s="562">
        <v>1</v>
      </c>
      <c r="H86" s="561">
        <v>1</v>
      </c>
      <c r="I86" s="562"/>
      <c r="J86" s="562"/>
      <c r="K86" s="562">
        <v>5</v>
      </c>
      <c r="L86" s="562">
        <v>5</v>
      </c>
      <c r="M86" s="563">
        <v>1</v>
      </c>
      <c r="N86" s="155"/>
      <c r="O86" s="564">
        <f t="shared" si="42"/>
        <v>15</v>
      </c>
      <c r="R86" s="84"/>
      <c r="U86" s="84"/>
      <c r="V86" s="562"/>
      <c r="W86" s="561"/>
      <c r="X86" s="562"/>
      <c r="Y86" s="562"/>
      <c r="Z86" s="562"/>
      <c r="AA86" s="562"/>
      <c r="AB86" s="563"/>
      <c r="AC86" s="563"/>
      <c r="AD86" s="155"/>
      <c r="AE86" s="564"/>
      <c r="AH86" s="84"/>
      <c r="AJ86" s="561"/>
      <c r="AK86" s="561"/>
      <c r="AL86" s="562"/>
      <c r="AM86" s="562"/>
      <c r="AN86" s="562"/>
      <c r="AO86" s="562"/>
      <c r="AP86" s="563"/>
      <c r="AQ86" s="155"/>
      <c r="AR86" s="564"/>
      <c r="AU86" s="84"/>
      <c r="AW86" s="565"/>
      <c r="AX86" s="565"/>
      <c r="AY86" s="566"/>
      <c r="AZ86" s="566"/>
      <c r="BA86" s="566"/>
      <c r="BB86" s="566"/>
      <c r="BC86" s="567"/>
      <c r="BD86" s="161"/>
      <c r="BE86" s="568"/>
      <c r="BH86" s="84"/>
      <c r="BJ86" s="569"/>
      <c r="BK86" s="570"/>
      <c r="BL86" s="570"/>
      <c r="BM86" s="571">
        <v>1</v>
      </c>
      <c r="BN86" s="103"/>
      <c r="BO86" s="572">
        <f t="shared" si="43"/>
        <v>15</v>
      </c>
      <c r="BP86" s="572">
        <f t="shared" si="43"/>
        <v>15</v>
      </c>
      <c r="BQ86" s="572">
        <f t="shared" si="43"/>
        <v>15</v>
      </c>
      <c r="BR86" s="572">
        <f t="shared" si="43"/>
        <v>15</v>
      </c>
      <c r="BS86" s="103"/>
      <c r="BT86" s="573">
        <f t="shared" si="44"/>
        <v>0</v>
      </c>
      <c r="BU86" s="574">
        <f t="shared" si="45"/>
        <v>3.8250000000000011</v>
      </c>
      <c r="BV86" s="575">
        <f t="shared" si="46"/>
        <v>0</v>
      </c>
      <c r="BW86" s="575">
        <f t="shared" si="46"/>
        <v>0</v>
      </c>
      <c r="BX86" s="575">
        <f t="shared" si="46"/>
        <v>108.375</v>
      </c>
      <c r="BY86" s="576">
        <f t="shared" si="47"/>
        <v>15.300000000000004</v>
      </c>
      <c r="CA86" s="576">
        <f t="shared" si="48"/>
        <v>19.125000000000004</v>
      </c>
      <c r="CB86" s="577">
        <f t="shared" si="49"/>
        <v>15</v>
      </c>
      <c r="CC86" s="577">
        <f t="shared" si="49"/>
        <v>15</v>
      </c>
      <c r="CD86" s="577">
        <f t="shared" si="49"/>
        <v>15</v>
      </c>
      <c r="CE86" s="578">
        <f t="shared" si="49"/>
        <v>15</v>
      </c>
      <c r="CF86" s="557"/>
    </row>
    <row r="87" spans="1:84" ht="14.25" customHeight="1" x14ac:dyDescent="0.2">
      <c r="A87" s="643"/>
      <c r="B87" s="558" t="s">
        <v>303</v>
      </c>
      <c r="C87" s="559" t="s">
        <v>295</v>
      </c>
      <c r="D87" s="560">
        <v>1.07</v>
      </c>
      <c r="E87" s="646"/>
      <c r="F87" s="561">
        <v>2</v>
      </c>
      <c r="G87" s="562">
        <v>2</v>
      </c>
      <c r="H87" s="561">
        <v>1</v>
      </c>
      <c r="I87" s="562">
        <v>3</v>
      </c>
      <c r="J87" s="562">
        <v>1</v>
      </c>
      <c r="K87" s="562">
        <v>10</v>
      </c>
      <c r="L87" s="562">
        <v>10</v>
      </c>
      <c r="M87" s="563">
        <v>2</v>
      </c>
      <c r="N87" s="155"/>
      <c r="O87" s="564">
        <f t="shared" si="42"/>
        <v>31</v>
      </c>
      <c r="R87" s="84"/>
      <c r="U87" s="84"/>
      <c r="V87" s="562"/>
      <c r="W87" s="561"/>
      <c r="X87" s="562"/>
      <c r="Y87" s="562"/>
      <c r="Z87" s="562"/>
      <c r="AA87" s="562"/>
      <c r="AB87" s="563"/>
      <c r="AC87" s="563"/>
      <c r="AD87" s="155"/>
      <c r="AE87" s="564"/>
      <c r="AH87" s="84"/>
      <c r="AJ87" s="561"/>
      <c r="AK87" s="561"/>
      <c r="AL87" s="562"/>
      <c r="AM87" s="562"/>
      <c r="AN87" s="562"/>
      <c r="AO87" s="562"/>
      <c r="AP87" s="563"/>
      <c r="AQ87" s="155"/>
      <c r="AR87" s="564"/>
      <c r="AU87" s="84"/>
      <c r="AW87" s="565"/>
      <c r="AX87" s="565"/>
      <c r="AY87" s="566"/>
      <c r="AZ87" s="566"/>
      <c r="BA87" s="566"/>
      <c r="BB87" s="566"/>
      <c r="BC87" s="567"/>
      <c r="BD87" s="161"/>
      <c r="BE87" s="568"/>
      <c r="BH87" s="84"/>
      <c r="BJ87" s="569"/>
      <c r="BK87" s="570"/>
      <c r="BL87" s="570"/>
      <c r="BM87" s="571">
        <v>1</v>
      </c>
      <c r="BN87" s="103"/>
      <c r="BO87" s="572">
        <f t="shared" si="43"/>
        <v>31</v>
      </c>
      <c r="BP87" s="572">
        <f t="shared" si="43"/>
        <v>31</v>
      </c>
      <c r="BQ87" s="572">
        <f t="shared" si="43"/>
        <v>31</v>
      </c>
      <c r="BR87" s="572">
        <f t="shared" si="43"/>
        <v>31</v>
      </c>
      <c r="BS87" s="103"/>
      <c r="BT87" s="573">
        <f t="shared" si="44"/>
        <v>0</v>
      </c>
      <c r="BU87" s="574">
        <f t="shared" si="45"/>
        <v>7.9050000000000011</v>
      </c>
      <c r="BV87" s="575">
        <f t="shared" si="46"/>
        <v>0</v>
      </c>
      <c r="BW87" s="575">
        <f t="shared" si="46"/>
        <v>0</v>
      </c>
      <c r="BX87" s="575">
        <f t="shared" si="46"/>
        <v>223.97499999999999</v>
      </c>
      <c r="BY87" s="576">
        <f t="shared" si="47"/>
        <v>31.620000000000005</v>
      </c>
      <c r="CA87" s="576">
        <f t="shared" si="48"/>
        <v>39.525000000000006</v>
      </c>
      <c r="CB87" s="577">
        <f t="shared" si="49"/>
        <v>31</v>
      </c>
      <c r="CC87" s="577">
        <f t="shared" si="49"/>
        <v>31</v>
      </c>
      <c r="CD87" s="577">
        <f t="shared" si="49"/>
        <v>31</v>
      </c>
      <c r="CE87" s="578">
        <f t="shared" si="49"/>
        <v>31</v>
      </c>
      <c r="CF87" s="557"/>
    </row>
    <row r="88" spans="1:84" ht="14.25" customHeight="1" x14ac:dyDescent="0.2">
      <c r="A88" s="643"/>
      <c r="B88" s="558" t="s">
        <v>304</v>
      </c>
      <c r="C88" s="559" t="s">
        <v>295</v>
      </c>
      <c r="D88" s="560">
        <v>0.08</v>
      </c>
      <c r="E88" s="646"/>
      <c r="F88" s="561">
        <v>2</v>
      </c>
      <c r="G88" s="562">
        <v>1</v>
      </c>
      <c r="H88" s="561">
        <v>1</v>
      </c>
      <c r="I88" s="562">
        <v>2</v>
      </c>
      <c r="J88" s="562">
        <v>1</v>
      </c>
      <c r="K88" s="562">
        <v>5</v>
      </c>
      <c r="L88" s="562">
        <v>5</v>
      </c>
      <c r="M88" s="563">
        <v>1</v>
      </c>
      <c r="N88" s="155"/>
      <c r="O88" s="564">
        <f t="shared" si="42"/>
        <v>18</v>
      </c>
      <c r="R88" s="84"/>
      <c r="U88" s="84"/>
      <c r="V88" s="562"/>
      <c r="W88" s="561"/>
      <c r="X88" s="562"/>
      <c r="Y88" s="562"/>
      <c r="Z88" s="562"/>
      <c r="AA88" s="562"/>
      <c r="AB88" s="563"/>
      <c r="AC88" s="563"/>
      <c r="AD88" s="155"/>
      <c r="AE88" s="564"/>
      <c r="AH88" s="84"/>
      <c r="AJ88" s="561"/>
      <c r="AK88" s="561"/>
      <c r="AL88" s="562"/>
      <c r="AM88" s="562"/>
      <c r="AN88" s="562"/>
      <c r="AO88" s="562"/>
      <c r="AP88" s="563"/>
      <c r="AQ88" s="155"/>
      <c r="AR88" s="564"/>
      <c r="AU88" s="84"/>
      <c r="AW88" s="565"/>
      <c r="AX88" s="565"/>
      <c r="AY88" s="566"/>
      <c r="AZ88" s="566"/>
      <c r="BA88" s="566"/>
      <c r="BB88" s="566"/>
      <c r="BC88" s="567"/>
      <c r="BD88" s="161"/>
      <c r="BE88" s="568"/>
      <c r="BH88" s="84"/>
      <c r="BJ88" s="569"/>
      <c r="BK88" s="570"/>
      <c r="BL88" s="570"/>
      <c r="BM88" s="571">
        <v>1</v>
      </c>
      <c r="BN88" s="103"/>
      <c r="BO88" s="572">
        <f t="shared" si="43"/>
        <v>18</v>
      </c>
      <c r="BP88" s="572">
        <f t="shared" si="43"/>
        <v>18</v>
      </c>
      <c r="BQ88" s="572">
        <f t="shared" si="43"/>
        <v>18</v>
      </c>
      <c r="BR88" s="572">
        <f t="shared" si="43"/>
        <v>18</v>
      </c>
      <c r="BS88" s="103"/>
      <c r="BT88" s="573">
        <f t="shared" si="44"/>
        <v>0</v>
      </c>
      <c r="BU88" s="574">
        <f t="shared" si="45"/>
        <v>4.5900000000000007</v>
      </c>
      <c r="BV88" s="575">
        <f t="shared" si="46"/>
        <v>0</v>
      </c>
      <c r="BW88" s="575">
        <f t="shared" si="46"/>
        <v>0</v>
      </c>
      <c r="BX88" s="575">
        <f t="shared" si="46"/>
        <v>130.05000000000001</v>
      </c>
      <c r="BY88" s="576">
        <f t="shared" si="47"/>
        <v>18.360000000000003</v>
      </c>
      <c r="CA88" s="576">
        <f t="shared" si="48"/>
        <v>22.950000000000003</v>
      </c>
      <c r="CB88" s="577">
        <f t="shared" si="49"/>
        <v>18</v>
      </c>
      <c r="CC88" s="577">
        <f t="shared" si="49"/>
        <v>18</v>
      </c>
      <c r="CD88" s="577">
        <f t="shared" si="49"/>
        <v>18</v>
      </c>
      <c r="CE88" s="578">
        <f t="shared" si="49"/>
        <v>18</v>
      </c>
      <c r="CF88" s="557"/>
    </row>
    <row r="89" spans="1:84" ht="14.25" customHeight="1" x14ac:dyDescent="0.2">
      <c r="A89" s="643"/>
      <c r="B89" s="558" t="s">
        <v>305</v>
      </c>
      <c r="C89" s="559" t="s">
        <v>295</v>
      </c>
      <c r="D89" s="560" t="s">
        <v>297</v>
      </c>
      <c r="E89" s="646"/>
      <c r="F89" s="561">
        <v>2</v>
      </c>
      <c r="G89" s="562">
        <v>1</v>
      </c>
      <c r="H89" s="561">
        <v>1</v>
      </c>
      <c r="I89" s="562"/>
      <c r="J89" s="562"/>
      <c r="K89" s="562">
        <v>10</v>
      </c>
      <c r="L89" s="562">
        <v>5</v>
      </c>
      <c r="M89" s="563">
        <v>1</v>
      </c>
      <c r="N89" s="155"/>
      <c r="O89" s="564">
        <f t="shared" si="42"/>
        <v>20</v>
      </c>
      <c r="R89" s="84"/>
      <c r="U89" s="84"/>
      <c r="V89" s="562"/>
      <c r="W89" s="561"/>
      <c r="X89" s="562"/>
      <c r="Y89" s="562"/>
      <c r="Z89" s="562"/>
      <c r="AA89" s="562"/>
      <c r="AB89" s="563"/>
      <c r="AC89" s="563"/>
      <c r="AD89" s="155"/>
      <c r="AE89" s="564"/>
      <c r="AH89" s="84"/>
      <c r="AJ89" s="561"/>
      <c r="AK89" s="561"/>
      <c r="AL89" s="562"/>
      <c r="AM89" s="562"/>
      <c r="AN89" s="562"/>
      <c r="AO89" s="562"/>
      <c r="AP89" s="563"/>
      <c r="AQ89" s="155"/>
      <c r="AR89" s="564"/>
      <c r="AU89" s="84"/>
      <c r="AW89" s="565"/>
      <c r="AX89" s="565"/>
      <c r="AY89" s="566"/>
      <c r="AZ89" s="566"/>
      <c r="BA89" s="566"/>
      <c r="BB89" s="566"/>
      <c r="BC89" s="567"/>
      <c r="BD89" s="161"/>
      <c r="BE89" s="568"/>
      <c r="BH89" s="84"/>
      <c r="BJ89" s="569"/>
      <c r="BK89" s="570"/>
      <c r="BL89" s="570"/>
      <c r="BM89" s="571">
        <v>1</v>
      </c>
      <c r="BN89" s="103"/>
      <c r="BO89" s="572">
        <f t="shared" si="43"/>
        <v>20</v>
      </c>
      <c r="BP89" s="572">
        <f t="shared" si="43"/>
        <v>20</v>
      </c>
      <c r="BQ89" s="572">
        <f t="shared" si="43"/>
        <v>20</v>
      </c>
      <c r="BR89" s="572">
        <f t="shared" si="43"/>
        <v>20</v>
      </c>
      <c r="BS89" s="103"/>
      <c r="BT89" s="573">
        <f t="shared" si="44"/>
        <v>0</v>
      </c>
      <c r="BU89" s="574">
        <f t="shared" si="45"/>
        <v>5.1000000000000014</v>
      </c>
      <c r="BV89" s="575">
        <f t="shared" si="46"/>
        <v>0</v>
      </c>
      <c r="BW89" s="575">
        <f t="shared" si="46"/>
        <v>0</v>
      </c>
      <c r="BX89" s="575">
        <f t="shared" si="46"/>
        <v>144.5</v>
      </c>
      <c r="BY89" s="576">
        <f t="shared" si="47"/>
        <v>20.400000000000006</v>
      </c>
      <c r="CA89" s="576">
        <f t="shared" si="48"/>
        <v>25.500000000000004</v>
      </c>
      <c r="CB89" s="577">
        <f t="shared" si="49"/>
        <v>20</v>
      </c>
      <c r="CC89" s="577">
        <f t="shared" si="49"/>
        <v>20</v>
      </c>
      <c r="CD89" s="577">
        <f t="shared" si="49"/>
        <v>20</v>
      </c>
      <c r="CE89" s="578">
        <f t="shared" si="49"/>
        <v>20</v>
      </c>
      <c r="CF89" s="557"/>
    </row>
    <row r="90" spans="1:84" ht="14.25" customHeight="1" x14ac:dyDescent="0.2">
      <c r="A90" s="643"/>
      <c r="B90" s="558" t="s">
        <v>306</v>
      </c>
      <c r="C90" s="559" t="s">
        <v>295</v>
      </c>
      <c r="D90" s="560">
        <v>3.2</v>
      </c>
      <c r="E90" s="646"/>
      <c r="F90" s="561">
        <v>2</v>
      </c>
      <c r="G90" s="562">
        <v>0</v>
      </c>
      <c r="H90" s="561">
        <v>1</v>
      </c>
      <c r="I90" s="562"/>
      <c r="J90" s="562"/>
      <c r="K90" s="562">
        <v>10</v>
      </c>
      <c r="L90" s="562">
        <v>10</v>
      </c>
      <c r="M90" s="563">
        <v>1</v>
      </c>
      <c r="N90" s="196"/>
      <c r="O90" s="564">
        <f t="shared" si="42"/>
        <v>24</v>
      </c>
      <c r="P90" s="83"/>
      <c r="Q90" s="83"/>
      <c r="R90" s="84"/>
      <c r="S90" s="142"/>
      <c r="T90" s="142"/>
      <c r="U90" s="84"/>
      <c r="V90" s="562"/>
      <c r="W90" s="561"/>
      <c r="X90" s="562"/>
      <c r="Y90" s="562"/>
      <c r="Z90" s="562"/>
      <c r="AA90" s="562"/>
      <c r="AB90" s="563"/>
      <c r="AC90" s="563"/>
      <c r="AD90" s="196"/>
      <c r="AE90" s="564"/>
      <c r="AF90" s="83"/>
      <c r="AG90" s="83"/>
      <c r="AH90" s="84"/>
      <c r="AJ90" s="561"/>
      <c r="AK90" s="561"/>
      <c r="AL90" s="562"/>
      <c r="AM90" s="562"/>
      <c r="AN90" s="562"/>
      <c r="AO90" s="562"/>
      <c r="AP90" s="563"/>
      <c r="AQ90" s="196"/>
      <c r="AR90" s="564"/>
      <c r="AS90" s="83"/>
      <c r="AT90" s="83"/>
      <c r="AU90" s="84"/>
      <c r="AW90" s="565"/>
      <c r="AX90" s="565"/>
      <c r="AY90" s="566"/>
      <c r="AZ90" s="566"/>
      <c r="BA90" s="566"/>
      <c r="BB90" s="566"/>
      <c r="BC90" s="567"/>
      <c r="BD90" s="200"/>
      <c r="BE90" s="568"/>
      <c r="BF90" s="83"/>
      <c r="BG90" s="83"/>
      <c r="BH90" s="84"/>
      <c r="BJ90" s="569">
        <v>1</v>
      </c>
      <c r="BK90" s="570"/>
      <c r="BL90" s="570"/>
      <c r="BM90" s="571"/>
      <c r="BN90" s="103"/>
      <c r="BO90" s="572">
        <f t="shared" si="43"/>
        <v>24</v>
      </c>
      <c r="BP90" s="572">
        <f t="shared" si="43"/>
        <v>24</v>
      </c>
      <c r="BQ90" s="572">
        <f t="shared" si="43"/>
        <v>24</v>
      </c>
      <c r="BR90" s="572">
        <f t="shared" si="43"/>
        <v>24</v>
      </c>
      <c r="BS90" s="103"/>
      <c r="BT90" s="573">
        <f t="shared" si="44"/>
        <v>173.4</v>
      </c>
      <c r="BU90" s="574">
        <f t="shared" si="45"/>
        <v>6.120000000000001</v>
      </c>
      <c r="BV90" s="575">
        <f t="shared" si="46"/>
        <v>0</v>
      </c>
      <c r="BW90" s="575">
        <f t="shared" si="46"/>
        <v>0</v>
      </c>
      <c r="BX90" s="575">
        <f t="shared" si="46"/>
        <v>0</v>
      </c>
      <c r="BY90" s="576">
        <f t="shared" si="47"/>
        <v>24.480000000000004</v>
      </c>
      <c r="CA90" s="576">
        <f t="shared" si="48"/>
        <v>30.600000000000005</v>
      </c>
      <c r="CB90" s="577">
        <f t="shared" si="49"/>
        <v>24</v>
      </c>
      <c r="CC90" s="577">
        <f t="shared" si="49"/>
        <v>24</v>
      </c>
      <c r="CD90" s="577">
        <f t="shared" si="49"/>
        <v>24</v>
      </c>
      <c r="CE90" s="578">
        <f t="shared" si="49"/>
        <v>24</v>
      </c>
      <c r="CF90" s="557"/>
    </row>
    <row r="91" spans="1:84" ht="14.25" customHeight="1" x14ac:dyDescent="0.2">
      <c r="A91" s="643"/>
      <c r="B91" s="558" t="s">
        <v>307</v>
      </c>
      <c r="C91" s="559"/>
      <c r="D91" s="560">
        <v>0</v>
      </c>
      <c r="E91" s="646"/>
      <c r="F91" s="561">
        <v>0</v>
      </c>
      <c r="G91" s="562">
        <v>0</v>
      </c>
      <c r="H91" s="561">
        <v>0</v>
      </c>
      <c r="I91" s="562">
        <v>0</v>
      </c>
      <c r="J91" s="562">
        <v>0</v>
      </c>
      <c r="K91" s="562">
        <v>0</v>
      </c>
      <c r="L91" s="562">
        <v>0</v>
      </c>
      <c r="M91" s="563">
        <v>0</v>
      </c>
      <c r="N91" s="196"/>
      <c r="O91" s="564">
        <f t="shared" si="42"/>
        <v>0</v>
      </c>
      <c r="P91" s="83"/>
      <c r="Q91" s="83"/>
      <c r="R91" s="84"/>
      <c r="S91" s="142"/>
      <c r="T91" s="142"/>
      <c r="U91" s="84"/>
      <c r="V91" s="562"/>
      <c r="W91" s="561"/>
      <c r="X91" s="562"/>
      <c r="Y91" s="562"/>
      <c r="Z91" s="562"/>
      <c r="AA91" s="562"/>
      <c r="AB91" s="563"/>
      <c r="AC91" s="563"/>
      <c r="AD91" s="196"/>
      <c r="AE91" s="564"/>
      <c r="AF91" s="83"/>
      <c r="AG91" s="83"/>
      <c r="AH91" s="84"/>
      <c r="AJ91" s="561"/>
      <c r="AK91" s="561"/>
      <c r="AL91" s="562"/>
      <c r="AM91" s="562"/>
      <c r="AN91" s="562"/>
      <c r="AO91" s="562"/>
      <c r="AP91" s="563"/>
      <c r="AQ91" s="196"/>
      <c r="AR91" s="564"/>
      <c r="AS91" s="83"/>
      <c r="AT91" s="83"/>
      <c r="AU91" s="84"/>
      <c r="AW91" s="565"/>
      <c r="AX91" s="565"/>
      <c r="AY91" s="566"/>
      <c r="AZ91" s="566"/>
      <c r="BA91" s="566"/>
      <c r="BB91" s="566"/>
      <c r="BC91" s="567"/>
      <c r="BD91" s="200"/>
      <c r="BE91" s="568"/>
      <c r="BF91" s="83"/>
      <c r="BG91" s="83"/>
      <c r="BH91" s="84"/>
      <c r="BJ91" s="569"/>
      <c r="BK91" s="570"/>
      <c r="BL91" s="570"/>
      <c r="BM91" s="571"/>
      <c r="BN91" s="103"/>
      <c r="BO91" s="572">
        <f t="shared" si="43"/>
        <v>0</v>
      </c>
      <c r="BP91" s="572">
        <f t="shared" si="43"/>
        <v>0</v>
      </c>
      <c r="BQ91" s="572">
        <f t="shared" si="43"/>
        <v>0</v>
      </c>
      <c r="BR91" s="572">
        <f t="shared" si="43"/>
        <v>0</v>
      </c>
      <c r="BS91" s="103"/>
      <c r="BT91" s="573">
        <f t="shared" si="44"/>
        <v>0</v>
      </c>
      <c r="BU91" s="574">
        <f t="shared" si="45"/>
        <v>0</v>
      </c>
      <c r="BV91" s="575">
        <f t="shared" si="46"/>
        <v>0</v>
      </c>
      <c r="BW91" s="575">
        <f t="shared" si="46"/>
        <v>0</v>
      </c>
      <c r="BX91" s="575">
        <f t="shared" si="46"/>
        <v>0</v>
      </c>
      <c r="BY91" s="576">
        <f t="shared" si="47"/>
        <v>0</v>
      </c>
      <c r="CA91" s="576">
        <f t="shared" si="48"/>
        <v>0</v>
      </c>
      <c r="CB91" s="577">
        <f t="shared" si="49"/>
        <v>0</v>
      </c>
      <c r="CC91" s="577">
        <f t="shared" si="49"/>
        <v>0</v>
      </c>
      <c r="CD91" s="577">
        <f t="shared" si="49"/>
        <v>0</v>
      </c>
      <c r="CE91" s="578">
        <f t="shared" si="49"/>
        <v>0</v>
      </c>
      <c r="CF91" s="557"/>
    </row>
    <row r="92" spans="1:84" ht="15.75" thickBot="1" x14ac:dyDescent="0.25">
      <c r="A92" s="644"/>
      <c r="B92" s="580" t="s">
        <v>308</v>
      </c>
      <c r="C92" s="581" t="s">
        <v>295</v>
      </c>
      <c r="D92" s="582">
        <v>2.6</v>
      </c>
      <c r="E92" s="647"/>
      <c r="F92" s="583">
        <v>2</v>
      </c>
      <c r="G92" s="584">
        <v>2</v>
      </c>
      <c r="H92" s="583">
        <v>1</v>
      </c>
      <c r="I92" s="584">
        <v>3</v>
      </c>
      <c r="J92" s="584">
        <v>1</v>
      </c>
      <c r="K92" s="584">
        <v>10</v>
      </c>
      <c r="L92" s="584">
        <v>15</v>
      </c>
      <c r="M92" s="585">
        <v>2</v>
      </c>
      <c r="N92" s="586"/>
      <c r="O92" s="587">
        <f>SUM(F92:N92)</f>
        <v>36</v>
      </c>
      <c r="P92" s="588"/>
      <c r="Q92" s="588"/>
      <c r="R92" s="589"/>
      <c r="S92" s="588"/>
      <c r="T92" s="588"/>
      <c r="U92" s="84"/>
      <c r="V92" s="584"/>
      <c r="W92" s="583"/>
      <c r="X92" s="584"/>
      <c r="Y92" s="584"/>
      <c r="Z92" s="584"/>
      <c r="AA92" s="584"/>
      <c r="AB92" s="585"/>
      <c r="AC92" s="585"/>
      <c r="AD92" s="586"/>
      <c r="AE92" s="587"/>
      <c r="AF92" s="588"/>
      <c r="AG92" s="588"/>
      <c r="AH92" s="589"/>
      <c r="AJ92" s="583"/>
      <c r="AK92" s="583"/>
      <c r="AL92" s="584"/>
      <c r="AM92" s="584"/>
      <c r="AN92" s="584"/>
      <c r="AO92" s="584"/>
      <c r="AP92" s="585"/>
      <c r="AQ92" s="586"/>
      <c r="AR92" s="587"/>
      <c r="AS92" s="588"/>
      <c r="AT92" s="588"/>
      <c r="AU92" s="589"/>
      <c r="AW92" s="590"/>
      <c r="AX92" s="590"/>
      <c r="AY92" s="591"/>
      <c r="AZ92" s="591"/>
      <c r="BA92" s="591"/>
      <c r="BB92" s="591"/>
      <c r="BC92" s="592"/>
      <c r="BD92" s="593"/>
      <c r="BE92" s="594"/>
      <c r="BF92" s="588"/>
      <c r="BG92" s="588"/>
      <c r="BH92" s="589"/>
      <c r="BJ92" s="595">
        <v>1</v>
      </c>
      <c r="BK92" s="596"/>
      <c r="BL92" s="596"/>
      <c r="BM92" s="597"/>
      <c r="BN92" s="103"/>
      <c r="BO92" s="598">
        <f t="shared" si="43"/>
        <v>36</v>
      </c>
      <c r="BP92" s="599">
        <f t="shared" si="43"/>
        <v>36</v>
      </c>
      <c r="BQ92" s="599">
        <f t="shared" si="43"/>
        <v>36</v>
      </c>
      <c r="BR92" s="600">
        <f t="shared" si="43"/>
        <v>36</v>
      </c>
      <c r="BS92" s="103"/>
      <c r="BT92" s="601">
        <f t="shared" si="44"/>
        <v>260.10000000000002</v>
      </c>
      <c r="BU92" s="602">
        <f t="shared" si="45"/>
        <v>9.1800000000000015</v>
      </c>
      <c r="BV92" s="602">
        <f t="shared" si="46"/>
        <v>0</v>
      </c>
      <c r="BW92" s="602">
        <f t="shared" si="46"/>
        <v>0</v>
      </c>
      <c r="BX92" s="602">
        <f t="shared" si="46"/>
        <v>0</v>
      </c>
      <c r="BY92" s="603">
        <f t="shared" si="47"/>
        <v>36.720000000000006</v>
      </c>
      <c r="CA92" s="603">
        <f t="shared" si="48"/>
        <v>45.900000000000006</v>
      </c>
      <c r="CB92" s="604">
        <f t="shared" si="49"/>
        <v>36</v>
      </c>
      <c r="CC92" s="605">
        <f t="shared" si="49"/>
        <v>36</v>
      </c>
      <c r="CD92" s="605">
        <f t="shared" si="49"/>
        <v>36</v>
      </c>
      <c r="CE92" s="606">
        <f t="shared" si="49"/>
        <v>36</v>
      </c>
      <c r="CF92" s="557"/>
    </row>
    <row r="93" spans="1:84" ht="13.5" thickBot="1" x14ac:dyDescent="0.25">
      <c r="AG93" s="608" t="s">
        <v>309</v>
      </c>
      <c r="BJ93" s="609"/>
      <c r="BK93" s="609"/>
      <c r="BL93" s="609"/>
      <c r="BM93" s="609"/>
      <c r="BT93" s="648">
        <f>SUM(BT7:BY92)</f>
        <v>9600.7500000000018</v>
      </c>
      <c r="BU93" s="649"/>
      <c r="BV93" s="649"/>
      <c r="BW93" s="649"/>
      <c r="BX93" s="649"/>
      <c r="BY93" s="650"/>
      <c r="CF93" s="371"/>
    </row>
    <row r="94" spans="1:84" x14ac:dyDescent="0.2">
      <c r="AW94" s="83"/>
      <c r="AX94" s="610"/>
      <c r="AY94" s="610"/>
      <c r="AZ94" s="610"/>
      <c r="BA94" s="610"/>
      <c r="BB94" s="610"/>
      <c r="BC94" s="83"/>
    </row>
    <row r="96" spans="1:84" x14ac:dyDescent="0.2">
      <c r="CC96" s="70">
        <v>238</v>
      </c>
    </row>
  </sheetData>
  <mergeCells count="29">
    <mergeCell ref="F1:R1"/>
    <mergeCell ref="V1:AH1"/>
    <mergeCell ref="AJ1:AU1"/>
    <mergeCell ref="AW1:BH1"/>
    <mergeCell ref="BJ1:BM2"/>
    <mergeCell ref="BT6:BU6"/>
    <mergeCell ref="BW6:BY6"/>
    <mergeCell ref="A7:A10"/>
    <mergeCell ref="E7:E8"/>
    <mergeCell ref="H2:M2"/>
    <mergeCell ref="W2:AC2"/>
    <mergeCell ref="AK2:AP2"/>
    <mergeCell ref="AX2:BC2"/>
    <mergeCell ref="V4:V5"/>
    <mergeCell ref="AJ4:AJ5"/>
    <mergeCell ref="AW4:AW5"/>
    <mergeCell ref="BT5:BU5"/>
    <mergeCell ref="BW5:BY5"/>
    <mergeCell ref="BT1:BY2"/>
    <mergeCell ref="A80:A92"/>
    <mergeCell ref="E80:E92"/>
    <mergeCell ref="BT93:BY93"/>
    <mergeCell ref="CF11:CI19"/>
    <mergeCell ref="A13:A51"/>
    <mergeCell ref="E13:E51"/>
    <mergeCell ref="CF25:CG25"/>
    <mergeCell ref="CF26:CG26"/>
    <mergeCell ref="A54:A77"/>
    <mergeCell ref="E54:E77"/>
  </mergeCells>
  <pageMargins left="0.45" right="0.7" top="0.78740157499999996" bottom="0.78740157499999996" header="0.3" footer="0.3"/>
  <pageSetup paperSize="8" scale="28" orientation="landscape" r:id="rId1"/>
  <headerFooter>
    <oddHeader xml:space="preserve">&amp;LEP Sissach - Eptigen&amp;R&amp;G
</oddHeader>
    <oddFooter>&amp;L&amp;Z&amp;F&amp;RStand: 17.03.2013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2014</vt:lpstr>
      <vt:lpstr>Planung</vt:lpstr>
      <vt:lpstr>Planung!Druckbereich</vt:lpstr>
    </vt:vector>
  </TitlesOfParts>
  <Company>Jauslin + Stebler Ing.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</dc:creator>
  <cp:lastModifiedBy>Bäumle Michael</cp:lastModifiedBy>
  <cp:lastPrinted>2014-09-12T08:41:29Z</cp:lastPrinted>
  <dcterms:created xsi:type="dcterms:W3CDTF">2010-03-29T05:09:56Z</dcterms:created>
  <dcterms:modified xsi:type="dcterms:W3CDTF">2014-09-23T13:04:28Z</dcterms:modified>
</cp:coreProperties>
</file>