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defaultThemeVersion="124226"/>
  <bookViews>
    <workbookView xWindow="240" yWindow="45" windowWidth="18795" windowHeight="11505"/>
  </bookViews>
  <sheets>
    <sheet name="Variante A1 Vorgabe" sheetId="14" r:id="rId1"/>
    <sheet name="Variante A" sheetId="11" r:id="rId2"/>
    <sheet name="Variante A1" sheetId="13" r:id="rId3"/>
    <sheet name="Variante A mit Auft" sheetId="9" r:id="rId4"/>
    <sheet name="Variante A1 mit Auft" sheetId="10" r:id="rId5"/>
  </sheets>
  <definedNames>
    <definedName name="_xlnm.Print_Area" localSheetId="1">'Variante A'!$A$1:$S$48</definedName>
    <definedName name="_xlnm.Print_Area" localSheetId="3">'Variante A mit Auft'!$A$1:$T$78</definedName>
    <definedName name="_xlnm.Print_Area" localSheetId="2">'Variante A1'!$A$1:$S$50</definedName>
    <definedName name="_xlnm.Print_Area" localSheetId="4">'Variante A1 mit Auft'!$A$1:$T$78</definedName>
    <definedName name="_xlnm.Print_Area" localSheetId="0">'Variante A1 Vorgabe'!$A$1:$V$76</definedName>
  </definedNames>
  <calcPr calcId="145621"/>
</workbook>
</file>

<file path=xl/calcChain.xml><?xml version="1.0" encoding="utf-8"?>
<calcChain xmlns="http://schemas.openxmlformats.org/spreadsheetml/2006/main">
  <c r="R36" i="14" l="1"/>
  <c r="Q36" i="14"/>
  <c r="P36" i="14"/>
  <c r="O36" i="14"/>
  <c r="N36" i="14"/>
  <c r="L36" i="14"/>
  <c r="K36" i="14"/>
  <c r="J36" i="14"/>
  <c r="S36" i="14" s="1"/>
  <c r="R25" i="14"/>
  <c r="Q25" i="14"/>
  <c r="P25" i="14"/>
  <c r="O25" i="14"/>
  <c r="N25" i="14"/>
  <c r="L25" i="14"/>
  <c r="K25" i="14"/>
  <c r="J25" i="14"/>
  <c r="V58" i="14"/>
  <c r="V61" i="14"/>
  <c r="V63" i="14"/>
  <c r="V65" i="14"/>
  <c r="V67" i="14"/>
  <c r="V69" i="14"/>
  <c r="V71" i="14"/>
  <c r="V59" i="14"/>
  <c r="N76" i="14"/>
  <c r="J76" i="14"/>
  <c r="N73" i="14"/>
  <c r="J73" i="14"/>
  <c r="D73" i="14"/>
  <c r="D71" i="14"/>
  <c r="U71" i="14" s="1"/>
  <c r="D69" i="14"/>
  <c r="D76" i="14" s="1"/>
  <c r="H44" i="14" s="1"/>
  <c r="D67" i="14"/>
  <c r="U67" i="14" s="1"/>
  <c r="D65" i="14"/>
  <c r="U65" i="14" s="1"/>
  <c r="N63" i="14"/>
  <c r="J63" i="14"/>
  <c r="U63" i="14" s="1"/>
  <c r="N61" i="14"/>
  <c r="J61" i="14"/>
  <c r="D61" i="14"/>
  <c r="U61" i="14" s="1"/>
  <c r="N59" i="14"/>
  <c r="N74" i="14" s="1"/>
  <c r="J59" i="14"/>
  <c r="J74" i="14" s="1"/>
  <c r="D59" i="14"/>
  <c r="D74" i="14" s="1"/>
  <c r="N58" i="14"/>
  <c r="J58" i="14"/>
  <c r="D58" i="14"/>
  <c r="U58" i="14" s="1"/>
  <c r="R53" i="14"/>
  <c r="Q53" i="14"/>
  <c r="P53" i="14"/>
  <c r="O53" i="14"/>
  <c r="N53" i="14"/>
  <c r="L53" i="14"/>
  <c r="K53" i="14"/>
  <c r="J53" i="14"/>
  <c r="H53" i="14"/>
  <c r="G53" i="14"/>
  <c r="F53" i="14"/>
  <c r="E53" i="14"/>
  <c r="D53" i="14"/>
  <c r="S53" i="14" s="1"/>
  <c r="R44" i="14"/>
  <c r="L44" i="14"/>
  <c r="R43" i="14"/>
  <c r="L43" i="14"/>
  <c r="H43" i="14"/>
  <c r="R42" i="14"/>
  <c r="L42" i="14"/>
  <c r="H42" i="14"/>
  <c r="R28" i="14"/>
  <c r="R27" i="14"/>
  <c r="Q27" i="14"/>
  <c r="P27" i="14"/>
  <c r="O27" i="14"/>
  <c r="N27" i="14"/>
  <c r="L27" i="14"/>
  <c r="K27" i="14"/>
  <c r="J27" i="14"/>
  <c r="H27" i="14"/>
  <c r="G27" i="14"/>
  <c r="F27" i="14"/>
  <c r="E27" i="14"/>
  <c r="D27" i="14"/>
  <c r="R26" i="14"/>
  <c r="Q26" i="14"/>
  <c r="P26" i="14"/>
  <c r="O26" i="14"/>
  <c r="N26" i="14"/>
  <c r="L26" i="14"/>
  <c r="K26" i="14"/>
  <c r="J26" i="14"/>
  <c r="H26" i="14"/>
  <c r="G26" i="14"/>
  <c r="F26" i="14"/>
  <c r="E26" i="14"/>
  <c r="D26" i="14"/>
  <c r="R24" i="14"/>
  <c r="Q24" i="14"/>
  <c r="P24" i="14"/>
  <c r="O24" i="14"/>
  <c r="N24" i="14"/>
  <c r="L24" i="14"/>
  <c r="K24" i="14"/>
  <c r="J24" i="14"/>
  <c r="H24" i="14"/>
  <c r="G24" i="14"/>
  <c r="F24" i="14"/>
  <c r="E24" i="14"/>
  <c r="D24" i="14"/>
  <c r="R23" i="14"/>
  <c r="R29" i="14" s="1"/>
  <c r="Q23" i="14"/>
  <c r="Q29" i="14" s="1"/>
  <c r="P23" i="14"/>
  <c r="P29" i="14" s="1"/>
  <c r="O23" i="14"/>
  <c r="O29" i="14" s="1"/>
  <c r="N23" i="14"/>
  <c r="N29" i="14" s="1"/>
  <c r="L23" i="14"/>
  <c r="L29" i="14" s="1"/>
  <c r="K23" i="14"/>
  <c r="K29" i="14" s="1"/>
  <c r="J23" i="14"/>
  <c r="J29" i="14" s="1"/>
  <c r="H23" i="14"/>
  <c r="H29" i="14" s="1"/>
  <c r="G23" i="14"/>
  <c r="G29" i="14" s="1"/>
  <c r="F23" i="14"/>
  <c r="E23" i="14"/>
  <c r="E29" i="14" s="1"/>
  <c r="D23" i="14"/>
  <c r="D21" i="14"/>
  <c r="U20" i="14"/>
  <c r="R13" i="14"/>
  <c r="Q13" i="14"/>
  <c r="P13" i="14"/>
  <c r="O13" i="14"/>
  <c r="N13" i="14"/>
  <c r="L13" i="14"/>
  <c r="K13" i="14"/>
  <c r="J13" i="14"/>
  <c r="H13" i="14"/>
  <c r="G13" i="14"/>
  <c r="E13" i="14"/>
  <c r="D13" i="14"/>
  <c r="F12" i="14"/>
  <c r="F21" i="14" s="1"/>
  <c r="U5" i="14"/>
  <c r="U68" i="13"/>
  <c r="U66" i="13"/>
  <c r="U64" i="13"/>
  <c r="U62" i="13"/>
  <c r="U60" i="13"/>
  <c r="U58" i="13"/>
  <c r="U56" i="13"/>
  <c r="S33" i="9"/>
  <c r="F28" i="14" l="1"/>
  <c r="F29" i="14"/>
  <c r="R30" i="14"/>
  <c r="N31" i="14" s="1"/>
  <c r="L30" i="14"/>
  <c r="K31" i="14" s="1"/>
  <c r="Q31" i="14"/>
  <c r="R49" i="14"/>
  <c r="D28" i="14"/>
  <c r="D29" i="14" s="1"/>
  <c r="U69" i="14"/>
  <c r="F13" i="14"/>
  <c r="U59" i="14"/>
  <c r="S32" i="11"/>
  <c r="R48" i="11"/>
  <c r="Q48" i="11"/>
  <c r="P48" i="11"/>
  <c r="O48" i="11"/>
  <c r="N48" i="11"/>
  <c r="L48" i="11"/>
  <c r="K48" i="11"/>
  <c r="J48" i="11"/>
  <c r="H48" i="11"/>
  <c r="G48" i="11"/>
  <c r="F48" i="11"/>
  <c r="E48" i="11"/>
  <c r="D48" i="11"/>
  <c r="S48" i="11" s="1"/>
  <c r="R50" i="13"/>
  <c r="Q50" i="13"/>
  <c r="P50" i="13"/>
  <c r="O50" i="13"/>
  <c r="N50" i="13"/>
  <c r="L50" i="13"/>
  <c r="K50" i="13"/>
  <c r="J50" i="13"/>
  <c r="H50" i="13"/>
  <c r="G50" i="13"/>
  <c r="F50" i="13"/>
  <c r="E50" i="13"/>
  <c r="D50" i="13"/>
  <c r="S50" i="13" s="1"/>
  <c r="N73" i="13"/>
  <c r="J73" i="13"/>
  <c r="N70" i="13"/>
  <c r="J70" i="13"/>
  <c r="D70" i="13"/>
  <c r="D68" i="13"/>
  <c r="D66" i="13"/>
  <c r="D73" i="13" s="1"/>
  <c r="H41" i="13" s="1"/>
  <c r="D64" i="13"/>
  <c r="D62" i="13"/>
  <c r="N60" i="13"/>
  <c r="J60" i="13"/>
  <c r="N58" i="13"/>
  <c r="J58" i="13"/>
  <c r="J55" i="13" s="1"/>
  <c r="D58" i="13"/>
  <c r="N56" i="13"/>
  <c r="N71" i="13" s="1"/>
  <c r="J56" i="13"/>
  <c r="D56" i="13"/>
  <c r="D71" i="13" s="1"/>
  <c r="R41" i="13"/>
  <c r="L41" i="13"/>
  <c r="R40" i="13"/>
  <c r="L40" i="13"/>
  <c r="H40" i="13"/>
  <c r="R39" i="13"/>
  <c r="L39" i="13"/>
  <c r="H39" i="13"/>
  <c r="R26" i="13"/>
  <c r="R25" i="13"/>
  <c r="Q25" i="13"/>
  <c r="P25" i="13"/>
  <c r="O25" i="13"/>
  <c r="N25" i="13"/>
  <c r="L25" i="13"/>
  <c r="K25" i="13"/>
  <c r="J25" i="13"/>
  <c r="H25" i="13"/>
  <c r="G25" i="13"/>
  <c r="F25" i="13"/>
  <c r="E25" i="13"/>
  <c r="D25" i="13"/>
  <c r="R24" i="13"/>
  <c r="Q24" i="13"/>
  <c r="P24" i="13"/>
  <c r="O24" i="13"/>
  <c r="N24" i="13"/>
  <c r="L24" i="13"/>
  <c r="K24" i="13"/>
  <c r="J24" i="13"/>
  <c r="H24" i="13"/>
  <c r="G24" i="13"/>
  <c r="F24" i="13"/>
  <c r="E24" i="13"/>
  <c r="D24" i="13"/>
  <c r="R23" i="13"/>
  <c r="Q23" i="13"/>
  <c r="P23" i="13"/>
  <c r="O23" i="13"/>
  <c r="N23" i="13"/>
  <c r="L23" i="13"/>
  <c r="K23" i="13"/>
  <c r="J23" i="13"/>
  <c r="H23" i="13"/>
  <c r="G23" i="13"/>
  <c r="F23" i="13"/>
  <c r="E23" i="13"/>
  <c r="D23" i="13"/>
  <c r="R22" i="13"/>
  <c r="R27" i="13" s="1"/>
  <c r="Q22" i="13"/>
  <c r="Q27" i="13" s="1"/>
  <c r="P22" i="13"/>
  <c r="P27" i="13" s="1"/>
  <c r="O22" i="13"/>
  <c r="O27" i="13" s="1"/>
  <c r="N22" i="13"/>
  <c r="N27" i="13" s="1"/>
  <c r="L22" i="13"/>
  <c r="L27" i="13" s="1"/>
  <c r="K22" i="13"/>
  <c r="K27" i="13" s="1"/>
  <c r="J22" i="13"/>
  <c r="J27" i="13" s="1"/>
  <c r="H22" i="13"/>
  <c r="H27" i="13" s="1"/>
  <c r="G22" i="13"/>
  <c r="G27" i="13" s="1"/>
  <c r="F22" i="13"/>
  <c r="E22" i="13"/>
  <c r="E27" i="13" s="1"/>
  <c r="D22" i="13"/>
  <c r="D20" i="13"/>
  <c r="D26" i="13" s="1"/>
  <c r="U19" i="13"/>
  <c r="R12" i="13"/>
  <c r="Q12" i="13"/>
  <c r="P12" i="13"/>
  <c r="O12" i="13"/>
  <c r="N12" i="13"/>
  <c r="L12" i="13"/>
  <c r="K12" i="13"/>
  <c r="J12" i="13"/>
  <c r="H12" i="13"/>
  <c r="G12" i="13"/>
  <c r="E12" i="13"/>
  <c r="D12" i="13"/>
  <c r="F11" i="13"/>
  <c r="F20" i="13" s="1"/>
  <c r="U5" i="13"/>
  <c r="R42" i="11"/>
  <c r="L42" i="11"/>
  <c r="H42" i="11"/>
  <c r="R40" i="11"/>
  <c r="L40" i="11"/>
  <c r="H40" i="11"/>
  <c r="D22" i="11"/>
  <c r="N80" i="11"/>
  <c r="R41" i="11" s="1"/>
  <c r="J80" i="11"/>
  <c r="L41" i="11" s="1"/>
  <c r="N77" i="11"/>
  <c r="R39" i="11" s="1"/>
  <c r="J77" i="11"/>
  <c r="L39" i="11" s="1"/>
  <c r="D77" i="11"/>
  <c r="H39" i="11" s="1"/>
  <c r="D75" i="11"/>
  <c r="D73" i="11"/>
  <c r="D80" i="11" s="1"/>
  <c r="H41" i="11" s="1"/>
  <c r="D71" i="11"/>
  <c r="D69" i="11"/>
  <c r="N67" i="11"/>
  <c r="J67" i="11"/>
  <c r="N65" i="11"/>
  <c r="J65" i="11"/>
  <c r="J62" i="11" s="1"/>
  <c r="D65" i="11"/>
  <c r="N63" i="11"/>
  <c r="N78" i="11" s="1"/>
  <c r="J63" i="11"/>
  <c r="D63" i="11"/>
  <c r="D78" i="11" s="1"/>
  <c r="R26" i="11"/>
  <c r="R25" i="11"/>
  <c r="Q25" i="11"/>
  <c r="P25" i="11"/>
  <c r="O25" i="11"/>
  <c r="N25" i="11"/>
  <c r="L25" i="11"/>
  <c r="K25" i="11"/>
  <c r="J25" i="11"/>
  <c r="H25" i="11"/>
  <c r="G25" i="11"/>
  <c r="F25" i="11"/>
  <c r="E25" i="11"/>
  <c r="D25" i="11"/>
  <c r="R24" i="11"/>
  <c r="Q24" i="11"/>
  <c r="P24" i="11"/>
  <c r="O24" i="11"/>
  <c r="N24" i="11"/>
  <c r="L24" i="11"/>
  <c r="K24" i="11"/>
  <c r="J24" i="11"/>
  <c r="H24" i="11"/>
  <c r="G24" i="11"/>
  <c r="F24" i="11"/>
  <c r="E24" i="11"/>
  <c r="D24" i="11"/>
  <c r="R23" i="11"/>
  <c r="Q23" i="11"/>
  <c r="P23" i="11"/>
  <c r="O23" i="11"/>
  <c r="N23" i="11"/>
  <c r="L23" i="11"/>
  <c r="K23" i="11"/>
  <c r="J23" i="11"/>
  <c r="H23" i="11"/>
  <c r="G23" i="11"/>
  <c r="F23" i="11"/>
  <c r="E23" i="11"/>
  <c r="D23" i="11"/>
  <c r="R22" i="11"/>
  <c r="R27" i="11" s="1"/>
  <c r="Q22" i="11"/>
  <c r="P22" i="11"/>
  <c r="P27" i="11" s="1"/>
  <c r="O22" i="11"/>
  <c r="N22" i="11"/>
  <c r="N27" i="11" s="1"/>
  <c r="L22" i="11"/>
  <c r="K22" i="11"/>
  <c r="K27" i="11" s="1"/>
  <c r="J22" i="11"/>
  <c r="J27" i="11" s="1"/>
  <c r="H22" i="11"/>
  <c r="H27" i="11" s="1"/>
  <c r="G22" i="11"/>
  <c r="G27" i="11" s="1"/>
  <c r="F22" i="11"/>
  <c r="E22" i="11"/>
  <c r="E27" i="11" s="1"/>
  <c r="D20" i="11"/>
  <c r="D26" i="11" s="1"/>
  <c r="U19" i="11"/>
  <c r="R12" i="11"/>
  <c r="Q12" i="11"/>
  <c r="P12" i="11"/>
  <c r="O12" i="11"/>
  <c r="N12" i="11"/>
  <c r="L12" i="11"/>
  <c r="K12" i="11"/>
  <c r="J12" i="11"/>
  <c r="H12" i="11"/>
  <c r="G12" i="11"/>
  <c r="E12" i="11"/>
  <c r="D12" i="11"/>
  <c r="F11" i="11"/>
  <c r="F20" i="11" s="1"/>
  <c r="F26" i="11" s="1"/>
  <c r="U5" i="11"/>
  <c r="L31" i="14" l="1"/>
  <c r="R31" i="14"/>
  <c r="H30" i="14"/>
  <c r="O31" i="14"/>
  <c r="J31" i="14"/>
  <c r="L32" i="14" s="1"/>
  <c r="L49" i="14"/>
  <c r="P31" i="14"/>
  <c r="Q17" i="14"/>
  <c r="O17" i="14"/>
  <c r="R17" i="14"/>
  <c r="P17" i="14"/>
  <c r="N17" i="14"/>
  <c r="F31" i="14"/>
  <c r="F12" i="13"/>
  <c r="D55" i="13"/>
  <c r="N55" i="13"/>
  <c r="J71" i="13"/>
  <c r="D27" i="13"/>
  <c r="L28" i="13"/>
  <c r="J29" i="13" s="1"/>
  <c r="F26" i="13"/>
  <c r="F27" i="13"/>
  <c r="R28" i="13"/>
  <c r="Q29" i="13" s="1"/>
  <c r="R46" i="13"/>
  <c r="L27" i="11"/>
  <c r="O27" i="11"/>
  <c r="Q27" i="11"/>
  <c r="D62" i="11"/>
  <c r="U62" i="11" s="1"/>
  <c r="N62" i="11"/>
  <c r="F12" i="11"/>
  <c r="J78" i="11"/>
  <c r="D27" i="11"/>
  <c r="L28" i="11"/>
  <c r="J29" i="11" s="1"/>
  <c r="F27" i="11"/>
  <c r="H28" i="11" s="1"/>
  <c r="H44" i="11" s="1"/>
  <c r="R28" i="11"/>
  <c r="Q29" i="11" s="1"/>
  <c r="U32" i="10"/>
  <c r="U18" i="10"/>
  <c r="U5" i="10"/>
  <c r="S61" i="10"/>
  <c r="M61" i="10"/>
  <c r="I61" i="10"/>
  <c r="S60" i="10"/>
  <c r="M60" i="10"/>
  <c r="I60" i="10"/>
  <c r="N50" i="10"/>
  <c r="S64" i="10" s="1"/>
  <c r="J50" i="10"/>
  <c r="M63" i="10" s="1"/>
  <c r="N47" i="10"/>
  <c r="S55" i="10" s="1"/>
  <c r="J47" i="10"/>
  <c r="M54" i="10" s="1"/>
  <c r="D47" i="10"/>
  <c r="I55" i="10" s="1"/>
  <c r="D45" i="10"/>
  <c r="D43" i="10"/>
  <c r="D50" i="10" s="1"/>
  <c r="D41" i="10"/>
  <c r="D39" i="10"/>
  <c r="N37" i="10"/>
  <c r="J37" i="10"/>
  <c r="N35" i="10"/>
  <c r="J35" i="10"/>
  <c r="D35" i="10"/>
  <c r="N33" i="10"/>
  <c r="N48" i="10" s="1"/>
  <c r="J33" i="10"/>
  <c r="J48" i="10" s="1"/>
  <c r="D33" i="10"/>
  <c r="D48" i="10" s="1"/>
  <c r="J32" i="10"/>
  <c r="D32" i="10"/>
  <c r="R25" i="10"/>
  <c r="R24" i="10"/>
  <c r="Q24" i="10"/>
  <c r="P24" i="10"/>
  <c r="O24" i="10"/>
  <c r="N24" i="10"/>
  <c r="L24" i="10"/>
  <c r="K24" i="10"/>
  <c r="J24" i="10"/>
  <c r="H24" i="10"/>
  <c r="G24" i="10"/>
  <c r="F24" i="10"/>
  <c r="E24" i="10"/>
  <c r="D24" i="10"/>
  <c r="R23" i="10"/>
  <c r="Q23" i="10"/>
  <c r="P23" i="10"/>
  <c r="O23" i="10"/>
  <c r="N23" i="10"/>
  <c r="L23" i="10"/>
  <c r="K23" i="10"/>
  <c r="J23" i="10"/>
  <c r="H23" i="10"/>
  <c r="G23" i="10"/>
  <c r="F23" i="10"/>
  <c r="E23" i="10"/>
  <c r="D23" i="10"/>
  <c r="R22" i="10"/>
  <c r="Q22" i="10"/>
  <c r="P22" i="10"/>
  <c r="O22" i="10"/>
  <c r="N22" i="10"/>
  <c r="L22" i="10"/>
  <c r="K22" i="10"/>
  <c r="J22" i="10"/>
  <c r="H22" i="10"/>
  <c r="G22" i="10"/>
  <c r="F22" i="10"/>
  <c r="E22" i="10"/>
  <c r="D22" i="10"/>
  <c r="R21" i="10"/>
  <c r="R26" i="10" s="1"/>
  <c r="Q21" i="10"/>
  <c r="Q26" i="10" s="1"/>
  <c r="P21" i="10"/>
  <c r="P26" i="10" s="1"/>
  <c r="O21" i="10"/>
  <c r="O26" i="10" s="1"/>
  <c r="N21" i="10"/>
  <c r="N26" i="10" s="1"/>
  <c r="L21" i="10"/>
  <c r="L26" i="10" s="1"/>
  <c r="K21" i="10"/>
  <c r="K26" i="10" s="1"/>
  <c r="J21" i="10"/>
  <c r="J26" i="10" s="1"/>
  <c r="H21" i="10"/>
  <c r="H26" i="10" s="1"/>
  <c r="G21" i="10"/>
  <c r="G26" i="10" s="1"/>
  <c r="F21" i="10"/>
  <c r="E21" i="10"/>
  <c r="E26" i="10" s="1"/>
  <c r="D21" i="10"/>
  <c r="D19" i="10"/>
  <c r="D25" i="10" s="1"/>
  <c r="R12" i="10"/>
  <c r="Q12" i="10"/>
  <c r="P12" i="10"/>
  <c r="O12" i="10"/>
  <c r="N12" i="10"/>
  <c r="L12" i="10"/>
  <c r="K12" i="10"/>
  <c r="J12" i="10"/>
  <c r="H12" i="10"/>
  <c r="G12" i="10"/>
  <c r="E12" i="10"/>
  <c r="D12" i="10"/>
  <c r="F11" i="10"/>
  <c r="R32" i="14" l="1"/>
  <c r="N38" i="14"/>
  <c r="N35" i="14"/>
  <c r="N34" i="14"/>
  <c r="N39" i="14"/>
  <c r="N37" i="14"/>
  <c r="R38" i="14"/>
  <c r="R35" i="14"/>
  <c r="R34" i="14"/>
  <c r="R39" i="14"/>
  <c r="R37" i="14"/>
  <c r="Q39" i="14"/>
  <c r="Q37" i="14"/>
  <c r="Q38" i="14"/>
  <c r="Q35" i="14"/>
  <c r="Q34" i="14"/>
  <c r="L17" i="14"/>
  <c r="J17" i="14"/>
  <c r="K17" i="14"/>
  <c r="E31" i="14"/>
  <c r="H31" i="14"/>
  <c r="G31" i="14"/>
  <c r="H49" i="14"/>
  <c r="P38" i="14"/>
  <c r="P35" i="14"/>
  <c r="P34" i="14"/>
  <c r="P39" i="14"/>
  <c r="P37" i="14"/>
  <c r="O39" i="14"/>
  <c r="O37" i="14"/>
  <c r="O38" i="14"/>
  <c r="O35" i="14"/>
  <c r="O34" i="14"/>
  <c r="D31" i="14"/>
  <c r="H32" i="14" s="1"/>
  <c r="U55" i="13"/>
  <c r="P29" i="13"/>
  <c r="K29" i="13"/>
  <c r="L46" i="13"/>
  <c r="R29" i="13"/>
  <c r="N29" i="13"/>
  <c r="L29" i="13"/>
  <c r="K16" i="13"/>
  <c r="L16" i="13"/>
  <c r="J16" i="13"/>
  <c r="O29" i="13"/>
  <c r="R16" i="13"/>
  <c r="P16" i="13"/>
  <c r="N16" i="13"/>
  <c r="Q16" i="13"/>
  <c r="O16" i="13"/>
  <c r="R30" i="13"/>
  <c r="H28" i="13"/>
  <c r="L30" i="13"/>
  <c r="H16" i="11"/>
  <c r="F16" i="11"/>
  <c r="D16" i="11"/>
  <c r="G16" i="11"/>
  <c r="E16" i="11"/>
  <c r="L44" i="11"/>
  <c r="R44" i="11"/>
  <c r="R29" i="11"/>
  <c r="K29" i="11"/>
  <c r="L29" i="11"/>
  <c r="E29" i="11"/>
  <c r="D29" i="11"/>
  <c r="G29" i="11"/>
  <c r="H29" i="11"/>
  <c r="P29" i="11"/>
  <c r="N29" i="11"/>
  <c r="O29" i="11"/>
  <c r="F29" i="11"/>
  <c r="D26" i="10"/>
  <c r="R27" i="10"/>
  <c r="N28" i="10" s="1"/>
  <c r="L27" i="10"/>
  <c r="J28" i="10" s="1"/>
  <c r="I64" i="10"/>
  <c r="I62" i="10"/>
  <c r="I63" i="10"/>
  <c r="F12" i="10"/>
  <c r="F19" i="10"/>
  <c r="F25" i="10" s="1"/>
  <c r="F26" i="10" s="1"/>
  <c r="N32" i="10"/>
  <c r="I54" i="10"/>
  <c r="S54" i="10"/>
  <c r="M55" i="10"/>
  <c r="M62" i="10"/>
  <c r="S63" i="10"/>
  <c r="M64" i="10"/>
  <c r="S62" i="10"/>
  <c r="M61" i="9"/>
  <c r="M60" i="9"/>
  <c r="I61" i="9"/>
  <c r="I60" i="9"/>
  <c r="S61" i="9"/>
  <c r="S60" i="9"/>
  <c r="N50" i="9"/>
  <c r="S63" i="9" s="1"/>
  <c r="J50" i="9"/>
  <c r="M63" i="9" s="1"/>
  <c r="N47" i="9"/>
  <c r="J47" i="9"/>
  <c r="D47" i="9"/>
  <c r="Q40" i="14" l="1"/>
  <c r="O40" i="14"/>
  <c r="G17" i="14"/>
  <c r="E17" i="14"/>
  <c r="H17" i="14"/>
  <c r="F17" i="14"/>
  <c r="D17" i="14"/>
  <c r="K38" i="14"/>
  <c r="K35" i="14"/>
  <c r="K34" i="14"/>
  <c r="K39" i="14"/>
  <c r="K37" i="14"/>
  <c r="L39" i="14"/>
  <c r="L37" i="14"/>
  <c r="L38" i="14"/>
  <c r="L35" i="14"/>
  <c r="L34" i="14"/>
  <c r="R40" i="14"/>
  <c r="P40" i="14"/>
  <c r="J39" i="14"/>
  <c r="S39" i="14" s="1"/>
  <c r="J37" i="14"/>
  <c r="J38" i="14"/>
  <c r="S38" i="14" s="1"/>
  <c r="J35" i="14"/>
  <c r="J34" i="14"/>
  <c r="J40" i="14" s="1"/>
  <c r="N40" i="14"/>
  <c r="R41" i="14" s="1"/>
  <c r="R45" i="14" s="1"/>
  <c r="E29" i="13"/>
  <c r="G29" i="13"/>
  <c r="D29" i="13"/>
  <c r="H29" i="13"/>
  <c r="H46" i="13"/>
  <c r="Q36" i="13"/>
  <c r="Q34" i="13"/>
  <c r="Q32" i="13"/>
  <c r="Q35" i="13"/>
  <c r="Q33" i="13"/>
  <c r="P35" i="13"/>
  <c r="P33" i="13"/>
  <c r="P36" i="13"/>
  <c r="P34" i="13"/>
  <c r="P32" i="13"/>
  <c r="L36" i="13"/>
  <c r="L34" i="13"/>
  <c r="L32" i="13"/>
  <c r="L35" i="13"/>
  <c r="L33" i="13"/>
  <c r="F29" i="13"/>
  <c r="O36" i="13"/>
  <c r="O34" i="13"/>
  <c r="O32" i="13"/>
  <c r="O35" i="13"/>
  <c r="O33" i="13"/>
  <c r="N35" i="13"/>
  <c r="N33" i="13"/>
  <c r="N36" i="13"/>
  <c r="N34" i="13"/>
  <c r="N32" i="13"/>
  <c r="R35" i="13"/>
  <c r="R33" i="13"/>
  <c r="R36" i="13"/>
  <c r="R34" i="13"/>
  <c r="R32" i="13"/>
  <c r="J36" i="13"/>
  <c r="J34" i="13"/>
  <c r="J32" i="13"/>
  <c r="J35" i="13"/>
  <c r="J33" i="13"/>
  <c r="K35" i="13"/>
  <c r="K33" i="13"/>
  <c r="K36" i="13"/>
  <c r="K34" i="13"/>
  <c r="K32" i="13"/>
  <c r="L30" i="11"/>
  <c r="K16" i="11"/>
  <c r="L16" i="11"/>
  <c r="J16" i="11"/>
  <c r="G35" i="11"/>
  <c r="G33" i="11"/>
  <c r="G32" i="11"/>
  <c r="G36" i="11"/>
  <c r="G34" i="11"/>
  <c r="F34" i="11"/>
  <c r="F35" i="11"/>
  <c r="F33" i="11"/>
  <c r="F32" i="11"/>
  <c r="F37" i="11" s="1"/>
  <c r="F36" i="11"/>
  <c r="R16" i="11"/>
  <c r="P16" i="11"/>
  <c r="N16" i="11"/>
  <c r="Q16" i="11"/>
  <c r="O16" i="11"/>
  <c r="E35" i="11"/>
  <c r="E33" i="11"/>
  <c r="E32" i="11"/>
  <c r="E36" i="11"/>
  <c r="E34" i="11"/>
  <c r="D34" i="11"/>
  <c r="D32" i="11"/>
  <c r="D35" i="11"/>
  <c r="D33" i="11"/>
  <c r="D36" i="11"/>
  <c r="H36" i="11"/>
  <c r="H34" i="11"/>
  <c r="H35" i="11"/>
  <c r="H33" i="11"/>
  <c r="H32" i="11"/>
  <c r="H37" i="11" s="1"/>
  <c r="R30" i="11"/>
  <c r="H30" i="11"/>
  <c r="Q28" i="10"/>
  <c r="Q56" i="10" s="1"/>
  <c r="Q77" i="10" s="1"/>
  <c r="P28" i="10"/>
  <c r="P56" i="10" s="1"/>
  <c r="P77" i="10" s="1"/>
  <c r="Q76" i="10"/>
  <c r="Q74" i="10"/>
  <c r="P75" i="10"/>
  <c r="P74" i="10"/>
  <c r="O28" i="10"/>
  <c r="O56" i="10" s="1"/>
  <c r="R28" i="10"/>
  <c r="R56" i="10" s="1"/>
  <c r="J56" i="10"/>
  <c r="R29" i="10"/>
  <c r="N56" i="10"/>
  <c r="K28" i="10"/>
  <c r="K56" i="10" s="1"/>
  <c r="L28" i="10"/>
  <c r="L56" i="10" s="1"/>
  <c r="H27" i="10"/>
  <c r="D28" i="10" s="1"/>
  <c r="S54" i="9"/>
  <c r="I55" i="9"/>
  <c r="M54" i="9"/>
  <c r="M55" i="9"/>
  <c r="I54" i="9"/>
  <c r="M62" i="9"/>
  <c r="M64" i="9"/>
  <c r="S55" i="9"/>
  <c r="S62" i="9"/>
  <c r="S64" i="9"/>
  <c r="N37" i="9"/>
  <c r="J37" i="9"/>
  <c r="N35" i="9"/>
  <c r="J35" i="9"/>
  <c r="N33" i="9"/>
  <c r="N48" i="9" s="1"/>
  <c r="J33" i="9"/>
  <c r="J48" i="9" s="1"/>
  <c r="E22" i="9"/>
  <c r="E21" i="9"/>
  <c r="D21" i="9"/>
  <c r="D22" i="9"/>
  <c r="R12" i="9"/>
  <c r="Q12" i="9"/>
  <c r="P12" i="9"/>
  <c r="O12" i="9"/>
  <c r="N12" i="9"/>
  <c r="L12" i="9"/>
  <c r="K12" i="9"/>
  <c r="J12" i="9"/>
  <c r="H12" i="9"/>
  <c r="G12" i="9"/>
  <c r="E12" i="9"/>
  <c r="D45" i="9"/>
  <c r="D43" i="9"/>
  <c r="D50" i="9" s="1"/>
  <c r="D41" i="9"/>
  <c r="D39" i="9"/>
  <c r="D35" i="9"/>
  <c r="D33" i="9"/>
  <c r="D48" i="9" s="1"/>
  <c r="S35" i="14" l="1"/>
  <c r="S37" i="14"/>
  <c r="L40" i="14"/>
  <c r="D38" i="14"/>
  <c r="D35" i="14"/>
  <c r="D34" i="14"/>
  <c r="D37" i="14"/>
  <c r="D39" i="14"/>
  <c r="H38" i="14"/>
  <c r="H35" i="14"/>
  <c r="H34" i="14"/>
  <c r="H39" i="14"/>
  <c r="H37" i="14"/>
  <c r="G39" i="14"/>
  <c r="G37" i="14"/>
  <c r="G38" i="14"/>
  <c r="G35" i="14"/>
  <c r="G34" i="14"/>
  <c r="K40" i="14"/>
  <c r="L41" i="14" s="1"/>
  <c r="L45" i="14" s="1"/>
  <c r="F38" i="14"/>
  <c r="F35" i="14"/>
  <c r="F34" i="14"/>
  <c r="F37" i="14"/>
  <c r="F39" i="14"/>
  <c r="E39" i="14"/>
  <c r="E37" i="14"/>
  <c r="E38" i="14"/>
  <c r="E35" i="14"/>
  <c r="E34" i="14"/>
  <c r="N37" i="13"/>
  <c r="P37" i="13"/>
  <c r="K37" i="13"/>
  <c r="R37" i="13"/>
  <c r="O37" i="13"/>
  <c r="L37" i="13"/>
  <c r="Q37" i="13"/>
  <c r="J37" i="13"/>
  <c r="L38" i="13" s="1"/>
  <c r="L42" i="13" s="1"/>
  <c r="H16" i="13"/>
  <c r="F16" i="13"/>
  <c r="D16" i="13"/>
  <c r="G16" i="13"/>
  <c r="E16" i="13"/>
  <c r="H30" i="13"/>
  <c r="D37" i="11"/>
  <c r="E37" i="11"/>
  <c r="Q35" i="11"/>
  <c r="Q33" i="11"/>
  <c r="Q36" i="11"/>
  <c r="Q34" i="11"/>
  <c r="Q32" i="11"/>
  <c r="Q37" i="11" s="1"/>
  <c r="P36" i="11"/>
  <c r="P34" i="11"/>
  <c r="P32" i="11"/>
  <c r="P35" i="11"/>
  <c r="P33" i="11"/>
  <c r="J35" i="11"/>
  <c r="J33" i="11"/>
  <c r="J36" i="11"/>
  <c r="J34" i="11"/>
  <c r="J32" i="11"/>
  <c r="J37" i="11" s="1"/>
  <c r="K36" i="11"/>
  <c r="K34" i="11"/>
  <c r="K32" i="11"/>
  <c r="K35" i="11"/>
  <c r="K33" i="11"/>
  <c r="O35" i="11"/>
  <c r="O33" i="11"/>
  <c r="O36" i="11"/>
  <c r="O34" i="11"/>
  <c r="O32" i="11"/>
  <c r="O37" i="11" s="1"/>
  <c r="N36" i="11"/>
  <c r="N34" i="11"/>
  <c r="N32" i="11"/>
  <c r="N35" i="11"/>
  <c r="N33" i="11"/>
  <c r="R36" i="11"/>
  <c r="R34" i="11"/>
  <c r="R32" i="11"/>
  <c r="R35" i="11"/>
  <c r="R33" i="11"/>
  <c r="G37" i="11"/>
  <c r="L35" i="11"/>
  <c r="L33" i="11"/>
  <c r="L36" i="11"/>
  <c r="L34" i="11"/>
  <c r="L32" i="11"/>
  <c r="L37" i="11" s="1"/>
  <c r="P76" i="10"/>
  <c r="P78" i="10" s="1"/>
  <c r="Q75" i="10"/>
  <c r="Q78" i="10" s="1"/>
  <c r="R77" i="10"/>
  <c r="R74" i="10"/>
  <c r="R76" i="10"/>
  <c r="R75" i="10"/>
  <c r="O77" i="10"/>
  <c r="O74" i="10"/>
  <c r="O76" i="10"/>
  <c r="O75" i="10"/>
  <c r="D56" i="10"/>
  <c r="S58" i="10"/>
  <c r="S67" i="10" s="1"/>
  <c r="S56" i="10"/>
  <c r="S59" i="10"/>
  <c r="S68" i="10" s="1"/>
  <c r="S57" i="10"/>
  <c r="S66" i="10" s="1"/>
  <c r="N74" i="10"/>
  <c r="N76" i="10"/>
  <c r="S76" i="10" s="1"/>
  <c r="N77" i="10"/>
  <c r="S77" i="10" s="1"/>
  <c r="N75" i="10"/>
  <c r="S75" i="10" s="1"/>
  <c r="L29" i="10"/>
  <c r="H28" i="10"/>
  <c r="H56" i="10" s="1"/>
  <c r="E28" i="10"/>
  <c r="E56" i="10" s="1"/>
  <c r="G28" i="10"/>
  <c r="G56" i="10" s="1"/>
  <c r="F28" i="10"/>
  <c r="F56" i="10" s="1"/>
  <c r="M59" i="10"/>
  <c r="M68" i="10" s="1"/>
  <c r="K68" i="10" s="1"/>
  <c r="M57" i="10"/>
  <c r="M66" i="10" s="1"/>
  <c r="M56" i="10"/>
  <c r="M58" i="10"/>
  <c r="M67" i="10" s="1"/>
  <c r="K67" i="10" s="1"/>
  <c r="I62" i="9"/>
  <c r="I63" i="9"/>
  <c r="I64" i="9"/>
  <c r="N32" i="9"/>
  <c r="J32" i="9"/>
  <c r="F21" i="9"/>
  <c r="F22" i="9"/>
  <c r="D32" i="9"/>
  <c r="U32" i="9" s="1"/>
  <c r="E40" i="14" l="1"/>
  <c r="G40" i="14"/>
  <c r="D40" i="14"/>
  <c r="S34" i="14"/>
  <c r="F40" i="14"/>
  <c r="H40" i="14"/>
  <c r="R38" i="13"/>
  <c r="R42" i="13" s="1"/>
  <c r="E36" i="13"/>
  <c r="E34" i="13"/>
  <c r="E32" i="13"/>
  <c r="E35" i="13"/>
  <c r="E33" i="13"/>
  <c r="D35" i="13"/>
  <c r="D33" i="13"/>
  <c r="D34" i="13"/>
  <c r="D32" i="13"/>
  <c r="D36" i="13"/>
  <c r="H35" i="13"/>
  <c r="H33" i="13"/>
  <c r="H36" i="13"/>
  <c r="H34" i="13"/>
  <c r="H32" i="13"/>
  <c r="G36" i="13"/>
  <c r="G34" i="13"/>
  <c r="G32" i="13"/>
  <c r="G35" i="13"/>
  <c r="G33" i="13"/>
  <c r="F35" i="13"/>
  <c r="F33" i="13"/>
  <c r="F34" i="13"/>
  <c r="F32" i="13"/>
  <c r="F36" i="13"/>
  <c r="N37" i="11"/>
  <c r="K37" i="11"/>
  <c r="P37" i="11"/>
  <c r="R37" i="11"/>
  <c r="L38" i="11"/>
  <c r="H38" i="11"/>
  <c r="P68" i="10"/>
  <c r="P67" i="10"/>
  <c r="O78" i="10"/>
  <c r="R78" i="10"/>
  <c r="K66" i="10"/>
  <c r="M69" i="10"/>
  <c r="G77" i="10"/>
  <c r="G74" i="10"/>
  <c r="G75" i="10"/>
  <c r="G76" i="10"/>
  <c r="H77" i="10"/>
  <c r="H75" i="10"/>
  <c r="H74" i="10"/>
  <c r="H76" i="10"/>
  <c r="P66" i="10"/>
  <c r="S69" i="10"/>
  <c r="I58" i="10"/>
  <c r="I67" i="10" s="1"/>
  <c r="T67" i="10" s="1"/>
  <c r="I56" i="10"/>
  <c r="I59" i="10"/>
  <c r="I68" i="10" s="1"/>
  <c r="T68" i="10" s="1"/>
  <c r="I57" i="10"/>
  <c r="I66" i="10" s="1"/>
  <c r="T66" i="10" s="1"/>
  <c r="D77" i="10"/>
  <c r="D74" i="10"/>
  <c r="D76" i="10"/>
  <c r="D75" i="10"/>
  <c r="F75" i="10"/>
  <c r="F77" i="10"/>
  <c r="F76" i="10"/>
  <c r="F74" i="10"/>
  <c r="E74" i="10"/>
  <c r="E75" i="10"/>
  <c r="E76" i="10"/>
  <c r="E77" i="10"/>
  <c r="S74" i="10"/>
  <c r="S78" i="10" s="1"/>
  <c r="N78" i="10"/>
  <c r="H29" i="10"/>
  <c r="G22" i="9"/>
  <c r="G21" i="9"/>
  <c r="H21" i="9"/>
  <c r="H22" i="9"/>
  <c r="F46" i="14" l="1"/>
  <c r="D46" i="14"/>
  <c r="H41" i="14"/>
  <c r="H37" i="13"/>
  <c r="S32" i="13"/>
  <c r="D37" i="13"/>
  <c r="F37" i="13"/>
  <c r="G37" i="13"/>
  <c r="E37" i="13"/>
  <c r="U41" i="11"/>
  <c r="R38" i="11"/>
  <c r="F78" i="10"/>
  <c r="I75" i="10"/>
  <c r="I74" i="10"/>
  <c r="D78" i="10"/>
  <c r="F66" i="10"/>
  <c r="I69" i="10"/>
  <c r="G78" i="10"/>
  <c r="E78" i="10"/>
  <c r="I76" i="10"/>
  <c r="I77" i="10"/>
  <c r="F68" i="10"/>
  <c r="F67" i="10"/>
  <c r="H78" i="10"/>
  <c r="K21" i="9"/>
  <c r="K22" i="9"/>
  <c r="J22" i="9"/>
  <c r="J21" i="9"/>
  <c r="H45" i="14" l="1"/>
  <c r="S45" i="14" s="1"/>
  <c r="U44" i="14"/>
  <c r="F43" i="13"/>
  <c r="D43" i="13"/>
  <c r="H38" i="13"/>
  <c r="H42" i="13" s="1"/>
  <c r="S42" i="13" s="1"/>
  <c r="I78" i="10"/>
  <c r="L22" i="9"/>
  <c r="L21" i="9"/>
  <c r="N21" i="9"/>
  <c r="N22" i="9"/>
  <c r="U41" i="13" l="1"/>
  <c r="P21" i="9"/>
  <c r="P22" i="9"/>
  <c r="O22" i="9"/>
  <c r="O21" i="9"/>
  <c r="Q22" i="9" l="1"/>
  <c r="Q21" i="9"/>
  <c r="R21" i="9"/>
  <c r="R22" i="9"/>
  <c r="D12" i="9" l="1"/>
  <c r="F23" i="9"/>
  <c r="F24" i="9"/>
  <c r="R25" i="9"/>
  <c r="D19" i="9" l="1"/>
  <c r="D25" i="9" s="1"/>
  <c r="U18" i="9" l="1"/>
  <c r="U5" i="9" s="1"/>
  <c r="E23" i="9"/>
  <c r="G23" i="9"/>
  <c r="H23" i="9"/>
  <c r="J23" i="9"/>
  <c r="K23" i="9"/>
  <c r="L23" i="9"/>
  <c r="N23" i="9"/>
  <c r="O23" i="9"/>
  <c r="P23" i="9"/>
  <c r="Q23" i="9"/>
  <c r="R23" i="9"/>
  <c r="E24" i="9"/>
  <c r="G24" i="9"/>
  <c r="G26" i="9" s="1"/>
  <c r="H24" i="9"/>
  <c r="J24" i="9"/>
  <c r="K24" i="9"/>
  <c r="L24" i="9"/>
  <c r="N24" i="9"/>
  <c r="O24" i="9"/>
  <c r="P24" i="9"/>
  <c r="Q24" i="9"/>
  <c r="R24" i="9"/>
  <c r="R26" i="9" s="1"/>
  <c r="E26" i="9"/>
  <c r="J26" i="9"/>
  <c r="K26" i="9"/>
  <c r="L26" i="9"/>
  <c r="N26" i="9"/>
  <c r="O26" i="9"/>
  <c r="P26" i="9"/>
  <c r="Q26" i="9"/>
  <c r="D24" i="9"/>
  <c r="D23" i="9"/>
  <c r="H26" i="9" l="1"/>
  <c r="R27" i="9"/>
  <c r="O28" i="9" s="1"/>
  <c r="O56" i="9" s="1"/>
  <c r="L27" i="9"/>
  <c r="L28" i="9" s="1"/>
  <c r="L56" i="9" s="1"/>
  <c r="D26" i="9"/>
  <c r="F11" i="9"/>
  <c r="O76" i="9" l="1"/>
  <c r="O77" i="9"/>
  <c r="O75" i="9"/>
  <c r="O74" i="9"/>
  <c r="O78" i="9" s="1"/>
  <c r="Q28" i="9"/>
  <c r="Q56" i="9" s="1"/>
  <c r="R28" i="9"/>
  <c r="R56" i="9" s="1"/>
  <c r="P28" i="9"/>
  <c r="P56" i="9" s="1"/>
  <c r="N28" i="9"/>
  <c r="N56" i="9" s="1"/>
  <c r="J28" i="9"/>
  <c r="J56" i="9" s="1"/>
  <c r="M56" i="9" s="1"/>
  <c r="F12" i="9"/>
  <c r="F19" i="9"/>
  <c r="F25" i="9" s="1"/>
  <c r="F26" i="9" s="1"/>
  <c r="H27" i="9" s="1"/>
  <c r="K28" i="9"/>
  <c r="K56" i="9" s="1"/>
  <c r="P77" i="9" l="1"/>
  <c r="P76" i="9"/>
  <c r="P74" i="9"/>
  <c r="P78" i="9" s="1"/>
  <c r="P75" i="9"/>
  <c r="Q76" i="9"/>
  <c r="Q77" i="9"/>
  <c r="Q75" i="9"/>
  <c r="Q74" i="9"/>
  <c r="S56" i="9"/>
  <c r="N75" i="9"/>
  <c r="N76" i="9"/>
  <c r="N77" i="9"/>
  <c r="N74" i="9"/>
  <c r="R74" i="9"/>
  <c r="R76" i="9"/>
  <c r="R77" i="9"/>
  <c r="S77" i="9" s="1"/>
  <c r="R75" i="9"/>
  <c r="R29" i="9"/>
  <c r="M58" i="9"/>
  <c r="M67" i="9" s="1"/>
  <c r="K67" i="9" s="1"/>
  <c r="M59" i="9"/>
  <c r="M68" i="9" s="1"/>
  <c r="K68" i="9" s="1"/>
  <c r="M57" i="9"/>
  <c r="M66" i="9" s="1"/>
  <c r="S59" i="9"/>
  <c r="S68" i="9" s="1"/>
  <c r="P68" i="9" s="1"/>
  <c r="S57" i="9"/>
  <c r="S66" i="9" s="1"/>
  <c r="S58" i="9"/>
  <c r="S67" i="9" s="1"/>
  <c r="H28" i="9"/>
  <c r="H56" i="9" s="1"/>
  <c r="G28" i="9"/>
  <c r="G56" i="9" s="1"/>
  <c r="E28" i="9"/>
  <c r="E56" i="9" s="1"/>
  <c r="F28" i="9"/>
  <c r="F56" i="9" s="1"/>
  <c r="F75" i="9" s="1"/>
  <c r="D28" i="9"/>
  <c r="D56" i="9" s="1"/>
  <c r="L29" i="9"/>
  <c r="G76" i="9" l="1"/>
  <c r="G77" i="9"/>
  <c r="G74" i="9"/>
  <c r="G78" i="9" s="1"/>
  <c r="G75" i="9"/>
  <c r="N78" i="9"/>
  <c r="S74" i="9"/>
  <c r="S76" i="9"/>
  <c r="F76" i="9"/>
  <c r="Q78" i="9"/>
  <c r="I56" i="9"/>
  <c r="D76" i="9"/>
  <c r="D74" i="9"/>
  <c r="D75" i="9"/>
  <c r="D77" i="9"/>
  <c r="E76" i="9"/>
  <c r="E77" i="9"/>
  <c r="E74" i="9"/>
  <c r="E78" i="9" s="1"/>
  <c r="E75" i="9"/>
  <c r="H77" i="9"/>
  <c r="H76" i="9"/>
  <c r="H75" i="9"/>
  <c r="H74" i="9"/>
  <c r="F77" i="9"/>
  <c r="R78" i="9"/>
  <c r="S75" i="9"/>
  <c r="S78" i="9" s="1"/>
  <c r="F74" i="9"/>
  <c r="F78" i="9" s="1"/>
  <c r="S69" i="9"/>
  <c r="P66" i="9"/>
  <c r="K66" i="9"/>
  <c r="M69" i="9"/>
  <c r="P67" i="9"/>
  <c r="I58" i="9"/>
  <c r="I67" i="9" s="1"/>
  <c r="I57" i="9"/>
  <c r="I66" i="9" s="1"/>
  <c r="I59" i="9"/>
  <c r="I68" i="9" s="1"/>
  <c r="H29" i="9"/>
  <c r="H78" i="9" l="1"/>
  <c r="I77" i="9"/>
  <c r="I74" i="9"/>
  <c r="D78" i="9"/>
  <c r="I75" i="9"/>
  <c r="I76" i="9"/>
  <c r="I69" i="9"/>
  <c r="T68" i="9"/>
  <c r="F68" i="9"/>
  <c r="F66" i="9"/>
  <c r="T66" i="9"/>
  <c r="T67" i="9"/>
  <c r="F67" i="9"/>
  <c r="I78" i="9" l="1"/>
</calcChain>
</file>

<file path=xl/comments1.xml><?xml version="1.0" encoding="utf-8"?>
<comments xmlns="http://schemas.openxmlformats.org/spreadsheetml/2006/main">
  <authors>
    <author>Fuchs Christian</author>
  </authors>
  <commentList>
    <comment ref="D12" authorId="0">
      <text>
        <r>
          <rPr>
            <b/>
            <sz val="8"/>
            <color indexed="81"/>
            <rFont val="Tahoma"/>
            <family val="2"/>
          </rPr>
          <t>Fuchs Christian:</t>
        </r>
        <r>
          <rPr>
            <sz val="8"/>
            <color indexed="81"/>
            <rFont val="Tahoma"/>
            <family val="2"/>
          </rPr>
          <t xml:space="preserve">
mangels genauer Angabe 60 % der Bausumme angenommen</t>
        </r>
      </text>
    </comment>
  </commentList>
</comments>
</file>

<file path=xl/comments2.xml><?xml version="1.0" encoding="utf-8"?>
<comments xmlns="http://schemas.openxmlformats.org/spreadsheetml/2006/main">
  <authors>
    <author>Fuchs Christian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Fuchs Christian:</t>
        </r>
        <r>
          <rPr>
            <sz val="8"/>
            <color indexed="81"/>
            <rFont val="Tahoma"/>
            <family val="2"/>
          </rPr>
          <t xml:space="preserve">
mangels genauer Angabe 60 % der Bausumme angenommen</t>
        </r>
      </text>
    </comment>
  </commentList>
</comments>
</file>

<file path=xl/comments3.xml><?xml version="1.0" encoding="utf-8"?>
<comments xmlns="http://schemas.openxmlformats.org/spreadsheetml/2006/main">
  <authors>
    <author>Fuchs Christian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Fuchs Christian:</t>
        </r>
        <r>
          <rPr>
            <sz val="8"/>
            <color indexed="81"/>
            <rFont val="Tahoma"/>
            <family val="2"/>
          </rPr>
          <t xml:space="preserve">
mangels genauer Angabe 60 % der Bausumme angenommen</t>
        </r>
      </text>
    </comment>
  </commentList>
</comments>
</file>

<file path=xl/comments4.xml><?xml version="1.0" encoding="utf-8"?>
<comments xmlns="http://schemas.openxmlformats.org/spreadsheetml/2006/main">
  <authors>
    <author>Fuchs Christian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Fuchs Christian:</t>
        </r>
        <r>
          <rPr>
            <sz val="8"/>
            <color indexed="81"/>
            <rFont val="Tahoma"/>
            <family val="2"/>
          </rPr>
          <t xml:space="preserve">
mangels genauer Angabe 60 % der Bausumme angenommen</t>
        </r>
      </text>
    </comment>
  </commentList>
</comments>
</file>

<file path=xl/comments5.xml><?xml version="1.0" encoding="utf-8"?>
<comments xmlns="http://schemas.openxmlformats.org/spreadsheetml/2006/main">
  <authors>
    <author>Fuchs Christian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Fuchs Christian:</t>
        </r>
        <r>
          <rPr>
            <sz val="8"/>
            <color indexed="81"/>
            <rFont val="Tahoma"/>
            <family val="2"/>
          </rPr>
          <t xml:space="preserve">
mangels genauer Angabe 60 % der Bausumme angenommen</t>
        </r>
      </text>
    </comment>
  </commentList>
</comments>
</file>

<file path=xl/sharedStrings.xml><?xml version="1.0" encoding="utf-8"?>
<sst xmlns="http://schemas.openxmlformats.org/spreadsheetml/2006/main" count="398" uniqueCount="85">
  <si>
    <t>TU Ebenrain</t>
  </si>
  <si>
    <t>TU Oberburg</t>
  </si>
  <si>
    <t>Stützmauern</t>
  </si>
  <si>
    <t>Rutschhänge</t>
  </si>
  <si>
    <t>Hangsicherung</t>
  </si>
  <si>
    <t>Lärmschutzwände</t>
  </si>
  <si>
    <t>Brücken</t>
  </si>
  <si>
    <t>Überführungen</t>
  </si>
  <si>
    <t>Unterführungen</t>
  </si>
  <si>
    <t>Bachdurchlässe</t>
  </si>
  <si>
    <t>Wildtierüberführung</t>
  </si>
  <si>
    <t>Trasse</t>
  </si>
  <si>
    <t>Grundw.schutzm.</t>
  </si>
  <si>
    <t>TP1</t>
  </si>
  <si>
    <t>TP2</t>
  </si>
  <si>
    <t>TP3</t>
  </si>
  <si>
    <t>Schwierigkeitsfaktor n =</t>
  </si>
  <si>
    <t>Anpassungsfaktor (Wiederholung) r =</t>
  </si>
  <si>
    <t>p</t>
  </si>
  <si>
    <t>Tp 32</t>
  </si>
  <si>
    <t>Tp 41</t>
  </si>
  <si>
    <t>Tp 51</t>
  </si>
  <si>
    <t>Tp 51 Konstruktion</t>
  </si>
  <si>
    <t>Phase 32</t>
  </si>
  <si>
    <t>Phase 41</t>
  </si>
  <si>
    <t>Phase 51</t>
  </si>
  <si>
    <t>Leistungsanteile q</t>
  </si>
  <si>
    <t>q Total</t>
  </si>
  <si>
    <t>Bausumme B1</t>
  </si>
  <si>
    <t>Zuschlag f. Tragkonstruktion B2</t>
  </si>
  <si>
    <t>AeBo</t>
  </si>
  <si>
    <t>PNP</t>
  </si>
  <si>
    <t>PL</t>
  </si>
  <si>
    <t>BL</t>
  </si>
  <si>
    <t>Phase 31</t>
  </si>
  <si>
    <t>Phase 52</t>
  </si>
  <si>
    <t>Phase 53</t>
  </si>
  <si>
    <t>Phase 31 PL</t>
  </si>
  <si>
    <t>Phase 41 PL</t>
  </si>
  <si>
    <t>Phase 51 PL</t>
  </si>
  <si>
    <t>Phase 52 PL</t>
  </si>
  <si>
    <t>Phase 53 PL</t>
  </si>
  <si>
    <t>Phase 32 PL</t>
  </si>
  <si>
    <t xml:space="preserve">Phase 31 / </t>
  </si>
  <si>
    <t>Phase 33</t>
  </si>
  <si>
    <t>Phase 33 PL</t>
  </si>
  <si>
    <t>Projekt-ierung</t>
  </si>
  <si>
    <t>Statische Bearbeitung (Tragkonstr.)</t>
  </si>
  <si>
    <t>nur PL</t>
  </si>
  <si>
    <t>nur 31-51 ohne PL</t>
  </si>
  <si>
    <t>Gesamt</t>
  </si>
  <si>
    <t>Verteilung</t>
  </si>
  <si>
    <t>Stundenaufwand (theoretisch)</t>
  </si>
  <si>
    <t>nur 52-53 CBL</t>
  </si>
  <si>
    <t>CBL</t>
  </si>
  <si>
    <t>Stunden-berechnung</t>
  </si>
  <si>
    <t>Stundenvorgaben</t>
  </si>
  <si>
    <t>Stundenaufteilung in INGE</t>
  </si>
  <si>
    <t>Kontrolle Std</t>
  </si>
  <si>
    <t>JSAG</t>
  </si>
  <si>
    <t>Std.verteilung (tats.)</t>
  </si>
  <si>
    <t>nur 52-53 ohne CBL/PL</t>
  </si>
  <si>
    <t>Honorarkalkulation</t>
  </si>
  <si>
    <t>Stundenaufwand prozentual</t>
  </si>
  <si>
    <t>Anzahl Objekte</t>
  </si>
  <si>
    <t>Variante 3</t>
  </si>
  <si>
    <t>Verifikation Projektierungsaufwand</t>
  </si>
  <si>
    <t>Aufwand pro Objekt und Phase 31</t>
  </si>
  <si>
    <t>Aufwand pro Objekt und Phase 32</t>
  </si>
  <si>
    <t>Aufwand pro Objekt und Phase 41</t>
  </si>
  <si>
    <t>Aufwand pro Objekt und Phase 51</t>
  </si>
  <si>
    <t>Variante A</t>
  </si>
  <si>
    <t>Variante A1</t>
  </si>
  <si>
    <t>Faktor Vorgabe/tats.</t>
  </si>
  <si>
    <t>Anpassfaktor r (Annahme AeBo) =</t>
  </si>
  <si>
    <t>Anpassfaktor r (aus Vorgabe) =</t>
  </si>
  <si>
    <t>Zw.summe Stundenaufwand (theor.)</t>
  </si>
  <si>
    <t>Zw.summe Stundenaufwand</t>
  </si>
  <si>
    <t>Projektierung</t>
  </si>
  <si>
    <t>Tp 31</t>
  </si>
  <si>
    <t>Tp 31 Tage (Schätzung JSAG)</t>
  </si>
  <si>
    <t>Tp 31 Stunden (Schätzung JSAG (8.5/Tag))</t>
  </si>
  <si>
    <t>Tunnel</t>
  </si>
  <si>
    <t>Geotechnik</t>
  </si>
  <si>
    <t>Tp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</si>
</sst>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0.0000"/>
    <numFmt numFmtId="166" formatCode="0.000"/>
    <numFmt numFmtId="171" formatCode="#,##0_ ;\-#,##0\ 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0070C0"/>
      <name val="Arial"/>
      <family val="2"/>
    </font>
    <font>
      <sz val="10"/>
      <color theme="1"/>
      <name val="Arial Narrow"/>
      <family val="2"/>
    </font>
    <font>
      <i/>
      <sz val="10"/>
      <color theme="0" tint="-0.499984740745262"/>
      <name val="Arial"/>
      <family val="2"/>
    </font>
    <font>
      <sz val="9"/>
      <color theme="1"/>
      <name val="Arial"/>
      <family val="2"/>
    </font>
    <font>
      <b/>
      <sz val="10"/>
      <color theme="1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434">
    <xf numFmtId="0" fontId="0" fillId="0" borderId="0" xfId="0"/>
    <xf numFmtId="0" fontId="0" fillId="0" borderId="0" xfId="0" applyBorder="1"/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Border="1" applyAlignment="1">
      <alignment horizontal="center"/>
    </xf>
    <xf numFmtId="1" fontId="0" fillId="0" borderId="35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1" fillId="0" borderId="38" xfId="0" applyNumberFormat="1" applyFon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164" fontId="0" fillId="0" borderId="35" xfId="1" applyNumberFormat="1" applyFont="1" applyBorder="1" applyAlignment="1">
      <alignment horizontal="center"/>
    </xf>
    <xf numFmtId="164" fontId="0" fillId="0" borderId="27" xfId="1" applyNumberFormat="1" applyFont="1" applyBorder="1" applyAlignment="1">
      <alignment horizontal="center"/>
    </xf>
    <xf numFmtId="164" fontId="0" fillId="0" borderId="38" xfId="1" applyNumberFormat="1" applyFont="1" applyBorder="1" applyAlignment="1">
      <alignment horizontal="center"/>
    </xf>
    <xf numFmtId="1" fontId="0" fillId="0" borderId="43" xfId="0" applyNumberFormat="1" applyBorder="1" applyAlignment="1"/>
    <xf numFmtId="1" fontId="0" fillId="0" borderId="44" xfId="0" applyNumberFormat="1" applyBorder="1" applyAlignment="1"/>
    <xf numFmtId="1" fontId="0" fillId="0" borderId="45" xfId="0" applyNumberFormat="1" applyBorder="1" applyAlignment="1"/>
    <xf numFmtId="0" fontId="0" fillId="0" borderId="44" xfId="0" applyBorder="1"/>
    <xf numFmtId="164" fontId="0" fillId="0" borderId="47" xfId="1" applyNumberFormat="1" applyFont="1" applyBorder="1" applyAlignment="1">
      <alignment horizontal="center"/>
    </xf>
    <xf numFmtId="164" fontId="0" fillId="0" borderId="48" xfId="1" applyNumberFormat="1" applyFont="1" applyBorder="1" applyAlignment="1">
      <alignment horizontal="center"/>
    </xf>
    <xf numFmtId="164" fontId="0" fillId="0" borderId="46" xfId="1" applyNumberFormat="1" applyFont="1" applyBorder="1" applyAlignment="1">
      <alignment horizontal="center"/>
    </xf>
    <xf numFmtId="9" fontId="0" fillId="0" borderId="46" xfId="0" applyNumberFormat="1" applyBorder="1"/>
    <xf numFmtId="165" fontId="0" fillId="0" borderId="35" xfId="0" applyNumberFormat="1" applyBorder="1" applyAlignment="1">
      <alignment horizontal="center"/>
    </xf>
    <xf numFmtId="0" fontId="0" fillId="0" borderId="43" xfId="0" applyBorder="1"/>
    <xf numFmtId="0" fontId="0" fillId="0" borderId="2" xfId="0" applyBorder="1"/>
    <xf numFmtId="164" fontId="0" fillId="0" borderId="29" xfId="1" applyNumberFormat="1" applyFont="1" applyBorder="1" applyAlignment="1">
      <alignment horizontal="center"/>
    </xf>
    <xf numFmtId="0" fontId="0" fillId="0" borderId="26" xfId="0" applyBorder="1" applyAlignment="1">
      <alignment horizontal="center" textRotation="90"/>
    </xf>
    <xf numFmtId="0" fontId="0" fillId="0" borderId="24" xfId="0" applyBorder="1" applyAlignment="1">
      <alignment horizontal="center" textRotation="90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1" xfId="0" applyNumberFormat="1" applyFont="1" applyBorder="1"/>
    <xf numFmtId="0" fontId="0" fillId="0" borderId="41" xfId="0" applyBorder="1"/>
    <xf numFmtId="0" fontId="0" fillId="0" borderId="3" xfId="0" applyBorder="1"/>
    <xf numFmtId="9" fontId="0" fillId="0" borderId="0" xfId="0" applyNumberFormat="1" applyBorder="1"/>
    <xf numFmtId="0" fontId="0" fillId="0" borderId="11" xfId="0" applyBorder="1" applyAlignment="1">
      <alignment horizontal="center"/>
    </xf>
    <xf numFmtId="0" fontId="0" fillId="0" borderId="57" xfId="0" applyBorder="1" applyAlignment="1">
      <alignment horizontal="center" textRotation="90"/>
    </xf>
    <xf numFmtId="0" fontId="0" fillId="0" borderId="58" xfId="0" applyBorder="1" applyAlignment="1">
      <alignment horizontal="center"/>
    </xf>
    <xf numFmtId="165" fontId="0" fillId="0" borderId="59" xfId="0" applyNumberFormat="1" applyBorder="1" applyAlignment="1">
      <alignment horizontal="center"/>
    </xf>
    <xf numFmtId="0" fontId="0" fillId="0" borderId="59" xfId="0" applyBorder="1" applyAlignment="1">
      <alignment horizontal="center"/>
    </xf>
    <xf numFmtId="1" fontId="0" fillId="0" borderId="59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1" fontId="0" fillId="0" borderId="61" xfId="0" applyNumberFormat="1" applyBorder="1" applyAlignment="1">
      <alignment horizontal="center"/>
    </xf>
    <xf numFmtId="1" fontId="1" fillId="0" borderId="47" xfId="0" applyNumberFormat="1" applyFont="1" applyBorder="1" applyAlignment="1">
      <alignment horizontal="center"/>
    </xf>
    <xf numFmtId="1" fontId="1" fillId="0" borderId="62" xfId="0" applyNumberFormat="1" applyFont="1" applyBorder="1" applyAlignment="1">
      <alignment horizontal="center"/>
    </xf>
    <xf numFmtId="0" fontId="0" fillId="0" borderId="60" xfId="0" applyBorder="1" applyAlignment="1">
      <alignment horizontal="center"/>
    </xf>
    <xf numFmtId="164" fontId="0" fillId="0" borderId="59" xfId="1" applyNumberFormat="1" applyFont="1" applyBorder="1" applyAlignment="1">
      <alignment horizontal="center"/>
    </xf>
    <xf numFmtId="164" fontId="0" fillId="0" borderId="58" xfId="1" applyNumberFormat="1" applyFont="1" applyBorder="1" applyAlignment="1">
      <alignment horizontal="center"/>
    </xf>
    <xf numFmtId="164" fontId="0" fillId="0" borderId="60" xfId="1" applyNumberFormat="1" applyFont="1" applyBorder="1" applyAlignment="1">
      <alignment horizontal="center"/>
    </xf>
    <xf numFmtId="164" fontId="0" fillId="0" borderId="57" xfId="1" applyNumberFormat="1" applyFont="1" applyBorder="1" applyAlignment="1">
      <alignment horizontal="center"/>
    </xf>
    <xf numFmtId="0" fontId="0" fillId="0" borderId="63" xfId="0" applyBorder="1" applyAlignment="1">
      <alignment horizontal="center" textRotation="90"/>
    </xf>
    <xf numFmtId="0" fontId="0" fillId="0" borderId="64" xfId="0" applyBorder="1" applyAlignment="1">
      <alignment horizontal="center"/>
    </xf>
    <xf numFmtId="165" fontId="0" fillId="0" borderId="65" xfId="0" applyNumberFormat="1" applyBorder="1" applyAlignment="1">
      <alignment horizontal="center"/>
    </xf>
    <xf numFmtId="0" fontId="0" fillId="0" borderId="65" xfId="0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0" fillId="0" borderId="66" xfId="0" applyNumberFormat="1" applyBorder="1" applyAlignment="1">
      <alignment horizontal="center"/>
    </xf>
    <xf numFmtId="1" fontId="0" fillId="0" borderId="67" xfId="0" applyNumberFormat="1" applyBorder="1" applyAlignment="1">
      <alignment horizontal="center"/>
    </xf>
    <xf numFmtId="1" fontId="1" fillId="0" borderId="48" xfId="0" applyNumberFormat="1" applyFont="1" applyBorder="1" applyAlignment="1">
      <alignment horizontal="center"/>
    </xf>
    <xf numFmtId="1" fontId="1" fillId="0" borderId="68" xfId="0" applyNumberFormat="1" applyFont="1" applyBorder="1" applyAlignment="1">
      <alignment horizontal="center"/>
    </xf>
    <xf numFmtId="0" fontId="0" fillId="0" borderId="66" xfId="0" applyBorder="1" applyAlignment="1">
      <alignment horizontal="center"/>
    </xf>
    <xf numFmtId="164" fontId="0" fillId="0" borderId="65" xfId="1" applyNumberFormat="1" applyFont="1" applyBorder="1" applyAlignment="1">
      <alignment horizontal="center"/>
    </xf>
    <xf numFmtId="164" fontId="0" fillId="0" borderId="64" xfId="1" applyNumberFormat="1" applyFont="1" applyBorder="1" applyAlignment="1">
      <alignment horizontal="center"/>
    </xf>
    <xf numFmtId="164" fontId="0" fillId="0" borderId="66" xfId="1" applyNumberFormat="1" applyFont="1" applyBorder="1" applyAlignment="1">
      <alignment horizontal="center"/>
    </xf>
    <xf numFmtId="164" fontId="0" fillId="0" borderId="61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9" fontId="0" fillId="0" borderId="0" xfId="2" applyFont="1" applyBorder="1"/>
    <xf numFmtId="1" fontId="0" fillId="0" borderId="0" xfId="0" applyNumberFormat="1" applyFill="1" applyBorder="1" applyAlignment="1"/>
    <xf numFmtId="0" fontId="0" fillId="0" borderId="11" xfId="0" applyBorder="1"/>
    <xf numFmtId="1" fontId="0" fillId="0" borderId="2" xfId="0" applyNumberFormat="1" applyBorder="1" applyAlignment="1"/>
    <xf numFmtId="0" fontId="0" fillId="0" borderId="4" xfId="0" applyBorder="1" applyAlignment="1"/>
    <xf numFmtId="0" fontId="0" fillId="0" borderId="3" xfId="0" applyBorder="1" applyAlignment="1"/>
    <xf numFmtId="1" fontId="5" fillId="0" borderId="11" xfId="0" applyNumberFormat="1" applyFont="1" applyFill="1" applyBorder="1" applyAlignment="1"/>
    <xf numFmtId="0" fontId="5" fillId="0" borderId="0" xfId="0" applyFont="1" applyBorder="1"/>
    <xf numFmtId="1" fontId="0" fillId="0" borderId="0" xfId="0" applyNumberFormat="1" applyAlignment="1">
      <alignment horizontal="center"/>
    </xf>
    <xf numFmtId="9" fontId="0" fillId="0" borderId="4" xfId="2" applyFont="1" applyBorder="1" applyAlignment="1">
      <alignment horizontal="center"/>
    </xf>
    <xf numFmtId="164" fontId="0" fillId="0" borderId="46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2" xfId="1" applyNumberFormat="1" applyFont="1" applyBorder="1" applyAlignment="1"/>
    <xf numFmtId="0" fontId="0" fillId="0" borderId="13" xfId="0" applyBorder="1"/>
    <xf numFmtId="164" fontId="0" fillId="0" borderId="14" xfId="1" applyNumberFormat="1" applyFont="1" applyBorder="1"/>
    <xf numFmtId="164" fontId="0" fillId="0" borderId="12" xfId="1" applyNumberFormat="1" applyFont="1" applyBorder="1" applyAlignment="1"/>
    <xf numFmtId="0" fontId="0" fillId="0" borderId="16" xfId="0" applyBorder="1"/>
    <xf numFmtId="0" fontId="0" fillId="0" borderId="7" xfId="0" applyBorder="1" applyAlignment="1"/>
    <xf numFmtId="9" fontId="0" fillId="0" borderId="7" xfId="2" applyFont="1" applyBorder="1" applyAlignment="1">
      <alignment horizontal="center"/>
    </xf>
    <xf numFmtId="0" fontId="0" fillId="0" borderId="52" xfId="0" applyBorder="1" applyAlignment="1"/>
    <xf numFmtId="164" fontId="0" fillId="0" borderId="16" xfId="1" applyNumberFormat="1" applyFont="1" applyBorder="1" applyAlignment="1"/>
    <xf numFmtId="164" fontId="0" fillId="0" borderId="9" xfId="1" applyNumberFormat="1" applyFont="1" applyBorder="1" applyAlignment="1"/>
    <xf numFmtId="1" fontId="0" fillId="0" borderId="40" xfId="0" applyNumberFormat="1" applyBorder="1" applyAlignment="1"/>
    <xf numFmtId="1" fontId="1" fillId="0" borderId="2" xfId="0" applyNumberFormat="1" applyFont="1" applyBorder="1" applyAlignment="1"/>
    <xf numFmtId="0" fontId="0" fillId="0" borderId="78" xfId="0" applyBorder="1" applyAlignment="1"/>
    <xf numFmtId="0" fontId="0" fillId="0" borderId="79" xfId="0" applyBorder="1"/>
    <xf numFmtId="0" fontId="0" fillId="0" borderId="80" xfId="0" applyBorder="1" applyAlignment="1"/>
    <xf numFmtId="0" fontId="0" fillId="0" borderId="81" xfId="0" applyBorder="1"/>
    <xf numFmtId="0" fontId="0" fillId="0" borderId="80" xfId="0" applyBorder="1" applyAlignment="1">
      <alignment horizontal="left" indent="1"/>
    </xf>
    <xf numFmtId="1" fontId="0" fillId="0" borderId="80" xfId="0" applyNumberFormat="1" applyBorder="1" applyAlignment="1">
      <alignment horizontal="left" indent="1"/>
    </xf>
    <xf numFmtId="1" fontId="0" fillId="0" borderId="82" xfId="0" applyNumberFormat="1" applyBorder="1" applyAlignment="1">
      <alignment horizontal="left" indent="1"/>
    </xf>
    <xf numFmtId="0" fontId="0" fillId="0" borderId="83" xfId="0" applyBorder="1"/>
    <xf numFmtId="1" fontId="1" fillId="0" borderId="78" xfId="0" applyNumberFormat="1" applyFont="1" applyBorder="1" applyAlignment="1"/>
    <xf numFmtId="164" fontId="0" fillId="0" borderId="80" xfId="1" applyNumberFormat="1" applyFont="1" applyBorder="1" applyAlignment="1"/>
    <xf numFmtId="1" fontId="0" fillId="0" borderId="82" xfId="0" applyNumberFormat="1" applyBorder="1" applyAlignment="1"/>
    <xf numFmtId="0" fontId="0" fillId="0" borderId="78" xfId="0" applyBorder="1"/>
    <xf numFmtId="0" fontId="0" fillId="0" borderId="80" xfId="0" applyBorder="1"/>
    <xf numFmtId="0" fontId="0" fillId="0" borderId="82" xfId="0" applyBorder="1"/>
    <xf numFmtId="0" fontId="0" fillId="0" borderId="21" xfId="0" applyBorder="1"/>
    <xf numFmtId="0" fontId="0" fillId="0" borderId="15" xfId="0" applyBorder="1" applyAlignment="1"/>
    <xf numFmtId="9" fontId="0" fillId="0" borderId="15" xfId="2" applyFont="1" applyBorder="1" applyAlignment="1">
      <alignment horizontal="center"/>
    </xf>
    <xf numFmtId="0" fontId="0" fillId="0" borderId="85" xfId="0" applyBorder="1" applyAlignment="1"/>
    <xf numFmtId="164" fontId="0" fillId="0" borderId="21" xfId="1" applyNumberFormat="1" applyFont="1" applyBorder="1" applyAlignment="1"/>
    <xf numFmtId="164" fontId="0" fillId="0" borderId="22" xfId="1" applyNumberFormat="1" applyFont="1" applyBorder="1" applyAlignment="1"/>
    <xf numFmtId="0" fontId="0" fillId="0" borderId="42" xfId="0" applyFill="1" applyBorder="1" applyAlignment="1">
      <alignment horizontal="center" textRotation="90"/>
    </xf>
    <xf numFmtId="0" fontId="0" fillId="0" borderId="42" xfId="0" applyFill="1" applyBorder="1" applyAlignment="1">
      <alignment horizontal="center"/>
    </xf>
    <xf numFmtId="165" fontId="0" fillId="0" borderId="42" xfId="0" applyNumberFormat="1" applyFill="1" applyBorder="1" applyAlignment="1">
      <alignment horizontal="center"/>
    </xf>
    <xf numFmtId="1" fontId="0" fillId="0" borderId="42" xfId="0" applyNumberFormat="1" applyFill="1" applyBorder="1" applyAlignment="1">
      <alignment horizontal="center"/>
    </xf>
    <xf numFmtId="1" fontId="1" fillId="0" borderId="42" xfId="0" applyNumberFormat="1" applyFont="1" applyFill="1" applyBorder="1" applyAlignment="1">
      <alignment horizontal="center"/>
    </xf>
    <xf numFmtId="164" fontId="0" fillId="0" borderId="42" xfId="1" applyNumberFormat="1" applyFont="1" applyFill="1" applyBorder="1" applyAlignment="1">
      <alignment horizontal="center"/>
    </xf>
    <xf numFmtId="164" fontId="0" fillId="0" borderId="41" xfId="1" applyNumberFormat="1" applyFont="1" applyFill="1" applyBorder="1" applyAlignment="1">
      <alignment horizontal="center"/>
    </xf>
    <xf numFmtId="9" fontId="0" fillId="0" borderId="42" xfId="2" applyFont="1" applyFill="1" applyBorder="1" applyAlignment="1">
      <alignment horizontal="right"/>
    </xf>
    <xf numFmtId="0" fontId="0" fillId="0" borderId="0" xfId="0" applyFill="1"/>
    <xf numFmtId="164" fontId="0" fillId="0" borderId="0" xfId="0" applyNumberFormat="1" applyBorder="1"/>
    <xf numFmtId="0" fontId="0" fillId="0" borderId="40" xfId="0" applyFill="1" applyBorder="1" applyAlignment="1">
      <alignment horizontal="center"/>
    </xf>
    <xf numFmtId="0" fontId="0" fillId="0" borderId="40" xfId="0" applyFill="1" applyBorder="1" applyAlignment="1">
      <alignment horizontal="center" textRotation="90"/>
    </xf>
    <xf numFmtId="1" fontId="0" fillId="0" borderId="40" xfId="0" applyNumberFormat="1" applyFill="1" applyBorder="1" applyAlignment="1">
      <alignment horizontal="center"/>
    </xf>
    <xf numFmtId="1" fontId="1" fillId="0" borderId="40" xfId="0" applyNumberFormat="1" applyFont="1" applyFill="1" applyBorder="1" applyAlignment="1">
      <alignment horizontal="center"/>
    </xf>
    <xf numFmtId="164" fontId="0" fillId="0" borderId="40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9" fontId="0" fillId="0" borderId="40" xfId="2" applyFont="1" applyFill="1" applyBorder="1" applyAlignment="1">
      <alignment horizontal="right"/>
    </xf>
    <xf numFmtId="165" fontId="0" fillId="0" borderId="30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1" fillId="0" borderId="17" xfId="0" applyFont="1" applyBorder="1" applyAlignment="1">
      <alignment vertical="center"/>
    </xf>
    <xf numFmtId="0" fontId="1" fillId="0" borderId="86" xfId="0" applyFont="1" applyBorder="1" applyAlignment="1">
      <alignment vertical="center"/>
    </xf>
    <xf numFmtId="1" fontId="0" fillId="0" borderId="87" xfId="0" applyNumberFormat="1" applyFill="1" applyBorder="1" applyAlignment="1"/>
    <xf numFmtId="1" fontId="0" fillId="0" borderId="10" xfId="0" applyNumberFormat="1" applyFill="1" applyBorder="1" applyAlignment="1"/>
    <xf numFmtId="1" fontId="0" fillId="0" borderId="89" xfId="0" applyNumberFormat="1" applyFill="1" applyBorder="1" applyAlignment="1"/>
    <xf numFmtId="1" fontId="0" fillId="0" borderId="6" xfId="0" applyNumberFormat="1" applyFill="1" applyBorder="1" applyAlignment="1"/>
    <xf numFmtId="1" fontId="0" fillId="0" borderId="99" xfId="0" applyNumberFormat="1" applyBorder="1" applyAlignment="1"/>
    <xf numFmtId="164" fontId="0" fillId="0" borderId="105" xfId="1" applyNumberFormat="1" applyFont="1" applyBorder="1"/>
    <xf numFmtId="164" fontId="0" fillId="0" borderId="107" xfId="1" applyNumberFormat="1" applyFont="1" applyBorder="1"/>
    <xf numFmtId="164" fontId="0" fillId="0" borderId="108" xfId="1" applyNumberFormat="1" applyFont="1" applyBorder="1"/>
    <xf numFmtId="164" fontId="0" fillId="0" borderId="56" xfId="1" applyNumberFormat="1" applyFont="1" applyBorder="1"/>
    <xf numFmtId="164" fontId="0" fillId="0" borderId="45" xfId="1" applyNumberFormat="1" applyFont="1" applyBorder="1"/>
    <xf numFmtId="164" fontId="0" fillId="0" borderId="109" xfId="1" applyNumberFormat="1" applyFont="1" applyBorder="1"/>
    <xf numFmtId="9" fontId="0" fillId="0" borderId="35" xfId="2" applyFont="1" applyBorder="1" applyAlignment="1">
      <alignment horizontal="center"/>
    </xf>
    <xf numFmtId="9" fontId="0" fillId="0" borderId="36" xfId="2" applyFont="1" applyBorder="1" applyAlignment="1">
      <alignment horizontal="center"/>
    </xf>
    <xf numFmtId="164" fontId="0" fillId="0" borderId="54" xfId="1" applyNumberFormat="1" applyFont="1" applyBorder="1"/>
    <xf numFmtId="9" fontId="0" fillId="0" borderId="34" xfId="2" applyFont="1" applyBorder="1"/>
    <xf numFmtId="9" fontId="0" fillId="0" borderId="35" xfId="2" applyFont="1" applyBorder="1"/>
    <xf numFmtId="9" fontId="0" fillId="0" borderId="59" xfId="2" applyFont="1" applyBorder="1"/>
    <xf numFmtId="164" fontId="0" fillId="0" borderId="43" xfId="1" applyNumberFormat="1" applyFont="1" applyBorder="1"/>
    <xf numFmtId="9" fontId="0" fillId="0" borderId="34" xfId="2" applyFont="1" applyFill="1" applyBorder="1"/>
    <xf numFmtId="9" fontId="0" fillId="0" borderId="35" xfId="2" applyFont="1" applyFill="1" applyBorder="1"/>
    <xf numFmtId="9" fontId="0" fillId="0" borderId="36" xfId="2" applyFont="1" applyBorder="1"/>
    <xf numFmtId="164" fontId="0" fillId="0" borderId="110" xfId="1" applyNumberFormat="1" applyFont="1" applyBorder="1"/>
    <xf numFmtId="9" fontId="0" fillId="0" borderId="29" xfId="2" applyFont="1" applyBorder="1" applyAlignment="1">
      <alignment horizontal="center"/>
    </xf>
    <xf numFmtId="9" fontId="0" fillId="0" borderId="30" xfId="2" applyFont="1" applyBorder="1" applyAlignment="1">
      <alignment horizontal="center"/>
    </xf>
    <xf numFmtId="164" fontId="0" fillId="0" borderId="55" xfId="1" applyNumberFormat="1" applyFont="1" applyBorder="1"/>
    <xf numFmtId="9" fontId="0" fillId="0" borderId="28" xfId="2" applyFont="1" applyBorder="1"/>
    <xf numFmtId="9" fontId="0" fillId="0" borderId="29" xfId="2" applyFont="1" applyBorder="1"/>
    <xf numFmtId="9" fontId="0" fillId="0" borderId="60" xfId="2" applyFont="1" applyBorder="1"/>
    <xf numFmtId="164" fontId="0" fillId="0" borderId="44" xfId="1" applyNumberFormat="1" applyFont="1" applyBorder="1"/>
    <xf numFmtId="9" fontId="0" fillId="0" borderId="28" xfId="2" applyFont="1" applyFill="1" applyBorder="1"/>
    <xf numFmtId="9" fontId="0" fillId="0" borderId="29" xfId="2" applyFont="1" applyFill="1" applyBorder="1"/>
    <xf numFmtId="9" fontId="0" fillId="0" borderId="30" xfId="2" applyFont="1" applyBorder="1"/>
    <xf numFmtId="164" fontId="0" fillId="0" borderId="111" xfId="1" applyNumberFormat="1" applyFont="1" applyBorder="1"/>
    <xf numFmtId="9" fontId="0" fillId="0" borderId="32" xfId="2" applyFont="1" applyBorder="1" applyAlignment="1">
      <alignment horizontal="center"/>
    </xf>
    <xf numFmtId="9" fontId="0" fillId="0" borderId="33" xfId="2" applyFont="1" applyBorder="1" applyAlignment="1">
      <alignment horizontal="center"/>
    </xf>
    <xf numFmtId="9" fontId="0" fillId="0" borderId="31" xfId="2" applyFont="1" applyBorder="1"/>
    <xf numFmtId="9" fontId="0" fillId="0" borderId="32" xfId="2" applyFont="1" applyBorder="1"/>
    <xf numFmtId="9" fontId="0" fillId="0" borderId="61" xfId="2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101" xfId="1" applyNumberFormat="1" applyFont="1" applyBorder="1"/>
    <xf numFmtId="164" fontId="0" fillId="0" borderId="99" xfId="1" applyNumberFormat="1" applyFont="1" applyBorder="1"/>
    <xf numFmtId="164" fontId="0" fillId="0" borderId="113" xfId="1" applyNumberFormat="1" applyFont="1" applyBorder="1"/>
    <xf numFmtId="9" fontId="0" fillId="0" borderId="65" xfId="2" applyFont="1" applyBorder="1" applyAlignment="1">
      <alignment horizontal="center"/>
    </xf>
    <xf numFmtId="9" fontId="0" fillId="0" borderId="66" xfId="2" applyFont="1" applyBorder="1" applyAlignment="1">
      <alignment horizontal="center"/>
    </xf>
    <xf numFmtId="9" fontId="0" fillId="0" borderId="67" xfId="2" applyFont="1" applyBorder="1" applyAlignment="1">
      <alignment horizontal="center"/>
    </xf>
    <xf numFmtId="0" fontId="0" fillId="0" borderId="108" xfId="0" applyBorder="1" applyAlignment="1">
      <alignment horizontal="left" indent="1"/>
    </xf>
    <xf numFmtId="0" fontId="0" fillId="0" borderId="109" xfId="0" applyBorder="1" applyAlignment="1">
      <alignment horizontal="left" indent="1"/>
    </xf>
    <xf numFmtId="0" fontId="0" fillId="0" borderId="114" xfId="0" applyBorder="1" applyAlignment="1">
      <alignment horizontal="left" indent="1"/>
    </xf>
    <xf numFmtId="0" fontId="0" fillId="0" borderId="111" xfId="0" applyBorder="1" applyAlignment="1">
      <alignment horizontal="left" indent="1"/>
    </xf>
    <xf numFmtId="0" fontId="0" fillId="0" borderId="110" xfId="0" applyBorder="1" applyAlignment="1">
      <alignment horizontal="left" indent="1"/>
    </xf>
    <xf numFmtId="0" fontId="0" fillId="0" borderId="113" xfId="0" applyBorder="1" applyAlignment="1">
      <alignment horizontal="left" indent="1"/>
    </xf>
    <xf numFmtId="3" fontId="1" fillId="0" borderId="0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5" borderId="20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9" fontId="1" fillId="5" borderId="69" xfId="2" applyFont="1" applyFill="1" applyBorder="1" applyAlignment="1">
      <alignment horizontal="center"/>
    </xf>
    <xf numFmtId="9" fontId="1" fillId="3" borderId="70" xfId="2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6" fillId="0" borderId="65" xfId="1" applyNumberFormat="1" applyFont="1" applyBorder="1" applyAlignment="1">
      <alignment horizontal="center"/>
    </xf>
    <xf numFmtId="164" fontId="6" fillId="0" borderId="35" xfId="1" applyNumberFormat="1" applyFont="1" applyBorder="1" applyAlignment="1">
      <alignment horizontal="center"/>
    </xf>
    <xf numFmtId="164" fontId="6" fillId="0" borderId="59" xfId="1" applyNumberFormat="1" applyFont="1" applyBorder="1" applyAlignment="1">
      <alignment horizontal="center"/>
    </xf>
    <xf numFmtId="164" fontId="6" fillId="0" borderId="42" xfId="1" applyNumberFormat="1" applyFont="1" applyFill="1" applyBorder="1" applyAlignment="1">
      <alignment horizontal="center"/>
    </xf>
    <xf numFmtId="0" fontId="0" fillId="6" borderId="40" xfId="0" applyFill="1" applyBorder="1" applyAlignment="1">
      <alignment horizontal="left" indent="1"/>
    </xf>
    <xf numFmtId="164" fontId="0" fillId="6" borderId="37" xfId="1" applyNumberFormat="1" applyFont="1" applyFill="1" applyBorder="1" applyAlignment="1">
      <alignment horizontal="center"/>
    </xf>
    <xf numFmtId="164" fontId="0" fillId="6" borderId="38" xfId="1" applyNumberFormat="1" applyFont="1" applyFill="1" applyBorder="1" applyAlignment="1">
      <alignment horizontal="center"/>
    </xf>
    <xf numFmtId="164" fontId="0" fillId="6" borderId="39" xfId="1" applyNumberFormat="1" applyFont="1" applyFill="1" applyBorder="1" applyAlignment="1">
      <alignment horizontal="center"/>
    </xf>
    <xf numFmtId="164" fontId="0" fillId="6" borderId="4" xfId="1" applyNumberFormat="1" applyFont="1" applyFill="1" applyBorder="1"/>
    <xf numFmtId="164" fontId="0" fillId="6" borderId="47" xfId="1" applyNumberFormat="1" applyFont="1" applyFill="1" applyBorder="1" applyAlignment="1">
      <alignment horizontal="center"/>
    </xf>
    <xf numFmtId="164" fontId="0" fillId="6" borderId="1" xfId="1" applyNumberFormat="1" applyFont="1" applyFill="1" applyBorder="1"/>
    <xf numFmtId="164" fontId="0" fillId="6" borderId="70" xfId="1" applyNumberFormat="1" applyFont="1" applyFill="1" applyBorder="1"/>
    <xf numFmtId="1" fontId="0" fillId="6" borderId="51" xfId="0" applyNumberFormat="1" applyFill="1" applyBorder="1" applyAlignment="1"/>
    <xf numFmtId="0" fontId="0" fillId="6" borderId="49" xfId="0" applyFill="1" applyBorder="1"/>
    <xf numFmtId="9" fontId="0" fillId="6" borderId="48" xfId="2" applyFont="1" applyFill="1" applyBorder="1" applyAlignment="1">
      <alignment horizontal="right"/>
    </xf>
    <xf numFmtId="9" fontId="0" fillId="6" borderId="38" xfId="2" applyFont="1" applyFill="1" applyBorder="1" applyAlignment="1">
      <alignment horizontal="right"/>
    </xf>
    <xf numFmtId="9" fontId="0" fillId="6" borderId="62" xfId="2" applyFont="1" applyFill="1" applyBorder="1" applyAlignment="1">
      <alignment horizontal="right"/>
    </xf>
    <xf numFmtId="0" fontId="1" fillId="7" borderId="8" xfId="0" applyFont="1" applyFill="1" applyBorder="1" applyAlignment="1">
      <alignment horizontal="left" indent="1"/>
    </xf>
    <xf numFmtId="9" fontId="1" fillId="7" borderId="71" xfId="2" applyFont="1" applyFill="1" applyBorder="1" applyAlignment="1">
      <alignment horizontal="center"/>
    </xf>
    <xf numFmtId="0" fontId="7" fillId="0" borderId="82" xfId="0" applyFont="1" applyBorder="1" applyAlignment="1"/>
    <xf numFmtId="0" fontId="7" fillId="0" borderId="83" xfId="0" applyFont="1" applyBorder="1"/>
    <xf numFmtId="0" fontId="7" fillId="0" borderId="6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61" xfId="0" applyFont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9" fontId="0" fillId="0" borderId="4" xfId="2" applyFont="1" applyBorder="1" applyAlignment="1">
      <alignment horizontal="center"/>
    </xf>
    <xf numFmtId="166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8" borderId="1" xfId="0" applyNumberFormat="1" applyFill="1" applyBorder="1"/>
    <xf numFmtId="1" fontId="0" fillId="8" borderId="1" xfId="0" applyNumberFormat="1" applyFill="1" applyBorder="1"/>
    <xf numFmtId="1" fontId="0" fillId="0" borderId="1" xfId="0" applyNumberFormat="1" applyBorder="1"/>
    <xf numFmtId="9" fontId="0" fillId="9" borderId="34" xfId="2" applyFont="1" applyFill="1" applyBorder="1"/>
    <xf numFmtId="9" fontId="0" fillId="9" borderId="28" xfId="2" applyFont="1" applyFill="1" applyBorder="1"/>
    <xf numFmtId="0" fontId="0" fillId="9" borderId="66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60" xfId="0" applyFill="1" applyBorder="1" applyAlignment="1">
      <alignment horizontal="center"/>
    </xf>
    <xf numFmtId="164" fontId="8" fillId="0" borderId="0" xfId="1" applyNumberFormat="1" applyFont="1"/>
    <xf numFmtId="9" fontId="0" fillId="9" borderId="35" xfId="2" applyFont="1" applyFill="1" applyBorder="1" applyAlignment="1">
      <alignment horizontal="center"/>
    </xf>
    <xf numFmtId="9" fontId="0" fillId="9" borderId="29" xfId="2" applyFont="1" applyFill="1" applyBorder="1" applyAlignment="1">
      <alignment horizontal="center"/>
    </xf>
    <xf numFmtId="9" fontId="0" fillId="9" borderId="59" xfId="2" applyFont="1" applyFill="1" applyBorder="1"/>
    <xf numFmtId="9" fontId="0" fillId="9" borderId="60" xfId="2" applyFont="1" applyFill="1" applyBorder="1"/>
    <xf numFmtId="164" fontId="0" fillId="0" borderId="1" xfId="0" applyNumberFormat="1" applyFill="1" applyBorder="1"/>
    <xf numFmtId="164" fontId="0" fillId="10" borderId="1" xfId="0" applyNumberFormat="1" applyFill="1" applyBorder="1"/>
    <xf numFmtId="1" fontId="0" fillId="10" borderId="1" xfId="0" applyNumberFormat="1" applyFill="1" applyBorder="1"/>
    <xf numFmtId="1" fontId="0" fillId="0" borderId="1" xfId="0" applyNumberFormat="1" applyFill="1" applyBorder="1"/>
    <xf numFmtId="1" fontId="0" fillId="11" borderId="10" xfId="0" applyNumberFormat="1" applyFill="1" applyBorder="1" applyAlignment="1"/>
    <xf numFmtId="0" fontId="0" fillId="0" borderId="115" xfId="0" applyBorder="1" applyAlignment="1"/>
    <xf numFmtId="0" fontId="0" fillId="0" borderId="116" xfId="0" applyBorder="1"/>
    <xf numFmtId="2" fontId="0" fillId="3" borderId="117" xfId="0" applyNumberFormat="1" applyFill="1" applyBorder="1" applyAlignment="1">
      <alignment horizontal="center"/>
    </xf>
    <xf numFmtId="2" fontId="0" fillId="3" borderId="118" xfId="0" applyNumberFormat="1" applyFill="1" applyBorder="1" applyAlignment="1">
      <alignment horizontal="center"/>
    </xf>
    <xf numFmtId="164" fontId="0" fillId="3" borderId="64" xfId="1" applyNumberFormat="1" applyFont="1" applyFill="1" applyBorder="1" applyAlignment="1">
      <alignment horizontal="center"/>
    </xf>
    <xf numFmtId="164" fontId="0" fillId="3" borderId="27" xfId="1" applyNumberFormat="1" applyFont="1" applyFill="1" applyBorder="1" applyAlignment="1">
      <alignment horizontal="center"/>
    </xf>
    <xf numFmtId="164" fontId="0" fillId="3" borderId="58" xfId="1" applyNumberFormat="1" applyFont="1" applyFill="1" applyBorder="1" applyAlignment="1">
      <alignment horizontal="center"/>
    </xf>
    <xf numFmtId="164" fontId="0" fillId="3" borderId="66" xfId="1" applyNumberFormat="1" applyFont="1" applyFill="1" applyBorder="1" applyAlignment="1">
      <alignment horizontal="center"/>
    </xf>
    <xf numFmtId="164" fontId="0" fillId="3" borderId="29" xfId="1" applyNumberFormat="1" applyFont="1" applyFill="1" applyBorder="1" applyAlignment="1">
      <alignment horizontal="center"/>
    </xf>
    <xf numFmtId="164" fontId="0" fillId="3" borderId="60" xfId="1" applyNumberFormat="1" applyFont="1" applyFill="1" applyBorder="1" applyAlignment="1">
      <alignment horizontal="center"/>
    </xf>
    <xf numFmtId="164" fontId="0" fillId="3" borderId="65" xfId="1" applyNumberFormat="1" applyFont="1" applyFill="1" applyBorder="1" applyAlignment="1">
      <alignment horizontal="center"/>
    </xf>
    <xf numFmtId="164" fontId="0" fillId="3" borderId="35" xfId="1" applyNumberFormat="1" applyFont="1" applyFill="1" applyBorder="1" applyAlignment="1">
      <alignment horizontal="center"/>
    </xf>
    <xf numFmtId="164" fontId="0" fillId="3" borderId="59" xfId="1" applyNumberFormat="1" applyFont="1" applyFill="1" applyBorder="1" applyAlignment="1">
      <alignment horizontal="center"/>
    </xf>
    <xf numFmtId="0" fontId="0" fillId="13" borderId="66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60" xfId="0" applyFill="1" applyBorder="1" applyAlignment="1">
      <alignment horizontal="center"/>
    </xf>
    <xf numFmtId="164" fontId="0" fillId="13" borderId="64" xfId="1" applyNumberFormat="1" applyFont="1" applyFill="1" applyBorder="1" applyAlignment="1">
      <alignment horizontal="center"/>
    </xf>
    <xf numFmtId="164" fontId="0" fillId="13" borderId="27" xfId="1" applyNumberFormat="1" applyFont="1" applyFill="1" applyBorder="1" applyAlignment="1">
      <alignment horizontal="center"/>
    </xf>
    <xf numFmtId="164" fontId="0" fillId="13" borderId="58" xfId="1" applyNumberFormat="1" applyFont="1" applyFill="1" applyBorder="1" applyAlignment="1">
      <alignment horizontal="center"/>
    </xf>
    <xf numFmtId="164" fontId="0" fillId="13" borderId="66" xfId="1" applyNumberFormat="1" applyFont="1" applyFill="1" applyBorder="1" applyAlignment="1">
      <alignment horizontal="center"/>
    </xf>
    <xf numFmtId="164" fontId="0" fillId="13" borderId="29" xfId="1" applyNumberFormat="1" applyFont="1" applyFill="1" applyBorder="1" applyAlignment="1">
      <alignment horizontal="center"/>
    </xf>
    <xf numFmtId="164" fontId="0" fillId="13" borderId="60" xfId="1" applyNumberFormat="1" applyFont="1" applyFill="1" applyBorder="1" applyAlignment="1">
      <alignment horizontal="center"/>
    </xf>
    <xf numFmtId="164" fontId="0" fillId="13" borderId="65" xfId="1" applyNumberFormat="1" applyFont="1" applyFill="1" applyBorder="1" applyAlignment="1">
      <alignment horizontal="center"/>
    </xf>
    <xf numFmtId="164" fontId="0" fillId="13" borderId="35" xfId="1" applyNumberFormat="1" applyFont="1" applyFill="1" applyBorder="1" applyAlignment="1">
      <alignment horizontal="center"/>
    </xf>
    <xf numFmtId="164" fontId="0" fillId="13" borderId="59" xfId="1" applyNumberFormat="1" applyFont="1" applyFill="1" applyBorder="1" applyAlignment="1">
      <alignment horizontal="center"/>
    </xf>
    <xf numFmtId="164" fontId="0" fillId="13" borderId="61" xfId="1" applyNumberFormat="1" applyFont="1" applyFill="1" applyBorder="1" applyAlignment="1">
      <alignment horizontal="center"/>
    </xf>
    <xf numFmtId="164" fontId="0" fillId="0" borderId="37" xfId="1" applyNumberFormat="1" applyFont="1" applyBorder="1" applyAlignment="1">
      <alignment horizontal="center"/>
    </xf>
    <xf numFmtId="164" fontId="0" fillId="0" borderId="46" xfId="0" applyNumberFormat="1" applyBorder="1"/>
    <xf numFmtId="0" fontId="0" fillId="0" borderId="49" xfId="0" applyBorder="1"/>
    <xf numFmtId="164" fontId="0" fillId="0" borderId="119" xfId="1" applyNumberFormat="1" applyFont="1" applyBorder="1" applyAlignment="1">
      <alignment horizontal="center"/>
    </xf>
    <xf numFmtId="164" fontId="0" fillId="0" borderId="120" xfId="1" applyNumberFormat="1" applyFont="1" applyBorder="1" applyAlignment="1">
      <alignment horizontal="center"/>
    </xf>
    <xf numFmtId="164" fontId="0" fillId="0" borderId="121" xfId="1" applyNumberFormat="1" applyFont="1" applyBorder="1" applyAlignment="1">
      <alignment horizontal="center"/>
    </xf>
    <xf numFmtId="1" fontId="0" fillId="0" borderId="16" xfId="0" applyNumberFormat="1" applyBorder="1" applyAlignment="1"/>
    <xf numFmtId="0" fontId="0" fillId="0" borderId="52" xfId="0" applyBorder="1"/>
    <xf numFmtId="164" fontId="0" fillId="0" borderId="122" xfId="1" applyNumberFormat="1" applyFont="1" applyBorder="1" applyAlignment="1">
      <alignment horizontal="center"/>
    </xf>
    <xf numFmtId="164" fontId="0" fillId="0" borderId="123" xfId="1" applyNumberFormat="1" applyFont="1" applyBorder="1" applyAlignment="1">
      <alignment horizontal="center"/>
    </xf>
    <xf numFmtId="164" fontId="0" fillId="0" borderId="124" xfId="1" applyNumberFormat="1" applyFont="1" applyBorder="1" applyAlignment="1">
      <alignment horizontal="center"/>
    </xf>
    <xf numFmtId="164" fontId="0" fillId="0" borderId="125" xfId="1" applyNumberFormat="1" applyFont="1" applyBorder="1" applyAlignment="1">
      <alignment horizontal="center"/>
    </xf>
    <xf numFmtId="164" fontId="0" fillId="0" borderId="126" xfId="1" applyNumberFormat="1" applyFont="1" applyBorder="1" applyAlignment="1">
      <alignment horizontal="center"/>
    </xf>
    <xf numFmtId="164" fontId="0" fillId="14" borderId="46" xfId="1" applyNumberFormat="1" applyFon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1" fontId="0" fillId="0" borderId="2" xfId="0" applyNumberFormat="1" applyFill="1" applyBorder="1" applyAlignment="1"/>
    <xf numFmtId="1" fontId="1" fillId="0" borderId="51" xfId="0" applyNumberFormat="1" applyFont="1" applyBorder="1" applyAlignment="1"/>
    <xf numFmtId="164" fontId="1" fillId="0" borderId="46" xfId="1" applyNumberFormat="1" applyFont="1" applyFill="1" applyBorder="1" applyAlignment="1">
      <alignment horizontal="center"/>
    </xf>
    <xf numFmtId="43" fontId="1" fillId="12" borderId="1" xfId="0" applyNumberFormat="1" applyFont="1" applyFill="1" applyBorder="1"/>
    <xf numFmtId="164" fontId="0" fillId="0" borderId="1" xfId="1" applyNumberFormat="1" applyFont="1" applyFill="1" applyBorder="1" applyAlignment="1">
      <alignment horizontal="center"/>
    </xf>
    <xf numFmtId="164" fontId="0" fillId="15" borderId="20" xfId="1" applyNumberFormat="1" applyFont="1" applyFill="1" applyBorder="1" applyAlignment="1">
      <alignment horizontal="center"/>
    </xf>
    <xf numFmtId="164" fontId="0" fillId="16" borderId="1" xfId="1" applyNumberFormat="1" applyFont="1" applyFill="1" applyBorder="1" applyAlignment="1">
      <alignment horizontal="center"/>
    </xf>
    <xf numFmtId="164" fontId="0" fillId="16" borderId="8" xfId="1" applyNumberFormat="1" applyFont="1" applyFill="1" applyBorder="1" applyAlignment="1">
      <alignment horizontal="center"/>
    </xf>
    <xf numFmtId="43" fontId="1" fillId="0" borderId="0" xfId="0" applyNumberFormat="1" applyFont="1" applyFill="1" applyBorder="1"/>
    <xf numFmtId="0" fontId="0" fillId="0" borderId="0" xfId="0" applyFont="1" applyFill="1"/>
    <xf numFmtId="1" fontId="6" fillId="0" borderId="2" xfId="0" applyNumberFormat="1" applyFont="1" applyBorder="1" applyAlignment="1"/>
    <xf numFmtId="1" fontId="6" fillId="0" borderId="51" xfId="0" applyNumberFormat="1" applyFont="1" applyBorder="1" applyAlignment="1"/>
    <xf numFmtId="0" fontId="6" fillId="0" borderId="3" xfId="0" applyFont="1" applyBorder="1"/>
    <xf numFmtId="164" fontId="6" fillId="0" borderId="48" xfId="1" applyNumberFormat="1" applyFont="1" applyBorder="1" applyAlignment="1">
      <alignment horizontal="center"/>
    </xf>
    <xf numFmtId="164" fontId="6" fillId="0" borderId="38" xfId="1" applyNumberFormat="1" applyFont="1" applyBorder="1" applyAlignment="1">
      <alignment horizontal="center"/>
    </xf>
    <xf numFmtId="164" fontId="6" fillId="0" borderId="127" xfId="1" applyNumberFormat="1" applyFont="1" applyBorder="1" applyAlignment="1">
      <alignment horizontal="center"/>
    </xf>
    <xf numFmtId="0" fontId="6" fillId="0" borderId="0" xfId="0" applyFont="1" applyFill="1"/>
    <xf numFmtId="164" fontId="6" fillId="0" borderId="37" xfId="1" applyNumberFormat="1" applyFont="1" applyBorder="1" applyAlignment="1">
      <alignment horizontal="center"/>
    </xf>
    <xf numFmtId="164" fontId="6" fillId="0" borderId="39" xfId="1" applyNumberFormat="1" applyFont="1" applyBorder="1" applyAlignment="1">
      <alignment horizontal="center"/>
    </xf>
    <xf numFmtId="0" fontId="6" fillId="0" borderId="49" xfId="0" applyFont="1" applyBorder="1"/>
    <xf numFmtId="164" fontId="9" fillId="0" borderId="1" xfId="0" applyNumberFormat="1" applyFont="1" applyFill="1" applyBorder="1"/>
    <xf numFmtId="1" fontId="6" fillId="5" borderId="51" xfId="0" applyNumberFormat="1" applyFont="1" applyFill="1" applyBorder="1" applyAlignment="1"/>
    <xf numFmtId="0" fontId="6" fillId="5" borderId="49" xfId="0" applyFont="1" applyFill="1" applyBorder="1"/>
    <xf numFmtId="164" fontId="6" fillId="5" borderId="48" xfId="1" applyNumberFormat="1" applyFont="1" applyFill="1" applyBorder="1" applyAlignment="1">
      <alignment horizontal="center"/>
    </xf>
    <xf numFmtId="164" fontId="6" fillId="5" borderId="38" xfId="1" applyNumberFormat="1" applyFont="1" applyFill="1" applyBorder="1" applyAlignment="1">
      <alignment horizontal="center"/>
    </xf>
    <xf numFmtId="164" fontId="6" fillId="5" borderId="39" xfId="1" applyNumberFormat="1" applyFont="1" applyFill="1" applyBorder="1" applyAlignment="1">
      <alignment horizontal="center"/>
    </xf>
    <xf numFmtId="164" fontId="6" fillId="5" borderId="37" xfId="1" applyNumberFormat="1" applyFont="1" applyFill="1" applyBorder="1" applyAlignment="1">
      <alignment horizontal="center"/>
    </xf>
    <xf numFmtId="164" fontId="0" fillId="0" borderId="46" xfId="1" applyNumberFormat="1" applyFont="1" applyFill="1" applyBorder="1" applyAlignment="1">
      <alignment horizontal="center"/>
    </xf>
    <xf numFmtId="164" fontId="9" fillId="5" borderId="1" xfId="0" applyNumberFormat="1" applyFont="1" applyFill="1" applyBorder="1"/>
    <xf numFmtId="0" fontId="0" fillId="0" borderId="91" xfId="0" applyBorder="1"/>
    <xf numFmtId="0" fontId="0" fillId="0" borderId="128" xfId="0" applyBorder="1"/>
    <xf numFmtId="164" fontId="0" fillId="3" borderId="48" xfId="1" applyNumberFormat="1" applyFont="1" applyFill="1" applyBorder="1" applyAlignment="1">
      <alignment horizontal="center"/>
    </xf>
    <xf numFmtId="164" fontId="0" fillId="3" borderId="38" xfId="1" applyNumberFormat="1" applyFont="1" applyFill="1" applyBorder="1" applyAlignment="1">
      <alignment horizontal="center"/>
    </xf>
    <xf numFmtId="164" fontId="0" fillId="3" borderId="39" xfId="1" applyNumberFormat="1" applyFont="1" applyFill="1" applyBorder="1" applyAlignment="1">
      <alignment horizontal="center"/>
    </xf>
    <xf numFmtId="164" fontId="0" fillId="3" borderId="37" xfId="1" applyNumberFormat="1" applyFont="1" applyFill="1" applyBorder="1" applyAlignment="1">
      <alignment horizontal="center"/>
    </xf>
    <xf numFmtId="164" fontId="0" fillId="3" borderId="3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3" fontId="1" fillId="0" borderId="86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3" fontId="0" fillId="0" borderId="91" xfId="0" applyNumberFormat="1" applyBorder="1" applyAlignment="1">
      <alignment horizontal="center"/>
    </xf>
    <xf numFmtId="3" fontId="0" fillId="0" borderId="54" xfId="0" applyNumberFormat="1" applyBorder="1" applyAlignment="1">
      <alignment horizontal="center"/>
    </xf>
    <xf numFmtId="3" fontId="0" fillId="0" borderId="92" xfId="0" applyNumberFormat="1" applyBorder="1" applyAlignment="1">
      <alignment horizontal="center"/>
    </xf>
    <xf numFmtId="3" fontId="0" fillId="4" borderId="95" xfId="0" applyNumberFormat="1" applyFill="1" applyBorder="1" applyAlignment="1">
      <alignment horizontal="center"/>
    </xf>
    <xf numFmtId="3" fontId="0" fillId="4" borderId="54" xfId="0" applyNumberFormat="1" applyFill="1" applyBorder="1" applyAlignment="1">
      <alignment horizontal="center"/>
    </xf>
    <xf numFmtId="3" fontId="0" fillId="4" borderId="92" xfId="0" applyNumberFormat="1" applyFill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3" fontId="0" fillId="0" borderId="93" xfId="0" applyNumberFormat="1" applyBorder="1" applyAlignment="1">
      <alignment horizontal="center"/>
    </xf>
    <xf numFmtId="3" fontId="0" fillId="4" borderId="96" xfId="0" applyNumberFormat="1" applyFill="1" applyBorder="1" applyAlignment="1">
      <alignment horizontal="center"/>
    </xf>
    <xf numFmtId="3" fontId="0" fillId="4" borderId="55" xfId="0" applyNumberFormat="1" applyFill="1" applyBorder="1" applyAlignment="1">
      <alignment horizontal="center"/>
    </xf>
    <xf numFmtId="3" fontId="0" fillId="4" borderId="93" xfId="0" applyNumberFormat="1" applyFill="1" applyBorder="1" applyAlignment="1">
      <alignment horizontal="center"/>
    </xf>
    <xf numFmtId="3" fontId="0" fillId="0" borderId="96" xfId="0" applyNumberFormat="1" applyBorder="1" applyAlignment="1">
      <alignment horizontal="center"/>
    </xf>
    <xf numFmtId="3" fontId="0" fillId="2" borderId="80" xfId="0" applyNumberFormat="1" applyFill="1" applyBorder="1" applyAlignment="1">
      <alignment horizontal="center"/>
    </xf>
    <xf numFmtId="3" fontId="0" fillId="2" borderId="55" xfId="0" applyNumberFormat="1" applyFill="1" applyBorder="1" applyAlignment="1">
      <alignment horizontal="center"/>
    </xf>
    <xf numFmtId="3" fontId="0" fillId="2" borderId="93" xfId="0" applyNumberFormat="1" applyFill="1" applyBorder="1" applyAlignment="1">
      <alignment horizontal="center"/>
    </xf>
    <xf numFmtId="3" fontId="0" fillId="0" borderId="96" xfId="0" applyNumberFormat="1" applyFill="1" applyBorder="1" applyAlignment="1">
      <alignment horizontal="center"/>
    </xf>
    <xf numFmtId="3" fontId="0" fillId="0" borderId="55" xfId="0" applyNumberFormat="1" applyFill="1" applyBorder="1" applyAlignment="1">
      <alignment horizontal="center"/>
    </xf>
    <xf numFmtId="3" fontId="0" fillId="0" borderId="93" xfId="0" applyNumberFormat="1" applyFill="1" applyBorder="1" applyAlignment="1">
      <alignment horizontal="center"/>
    </xf>
    <xf numFmtId="3" fontId="0" fillId="0" borderId="82" xfId="0" applyNumberFormat="1" applyBorder="1" applyAlignment="1">
      <alignment horizontal="center"/>
    </xf>
    <xf numFmtId="3" fontId="0" fillId="0" borderId="56" xfId="0" applyNumberFormat="1" applyBorder="1" applyAlignment="1">
      <alignment horizontal="center"/>
    </xf>
    <xf numFmtId="3" fontId="0" fillId="0" borderId="94" xfId="0" applyNumberFormat="1" applyBorder="1" applyAlignment="1">
      <alignment horizontal="center"/>
    </xf>
    <xf numFmtId="3" fontId="0" fillId="0" borderId="97" xfId="0" applyNumberFormat="1" applyBorder="1" applyAlignment="1">
      <alignment horizontal="center"/>
    </xf>
    <xf numFmtId="3" fontId="0" fillId="0" borderId="97" xfId="0" applyNumberFormat="1" applyFill="1" applyBorder="1" applyAlignment="1">
      <alignment horizontal="center"/>
    </xf>
    <xf numFmtId="3" fontId="0" fillId="0" borderId="56" xfId="0" applyNumberFormat="1" applyFill="1" applyBorder="1" applyAlignment="1">
      <alignment horizontal="center"/>
    </xf>
    <xf numFmtId="3" fontId="0" fillId="0" borderId="94" xfId="0" applyNumberFormat="1" applyFill="1" applyBorder="1" applyAlignment="1">
      <alignment horizontal="center"/>
    </xf>
    <xf numFmtId="3" fontId="0" fillId="0" borderId="78" xfId="0" applyNumberFormat="1" applyBorder="1" applyAlignment="1">
      <alignment horizontal="center"/>
    </xf>
    <xf numFmtId="3" fontId="0" fillId="0" borderId="53" xfId="0" applyNumberFormat="1" applyBorder="1" applyAlignment="1">
      <alignment horizontal="center"/>
    </xf>
    <xf numFmtId="3" fontId="0" fillId="0" borderId="98" xfId="0" applyNumberFormat="1" applyBorder="1" applyAlignment="1">
      <alignment horizontal="center"/>
    </xf>
    <xf numFmtId="3" fontId="0" fillId="0" borderId="103" xfId="0" applyNumberFormat="1" applyBorder="1" applyAlignment="1">
      <alignment horizontal="center"/>
    </xf>
    <xf numFmtId="3" fontId="0" fillId="0" borderId="103" xfId="0" applyNumberFormat="1" applyFill="1" applyBorder="1" applyAlignment="1">
      <alignment horizontal="center"/>
    </xf>
    <xf numFmtId="3" fontId="0" fillId="0" borderId="53" xfId="0" applyNumberFormat="1" applyFill="1" applyBorder="1" applyAlignment="1">
      <alignment horizontal="center"/>
    </xf>
    <xf numFmtId="3" fontId="0" fillId="0" borderId="98" xfId="0" applyNumberFormat="1" applyFill="1" applyBorder="1" applyAlignment="1">
      <alignment horizontal="center"/>
    </xf>
    <xf numFmtId="3" fontId="0" fillId="0" borderId="100" xfId="0" applyNumberFormat="1" applyBorder="1" applyAlignment="1">
      <alignment horizontal="center"/>
    </xf>
    <xf numFmtId="3" fontId="0" fillId="0" borderId="101" xfId="0" applyNumberFormat="1" applyBorder="1" applyAlignment="1">
      <alignment horizontal="center"/>
    </xf>
    <xf numFmtId="3" fontId="0" fillId="0" borderId="102" xfId="0" applyNumberFormat="1" applyBorder="1" applyAlignment="1">
      <alignment horizontal="center"/>
    </xf>
    <xf numFmtId="3" fontId="0" fillId="0" borderId="104" xfId="0" applyNumberFormat="1" applyBorder="1" applyAlignment="1">
      <alignment horizontal="center"/>
    </xf>
    <xf numFmtId="3" fontId="0" fillId="0" borderId="104" xfId="0" applyNumberFormat="1" applyFill="1" applyBorder="1" applyAlignment="1">
      <alignment horizontal="center"/>
    </xf>
    <xf numFmtId="3" fontId="0" fillId="0" borderId="101" xfId="0" applyNumberFormat="1" applyFill="1" applyBorder="1" applyAlignment="1">
      <alignment horizontal="center"/>
    </xf>
    <xf numFmtId="3" fontId="0" fillId="0" borderId="102" xfId="0" applyNumberFormat="1" applyFill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69" xfId="0" applyNumberFormat="1" applyBorder="1" applyAlignment="1">
      <alignment horizontal="center"/>
    </xf>
    <xf numFmtId="3" fontId="0" fillId="0" borderId="90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3" fontId="0" fillId="0" borderId="77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7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11" borderId="2" xfId="0" applyNumberFormat="1" applyFill="1" applyBorder="1" applyAlignment="1">
      <alignment horizontal="center"/>
    </xf>
    <xf numFmtId="3" fontId="0" fillId="11" borderId="4" xfId="0" applyNumberFormat="1" applyFill="1" applyBorder="1" applyAlignment="1">
      <alignment horizontal="center"/>
    </xf>
    <xf numFmtId="3" fontId="0" fillId="11" borderId="70" xfId="0" applyNumberFormat="1" applyFill="1" applyBorder="1" applyAlignment="1">
      <alignment horizontal="center"/>
    </xf>
    <xf numFmtId="3" fontId="0" fillId="11" borderId="10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70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9" fontId="0" fillId="0" borderId="56" xfId="2" applyFont="1" applyBorder="1" applyAlignment="1">
      <alignment horizontal="center"/>
    </xf>
    <xf numFmtId="9" fontId="0" fillId="0" borderId="83" xfId="2" applyFont="1" applyBorder="1" applyAlignment="1">
      <alignment horizontal="center"/>
    </xf>
    <xf numFmtId="9" fontId="0" fillId="0" borderId="82" xfId="2" applyFont="1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9" fontId="0" fillId="0" borderId="55" xfId="2" applyFont="1" applyBorder="1" applyAlignment="1">
      <alignment horizontal="center"/>
    </xf>
    <xf numFmtId="9" fontId="0" fillId="0" borderId="81" xfId="2" applyFont="1" applyBorder="1" applyAlignment="1">
      <alignment horizontal="center"/>
    </xf>
    <xf numFmtId="9" fontId="0" fillId="0" borderId="101" xfId="2" applyFont="1" applyBorder="1" applyAlignment="1">
      <alignment horizontal="center"/>
    </xf>
    <xf numFmtId="9" fontId="0" fillId="0" borderId="112" xfId="2" applyFont="1" applyBorder="1" applyAlignment="1">
      <alignment horizontal="center"/>
    </xf>
    <xf numFmtId="9" fontId="0" fillId="0" borderId="53" xfId="2" applyFont="1" applyBorder="1" applyAlignment="1">
      <alignment horizontal="center"/>
    </xf>
    <xf numFmtId="9" fontId="0" fillId="0" borderId="79" xfId="2" applyFont="1" applyBorder="1" applyAlignment="1">
      <alignment horizontal="center"/>
    </xf>
    <xf numFmtId="9" fontId="0" fillId="0" borderId="105" xfId="2" applyFont="1" applyBorder="1" applyAlignment="1">
      <alignment horizontal="center"/>
    </xf>
    <xf numFmtId="9" fontId="0" fillId="0" borderId="106" xfId="2" applyFont="1" applyBorder="1" applyAlignment="1">
      <alignment horizontal="center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9" fontId="0" fillId="0" borderId="2" xfId="2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0" fontId="0" fillId="0" borderId="8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9" fontId="0" fillId="0" borderId="78" xfId="2" applyFont="1" applyBorder="1" applyAlignment="1">
      <alignment horizontal="center"/>
    </xf>
    <xf numFmtId="9" fontId="0" fillId="0" borderId="100" xfId="2" applyFont="1" applyBorder="1" applyAlignment="1">
      <alignment horizontal="center"/>
    </xf>
    <xf numFmtId="9" fontId="0" fillId="0" borderId="80" xfId="2" applyFont="1" applyBorder="1" applyAlignment="1">
      <alignment horizontal="center"/>
    </xf>
    <xf numFmtId="0" fontId="1" fillId="0" borderId="75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3" fontId="0" fillId="0" borderId="13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" fontId="0" fillId="0" borderId="2" xfId="1" applyNumberFormat="1" applyFont="1" applyBorder="1" applyAlignment="1">
      <alignment horizontal="center"/>
    </xf>
    <xf numFmtId="1" fontId="0" fillId="0" borderId="3" xfId="1" applyNumberFormat="1" applyFont="1" applyBorder="1" applyAlignment="1">
      <alignment horizontal="center"/>
    </xf>
    <xf numFmtId="164" fontId="1" fillId="0" borderId="129" xfId="1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3" fontId="0" fillId="0" borderId="46" xfId="0" applyNumberFormat="1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171" fontId="1" fillId="0" borderId="46" xfId="3" applyNumberFormat="1" applyFont="1" applyBorder="1" applyAlignment="1">
      <alignment horizontal="center"/>
    </xf>
    <xf numFmtId="9" fontId="1" fillId="0" borderId="46" xfId="2" applyFont="1" applyBorder="1" applyAlignment="1">
      <alignment horizontal="center"/>
    </xf>
    <xf numFmtId="10" fontId="0" fillId="0" borderId="46" xfId="2" applyNumberFormat="1" applyFont="1" applyFill="1" applyBorder="1" applyAlignment="1">
      <alignment horizontal="center" vertical="center"/>
    </xf>
    <xf numFmtId="2" fontId="0" fillId="0" borderId="65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59" xfId="0" applyNumberFormat="1" applyBorder="1" applyAlignment="1">
      <alignment horizontal="center"/>
    </xf>
    <xf numFmtId="2" fontId="0" fillId="0" borderId="42" xfId="0" applyNumberFormat="1" applyFill="1" applyBorder="1" applyAlignment="1">
      <alignment horizontal="center"/>
    </xf>
    <xf numFmtId="2" fontId="0" fillId="2" borderId="65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2" borderId="59" xfId="0" applyNumberFormat="1" applyFill="1" applyBorder="1" applyAlignment="1">
      <alignment horizontal="center"/>
    </xf>
    <xf numFmtId="2" fontId="0" fillId="0" borderId="66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60" xfId="0" applyNumberFormat="1" applyBorder="1" applyAlignment="1">
      <alignment horizontal="center"/>
    </xf>
  </cellXfs>
  <cellStyles count="4">
    <cellStyle name="Dezimal [0]" xfId="3" builtinId="6"/>
    <cellStyle name="Komma" xfId="1" builtinId="3"/>
    <cellStyle name="Prozent" xfId="2" builtinId="5"/>
    <cellStyle name="Standard" xfId="0" builtinId="0"/>
  </cellStyles>
  <dxfs count="6"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7"/>
  <sheetViews>
    <sheetView tabSelected="1" topLeftCell="A7" zoomScaleNormal="100" workbookViewId="0">
      <selection activeCell="U40" sqref="U40"/>
    </sheetView>
  </sheetViews>
  <sheetFormatPr baseColWidth="10" defaultRowHeight="12.75" x14ac:dyDescent="0.2"/>
  <cols>
    <col min="1" max="1" width="3.7109375" customWidth="1"/>
    <col min="3" max="3" width="20.42578125" customWidth="1"/>
    <col min="4" max="4" width="9" customWidth="1"/>
    <col min="5" max="5" width="7.28515625" bestFit="1" customWidth="1"/>
    <col min="6" max="6" width="9.28515625" bestFit="1" customWidth="1"/>
    <col min="7" max="7" width="7.28515625" bestFit="1" customWidth="1"/>
    <col min="8" max="8" width="8.42578125" customWidth="1"/>
    <col min="9" max="9" width="8.5703125" customWidth="1"/>
    <col min="10" max="10" width="9.28515625" bestFit="1" customWidth="1"/>
    <col min="11" max="12" width="8.42578125" bestFit="1" customWidth="1"/>
    <col min="13" max="13" width="7.42578125" bestFit="1" customWidth="1"/>
    <col min="14" max="16" width="8.42578125" bestFit="1" customWidth="1"/>
    <col min="17" max="17" width="7.28515625" bestFit="1" customWidth="1"/>
    <col min="18" max="18" width="9.28515625" bestFit="1" customWidth="1"/>
    <col min="19" max="19" width="7.28515625" customWidth="1"/>
    <col min="20" max="20" width="6.5703125" customWidth="1"/>
    <col min="21" max="21" width="14.42578125" bestFit="1" customWidth="1"/>
  </cols>
  <sheetData>
    <row r="1" spans="1:21" x14ac:dyDescent="0.2">
      <c r="A1" s="28" t="s">
        <v>62</v>
      </c>
      <c r="I1" s="1"/>
      <c r="M1" s="277"/>
      <c r="S1" s="116"/>
    </row>
    <row r="2" spans="1:21" x14ac:dyDescent="0.2">
      <c r="A2" s="28" t="s">
        <v>72</v>
      </c>
      <c r="B2" s="1"/>
      <c r="D2" s="315" t="s">
        <v>13</v>
      </c>
      <c r="E2" s="316"/>
      <c r="F2" s="316"/>
      <c r="G2" s="316"/>
      <c r="H2" s="317"/>
      <c r="I2" s="27"/>
      <c r="J2" s="315" t="s">
        <v>14</v>
      </c>
      <c r="K2" s="316"/>
      <c r="L2" s="317"/>
      <c r="M2" s="62"/>
      <c r="N2" s="315" t="s">
        <v>15</v>
      </c>
      <c r="O2" s="316"/>
      <c r="P2" s="316"/>
      <c r="Q2" s="316"/>
      <c r="R2" s="317"/>
      <c r="S2" s="118"/>
    </row>
    <row r="3" spans="1:21" ht="89.25" x14ac:dyDescent="0.2">
      <c r="B3" s="1"/>
      <c r="D3" s="25" t="s">
        <v>0</v>
      </c>
      <c r="E3" s="26" t="s">
        <v>1</v>
      </c>
      <c r="F3" s="26" t="s">
        <v>2</v>
      </c>
      <c r="G3" s="26" t="s">
        <v>3</v>
      </c>
      <c r="H3" s="34" t="s">
        <v>4</v>
      </c>
      <c r="I3" s="108"/>
      <c r="J3" s="48" t="s">
        <v>11</v>
      </c>
      <c r="K3" s="26" t="s">
        <v>12</v>
      </c>
      <c r="L3" s="34" t="s">
        <v>5</v>
      </c>
      <c r="M3" s="108"/>
      <c r="N3" s="48" t="s">
        <v>6</v>
      </c>
      <c r="O3" s="26" t="s">
        <v>7</v>
      </c>
      <c r="P3" s="26" t="s">
        <v>8</v>
      </c>
      <c r="Q3" s="26" t="s">
        <v>9</v>
      </c>
      <c r="R3" s="34" t="s">
        <v>10</v>
      </c>
      <c r="S3" s="119"/>
    </row>
    <row r="4" spans="1:21" x14ac:dyDescent="0.2">
      <c r="B4" s="88"/>
      <c r="C4" s="89"/>
      <c r="D4" s="49"/>
      <c r="E4" s="2"/>
      <c r="F4" s="2"/>
      <c r="G4" s="2"/>
      <c r="H4" s="35"/>
      <c r="I4" s="109"/>
      <c r="J4" s="49"/>
      <c r="K4" s="2"/>
      <c r="L4" s="35"/>
      <c r="M4" s="109"/>
      <c r="N4" s="49"/>
      <c r="O4" s="2"/>
      <c r="P4" s="2"/>
      <c r="Q4" s="2"/>
      <c r="R4" s="35"/>
      <c r="S4" s="118"/>
    </row>
    <row r="5" spans="1:21" x14ac:dyDescent="0.2">
      <c r="B5" s="90" t="s">
        <v>18</v>
      </c>
      <c r="C5" s="91"/>
      <c r="D5" s="50">
        <v>9.3129625597187876E-2</v>
      </c>
      <c r="E5" s="21">
        <v>9.3129625597187876E-2</v>
      </c>
      <c r="F5" s="21">
        <v>9.3129625597187876E-2</v>
      </c>
      <c r="G5" s="21">
        <v>9.3129625597187876E-2</v>
      </c>
      <c r="H5" s="36">
        <v>9.3129625597187876E-2</v>
      </c>
      <c r="I5" s="110"/>
      <c r="J5" s="50">
        <v>9.3129625597187876E-2</v>
      </c>
      <c r="K5" s="21">
        <v>9.3129625597187876E-2</v>
      </c>
      <c r="L5" s="36">
        <v>9.3129625597187876E-2</v>
      </c>
      <c r="M5" s="110"/>
      <c r="N5" s="50">
        <v>9.3129625597187876E-2</v>
      </c>
      <c r="O5" s="21">
        <v>9.3129625597187876E-2</v>
      </c>
      <c r="P5" s="21">
        <v>9.3129625597187876E-2</v>
      </c>
      <c r="Q5" s="21">
        <v>9.3129625597187876E-2</v>
      </c>
      <c r="R5" s="125">
        <v>9.3129625597187876E-2</v>
      </c>
      <c r="S5" s="1"/>
      <c r="U5" s="126">
        <f>0.075+(7.23/(U20^(1/3)))</f>
        <v>9.3129625597187876E-2</v>
      </c>
    </row>
    <row r="6" spans="1:21" x14ac:dyDescent="0.2">
      <c r="B6" s="90" t="s">
        <v>26</v>
      </c>
      <c r="C6" s="91"/>
      <c r="D6" s="51"/>
      <c r="E6" s="3"/>
      <c r="F6" s="3"/>
      <c r="G6" s="3"/>
      <c r="H6" s="37"/>
      <c r="I6" s="109"/>
      <c r="J6" s="51"/>
      <c r="K6" s="3"/>
      <c r="L6" s="37"/>
      <c r="M6" s="109"/>
      <c r="N6" s="51"/>
      <c r="O6" s="3"/>
      <c r="P6" s="3"/>
      <c r="Q6" s="3"/>
      <c r="R6" s="37"/>
      <c r="S6" s="118"/>
    </row>
    <row r="7" spans="1:21" x14ac:dyDescent="0.2">
      <c r="B7" s="92" t="s">
        <v>34</v>
      </c>
      <c r="C7" s="91"/>
      <c r="D7" s="424">
        <v>15.202</v>
      </c>
      <c r="E7" s="425">
        <v>15.202</v>
      </c>
      <c r="F7" s="425">
        <v>15.202</v>
      </c>
      <c r="G7" s="425">
        <v>15.202</v>
      </c>
      <c r="H7" s="426">
        <v>15.202</v>
      </c>
      <c r="I7" s="427"/>
      <c r="J7" s="424">
        <v>15.202</v>
      </c>
      <c r="K7" s="425">
        <v>15.202</v>
      </c>
      <c r="L7" s="426">
        <v>15.202</v>
      </c>
      <c r="M7" s="427"/>
      <c r="N7" s="424">
        <v>15.202</v>
      </c>
      <c r="O7" s="425">
        <v>15.202</v>
      </c>
      <c r="P7" s="425">
        <v>15.202</v>
      </c>
      <c r="Q7" s="425">
        <v>15.202</v>
      </c>
      <c r="R7" s="426">
        <v>15.202</v>
      </c>
      <c r="S7" s="118"/>
    </row>
    <row r="8" spans="1:21" x14ac:dyDescent="0.2">
      <c r="B8" s="93" t="s">
        <v>23</v>
      </c>
      <c r="C8" s="91"/>
      <c r="D8" s="424">
        <v>17.100000000000001</v>
      </c>
      <c r="E8" s="425">
        <v>17.100000000000001</v>
      </c>
      <c r="F8" s="425">
        <v>17.100000000000001</v>
      </c>
      <c r="G8" s="425">
        <v>17.100000000000001</v>
      </c>
      <c r="H8" s="426">
        <v>17.100000000000001</v>
      </c>
      <c r="I8" s="427"/>
      <c r="J8" s="424">
        <v>17.100000000000001</v>
      </c>
      <c r="K8" s="425">
        <v>17.100000000000001</v>
      </c>
      <c r="L8" s="426">
        <v>17.100000000000001</v>
      </c>
      <c r="M8" s="427"/>
      <c r="N8" s="424">
        <v>17.100000000000001</v>
      </c>
      <c r="O8" s="425">
        <v>17.100000000000001</v>
      </c>
      <c r="P8" s="425">
        <v>17.100000000000001</v>
      </c>
      <c r="Q8" s="425">
        <v>17.100000000000001</v>
      </c>
      <c r="R8" s="426">
        <v>17.100000000000001</v>
      </c>
      <c r="S8" s="120"/>
    </row>
    <row r="9" spans="1:21" x14ac:dyDescent="0.2">
      <c r="B9" s="92" t="s">
        <v>44</v>
      </c>
      <c r="C9" s="91"/>
      <c r="D9" s="428"/>
      <c r="E9" s="429"/>
      <c r="F9" s="429"/>
      <c r="G9" s="429"/>
      <c r="H9" s="430"/>
      <c r="I9" s="427"/>
      <c r="J9" s="424">
        <v>1.03</v>
      </c>
      <c r="K9" s="425">
        <v>1.03</v>
      </c>
      <c r="L9" s="426">
        <v>1.03</v>
      </c>
      <c r="M9" s="427"/>
      <c r="N9" s="424">
        <v>1.03</v>
      </c>
      <c r="O9" s="425">
        <v>1.03</v>
      </c>
      <c r="P9" s="425">
        <v>1.03</v>
      </c>
      <c r="Q9" s="425">
        <v>1.03</v>
      </c>
      <c r="R9" s="426">
        <v>1.03</v>
      </c>
      <c r="S9" s="120"/>
    </row>
    <row r="10" spans="1:21" x14ac:dyDescent="0.2">
      <c r="B10" s="93" t="s">
        <v>24</v>
      </c>
      <c r="C10" s="91"/>
      <c r="D10" s="424">
        <v>9.0299999999999994</v>
      </c>
      <c r="E10" s="425">
        <v>9.0299999999999994</v>
      </c>
      <c r="F10" s="425">
        <v>9.0299999999999994</v>
      </c>
      <c r="G10" s="425">
        <v>9.0299999999999994</v>
      </c>
      <c r="H10" s="426">
        <v>9.0299999999999994</v>
      </c>
      <c r="I10" s="111"/>
      <c r="J10" s="424">
        <v>9.0299999999999994</v>
      </c>
      <c r="K10" s="425">
        <v>9.0299999999999994</v>
      </c>
      <c r="L10" s="426">
        <v>9.0299999999999994</v>
      </c>
      <c r="M10" s="111"/>
      <c r="N10" s="424">
        <v>9.0299999999999994</v>
      </c>
      <c r="O10" s="425">
        <v>9.0299999999999994</v>
      </c>
      <c r="P10" s="425">
        <v>9.0299999999999994</v>
      </c>
      <c r="Q10" s="425">
        <v>9.0299999999999994</v>
      </c>
      <c r="R10" s="426">
        <v>9.0299999999999994</v>
      </c>
      <c r="S10" s="120"/>
    </row>
    <row r="11" spans="1:21" x14ac:dyDescent="0.2">
      <c r="B11" s="93" t="s">
        <v>25</v>
      </c>
      <c r="C11" s="91"/>
      <c r="D11" s="431">
        <v>26.13</v>
      </c>
      <c r="E11" s="432">
        <v>26.13</v>
      </c>
      <c r="F11" s="432">
        <v>26.13</v>
      </c>
      <c r="G11" s="432">
        <v>26.13</v>
      </c>
      <c r="H11" s="433">
        <v>26.13</v>
      </c>
      <c r="I11" s="111"/>
      <c r="J11" s="431">
        <v>26.13</v>
      </c>
      <c r="K11" s="432">
        <v>26.13</v>
      </c>
      <c r="L11" s="433">
        <v>26.13</v>
      </c>
      <c r="M11" s="111"/>
      <c r="N11" s="431">
        <v>26.13</v>
      </c>
      <c r="O11" s="432">
        <v>26.13</v>
      </c>
      <c r="P11" s="432">
        <v>26.13</v>
      </c>
      <c r="Q11" s="432">
        <v>26.13</v>
      </c>
      <c r="R11" s="433">
        <v>26.13</v>
      </c>
      <c r="S11" s="120"/>
    </row>
    <row r="12" spans="1:21" x14ac:dyDescent="0.2">
      <c r="B12" s="94" t="s">
        <v>47</v>
      </c>
      <c r="C12" s="95"/>
      <c r="D12" s="54">
        <v>8</v>
      </c>
      <c r="E12" s="7"/>
      <c r="F12" s="7">
        <f>0.17*30</f>
        <v>5.1000000000000005</v>
      </c>
      <c r="G12" s="7"/>
      <c r="H12" s="40"/>
      <c r="I12" s="111"/>
      <c r="J12" s="54"/>
      <c r="K12" s="7"/>
      <c r="L12" s="40"/>
      <c r="M12" s="111"/>
      <c r="N12" s="54"/>
      <c r="O12" s="7"/>
      <c r="P12" s="7"/>
      <c r="Q12" s="7"/>
      <c r="R12" s="40">
        <v>20</v>
      </c>
      <c r="S12" s="120"/>
    </row>
    <row r="13" spans="1:21" x14ac:dyDescent="0.2">
      <c r="B13" s="87" t="s">
        <v>27</v>
      </c>
      <c r="C13" s="31"/>
      <c r="D13" s="55">
        <f>SUM(D7:D12)</f>
        <v>75.462000000000003</v>
      </c>
      <c r="E13" s="8">
        <f t="shared" ref="E13:R13" si="0">SUM(E7:E12)</f>
        <v>67.462000000000003</v>
      </c>
      <c r="F13" s="8">
        <f t="shared" si="0"/>
        <v>72.561999999999998</v>
      </c>
      <c r="G13" s="8">
        <f t="shared" si="0"/>
        <v>67.462000000000003</v>
      </c>
      <c r="H13" s="41">
        <f t="shared" si="0"/>
        <v>67.462000000000003</v>
      </c>
      <c r="I13" s="112"/>
      <c r="J13" s="55">
        <f t="shared" si="0"/>
        <v>68.492000000000004</v>
      </c>
      <c r="K13" s="8">
        <f t="shared" si="0"/>
        <v>68.492000000000004</v>
      </c>
      <c r="L13" s="41">
        <f t="shared" si="0"/>
        <v>68.492000000000004</v>
      </c>
      <c r="M13" s="112"/>
      <c r="N13" s="55">
        <f t="shared" si="0"/>
        <v>68.492000000000004</v>
      </c>
      <c r="O13" s="8">
        <f t="shared" si="0"/>
        <v>68.492000000000004</v>
      </c>
      <c r="P13" s="8">
        <f t="shared" si="0"/>
        <v>68.492000000000004</v>
      </c>
      <c r="Q13" s="8">
        <f t="shared" si="0"/>
        <v>68.492000000000004</v>
      </c>
      <c r="R13" s="41">
        <f t="shared" si="0"/>
        <v>88.492000000000004</v>
      </c>
      <c r="S13" s="121"/>
    </row>
    <row r="14" spans="1:21" x14ac:dyDescent="0.2">
      <c r="B14" s="96"/>
      <c r="C14" s="89"/>
      <c r="D14" s="56"/>
      <c r="E14" s="9"/>
      <c r="F14" s="9"/>
      <c r="G14" s="9"/>
      <c r="H14" s="42"/>
      <c r="I14" s="112"/>
      <c r="J14" s="56"/>
      <c r="K14" s="9"/>
      <c r="L14" s="42"/>
      <c r="M14" s="112"/>
      <c r="N14" s="56"/>
      <c r="O14" s="9"/>
      <c r="P14" s="9"/>
      <c r="Q14" s="9"/>
      <c r="R14" s="42"/>
      <c r="S14" s="121"/>
    </row>
    <row r="15" spans="1:21" x14ac:dyDescent="0.2">
      <c r="B15" s="90" t="s">
        <v>16</v>
      </c>
      <c r="C15" s="91"/>
      <c r="D15" s="57">
        <v>1</v>
      </c>
      <c r="E15" s="4">
        <v>0.8</v>
      </c>
      <c r="F15" s="4">
        <v>0.8</v>
      </c>
      <c r="G15" s="4">
        <v>0.8</v>
      </c>
      <c r="H15" s="43">
        <v>0.8</v>
      </c>
      <c r="I15" s="109"/>
      <c r="J15" s="57">
        <v>0.8</v>
      </c>
      <c r="K15" s="4">
        <v>0.8</v>
      </c>
      <c r="L15" s="43">
        <v>0.8</v>
      </c>
      <c r="M15" s="109"/>
      <c r="N15" s="57">
        <v>0.8</v>
      </c>
      <c r="O15" s="4">
        <v>0.8</v>
      </c>
      <c r="P15" s="4">
        <v>0.8</v>
      </c>
      <c r="Q15" s="4">
        <v>0.8</v>
      </c>
      <c r="R15" s="43">
        <v>0.8</v>
      </c>
      <c r="S15" s="118"/>
    </row>
    <row r="16" spans="1:21" x14ac:dyDescent="0.2">
      <c r="B16" s="90" t="s">
        <v>74</v>
      </c>
      <c r="C16" s="91"/>
      <c r="D16" s="250">
        <v>1</v>
      </c>
      <c r="E16" s="251">
        <v>1</v>
      </c>
      <c r="F16" s="251">
        <v>0.6</v>
      </c>
      <c r="G16" s="251">
        <v>1.5</v>
      </c>
      <c r="H16" s="252">
        <v>0.9</v>
      </c>
      <c r="I16" s="109"/>
      <c r="J16" s="250">
        <v>0.6</v>
      </c>
      <c r="K16" s="251">
        <v>0.8</v>
      </c>
      <c r="L16" s="252">
        <v>0.6</v>
      </c>
      <c r="M16" s="109"/>
      <c r="N16" s="250">
        <v>1.5</v>
      </c>
      <c r="O16" s="251">
        <v>1.5</v>
      </c>
      <c r="P16" s="251">
        <v>1.5</v>
      </c>
      <c r="Q16" s="251">
        <v>2</v>
      </c>
      <c r="R16" s="252">
        <v>1</v>
      </c>
      <c r="S16" s="118"/>
    </row>
    <row r="17" spans="2:21" x14ac:dyDescent="0.2">
      <c r="B17" s="237" t="s">
        <v>75</v>
      </c>
      <c r="C17" s="238"/>
      <c r="D17" s="239">
        <f>D16*$H49</f>
        <v>2.068034381609368</v>
      </c>
      <c r="E17" s="239">
        <f>E16*$H49</f>
        <v>2.068034381609368</v>
      </c>
      <c r="F17" s="239">
        <f>F16*$H49</f>
        <v>1.2408206289656207</v>
      </c>
      <c r="G17" s="239">
        <f>G16*$H49</f>
        <v>3.102051572414052</v>
      </c>
      <c r="H17" s="240">
        <f>H16*$H49</f>
        <v>1.8612309434484313</v>
      </c>
      <c r="I17" s="109"/>
      <c r="J17" s="239">
        <f>J16*$L49</f>
        <v>0.86315749822136156</v>
      </c>
      <c r="K17" s="239">
        <f>K16*$L49</f>
        <v>1.1508766642951487</v>
      </c>
      <c r="L17" s="239">
        <f>L16*$L49</f>
        <v>0.86315749822136156</v>
      </c>
      <c r="M17" s="109"/>
      <c r="N17" s="239">
        <f>N16*$R49</f>
        <v>1.516284710297044</v>
      </c>
      <c r="O17" s="239">
        <f>O16*$R49</f>
        <v>1.516284710297044</v>
      </c>
      <c r="P17" s="239">
        <f>P16*$R49</f>
        <v>1.516284710297044</v>
      </c>
      <c r="Q17" s="239">
        <f>Q16*$R49</f>
        <v>2.0217129470627255</v>
      </c>
      <c r="R17" s="240">
        <f>R16*$R49</f>
        <v>1.0108564735313628</v>
      </c>
      <c r="S17" s="118"/>
    </row>
    <row r="18" spans="2:21" x14ac:dyDescent="0.2">
      <c r="B18" s="209" t="s">
        <v>64</v>
      </c>
      <c r="C18" s="210"/>
      <c r="D18" s="211">
        <v>1</v>
      </c>
      <c r="E18" s="212">
        <v>1</v>
      </c>
      <c r="F18" s="212">
        <v>15</v>
      </c>
      <c r="G18" s="212">
        <v>15</v>
      </c>
      <c r="H18" s="213">
        <v>23</v>
      </c>
      <c r="I18" s="214"/>
      <c r="J18" s="211"/>
      <c r="K18" s="212"/>
      <c r="L18" s="213"/>
      <c r="M18" s="214"/>
      <c r="N18" s="211">
        <v>8</v>
      </c>
      <c r="O18" s="212">
        <v>7</v>
      </c>
      <c r="P18" s="212">
        <v>9</v>
      </c>
      <c r="Q18" s="212">
        <v>13</v>
      </c>
      <c r="R18" s="213">
        <v>1</v>
      </c>
      <c r="S18" s="118"/>
    </row>
    <row r="19" spans="2:21" x14ac:dyDescent="0.2">
      <c r="B19" s="88"/>
      <c r="C19" s="89"/>
      <c r="D19" s="49"/>
      <c r="E19" s="2"/>
      <c r="F19" s="2"/>
      <c r="G19" s="2"/>
      <c r="H19" s="35"/>
      <c r="I19" s="109"/>
      <c r="J19" s="49"/>
      <c r="K19" s="2"/>
      <c r="L19" s="35"/>
      <c r="M19" s="109"/>
      <c r="N19" s="49"/>
      <c r="O19" s="2"/>
      <c r="P19" s="2"/>
      <c r="Q19" s="2"/>
      <c r="R19" s="35"/>
      <c r="S19" s="118"/>
    </row>
    <row r="20" spans="2:21" x14ac:dyDescent="0.2">
      <c r="B20" s="97" t="s">
        <v>28</v>
      </c>
      <c r="C20" s="91"/>
      <c r="D20" s="190">
        <v>3989280.24</v>
      </c>
      <c r="E20" s="191">
        <v>346317.12</v>
      </c>
      <c r="F20" s="191">
        <v>13574520</v>
      </c>
      <c r="G20" s="191">
        <v>851472</v>
      </c>
      <c r="H20" s="192">
        <v>3368925</v>
      </c>
      <c r="I20" s="193"/>
      <c r="J20" s="190">
        <v>20374200</v>
      </c>
      <c r="K20" s="191">
        <v>1155600</v>
      </c>
      <c r="L20" s="192">
        <v>2809080</v>
      </c>
      <c r="M20" s="193"/>
      <c r="N20" s="190">
        <v>1777680</v>
      </c>
      <c r="O20" s="191">
        <v>1229040</v>
      </c>
      <c r="P20" s="191">
        <v>1324080</v>
      </c>
      <c r="Q20" s="191">
        <v>743040</v>
      </c>
      <c r="R20" s="192">
        <v>11880000</v>
      </c>
      <c r="S20" s="122"/>
      <c r="U20" s="29">
        <f>SUM(D20:R20)</f>
        <v>63423234.359999999</v>
      </c>
    </row>
    <row r="21" spans="2:21" x14ac:dyDescent="0.2">
      <c r="B21" s="97" t="s">
        <v>29</v>
      </c>
      <c r="C21" s="91"/>
      <c r="D21" s="190">
        <f>D12*D20/100</f>
        <v>319142.4192</v>
      </c>
      <c r="E21" s="191"/>
      <c r="F21" s="191">
        <f>F12*F20/100</f>
        <v>692300.52</v>
      </c>
      <c r="G21" s="191"/>
      <c r="H21" s="192"/>
      <c r="I21" s="193"/>
      <c r="J21" s="190"/>
      <c r="K21" s="191"/>
      <c r="L21" s="192"/>
      <c r="M21" s="193"/>
      <c r="N21" s="190"/>
      <c r="O21" s="191"/>
      <c r="P21" s="191"/>
      <c r="Q21" s="191"/>
      <c r="R21" s="192">
        <v>11880000</v>
      </c>
      <c r="S21" s="122"/>
    </row>
    <row r="22" spans="2:21" x14ac:dyDescent="0.2">
      <c r="B22" s="98"/>
      <c r="C22" s="95"/>
      <c r="D22" s="52"/>
      <c r="E22" s="5"/>
      <c r="F22" s="5"/>
      <c r="G22" s="5"/>
      <c r="H22" s="38"/>
      <c r="I22" s="111"/>
      <c r="J22" s="52"/>
      <c r="K22" s="5"/>
      <c r="L22" s="38"/>
      <c r="M22" s="111"/>
      <c r="N22" s="52"/>
      <c r="O22" s="5"/>
      <c r="P22" s="5"/>
      <c r="Q22" s="5"/>
      <c r="R22" s="38"/>
      <c r="S22" s="120"/>
    </row>
    <row r="23" spans="2:21" x14ac:dyDescent="0.2">
      <c r="B23" s="99" t="s">
        <v>79</v>
      </c>
      <c r="C23" s="89"/>
      <c r="D23" s="253">
        <f>D20*D5*D15*D7*D16/(100*100)</f>
        <v>564.78497026828961</v>
      </c>
      <c r="E23" s="254">
        <f t="shared" ref="E23:R23" si="1">E20*E5*E15*E7*E16/(100*100)</f>
        <v>39.224058989167368</v>
      </c>
      <c r="F23" s="254">
        <f t="shared" si="1"/>
        <v>922.47436089148368</v>
      </c>
      <c r="G23" s="254">
        <f t="shared" si="1"/>
        <v>144.65724920973145</v>
      </c>
      <c r="H23" s="255">
        <f t="shared" si="1"/>
        <v>343.4095941808265</v>
      </c>
      <c r="I23" s="113"/>
      <c r="J23" s="253">
        <f t="shared" si="1"/>
        <v>1384.5555587730003</v>
      </c>
      <c r="K23" s="254">
        <f t="shared" si="1"/>
        <v>104.70709058306285</v>
      </c>
      <c r="L23" s="255">
        <f t="shared" si="1"/>
        <v>190.89472612608395</v>
      </c>
      <c r="M23" s="113"/>
      <c r="N23" s="253">
        <f t="shared" si="1"/>
        <v>302.0114563663343</v>
      </c>
      <c r="O23" s="254">
        <f t="shared" si="1"/>
        <v>208.80257432860785</v>
      </c>
      <c r="P23" s="254">
        <f t="shared" si="1"/>
        <v>224.94899483908014</v>
      </c>
      <c r="Q23" s="254">
        <f t="shared" si="1"/>
        <v>168.31420168492346</v>
      </c>
      <c r="R23" s="255">
        <f t="shared" si="1"/>
        <v>1345.535042539359</v>
      </c>
      <c r="S23" s="122"/>
    </row>
    <row r="24" spans="2:21" x14ac:dyDescent="0.2">
      <c r="B24" s="100" t="s">
        <v>19</v>
      </c>
      <c r="C24" s="91"/>
      <c r="D24" s="256">
        <f>D20*D5*D15*D8*D16/(100*100)</f>
        <v>635.29949951241645</v>
      </c>
      <c r="E24" s="257">
        <f t="shared" ref="E24:R24" si="2">E20*E5*E15*E8*E16/(100*100)</f>
        <v>44.121260933743059</v>
      </c>
      <c r="F24" s="257">
        <f t="shared" si="2"/>
        <v>1037.647123486671</v>
      </c>
      <c r="G24" s="257">
        <f t="shared" si="2"/>
        <v>162.71799509843495</v>
      </c>
      <c r="H24" s="258">
        <f t="shared" si="2"/>
        <v>386.28496648415563</v>
      </c>
      <c r="I24" s="113"/>
      <c r="J24" s="256">
        <f t="shared" si="2"/>
        <v>1557.4200799248983</v>
      </c>
      <c r="K24" s="257">
        <f t="shared" si="2"/>
        <v>117.77997954021671</v>
      </c>
      <c r="L24" s="258">
        <f t="shared" si="2"/>
        <v>214.72831316642785</v>
      </c>
      <c r="M24" s="113"/>
      <c r="N24" s="256">
        <f t="shared" si="2"/>
        <v>339.71818865046157</v>
      </c>
      <c r="O24" s="257">
        <f t="shared" si="2"/>
        <v>234.87199191022199</v>
      </c>
      <c r="P24" s="257">
        <f t="shared" si="2"/>
        <v>253.03432520380676</v>
      </c>
      <c r="Q24" s="257">
        <f t="shared" si="2"/>
        <v>189.32856524221756</v>
      </c>
      <c r="R24" s="258">
        <f t="shared" si="2"/>
        <v>1513.527774465402</v>
      </c>
      <c r="S24" s="122"/>
    </row>
    <row r="25" spans="2:21" x14ac:dyDescent="0.2">
      <c r="B25" s="100" t="s">
        <v>84</v>
      </c>
      <c r="C25" s="91"/>
      <c r="D25" s="259"/>
      <c r="E25" s="260"/>
      <c r="F25" s="260"/>
      <c r="G25" s="260"/>
      <c r="H25" s="261"/>
      <c r="I25" s="113"/>
      <c r="J25" s="259">
        <f>J20*J5*J15*J9*J16/(100*100)</f>
        <v>93.809513586119621</v>
      </c>
      <c r="K25" s="260">
        <f t="shared" ref="K25:L25" si="3">K20*K5*K15*K9*K16/(100*100)</f>
        <v>7.0943496448200705</v>
      </c>
      <c r="L25" s="261">
        <f t="shared" si="3"/>
        <v>12.9339276351708</v>
      </c>
      <c r="M25" s="113"/>
      <c r="N25" s="259">
        <f t="shared" ref="N25:R25" si="4">N20*N5*N15*N9*N16/(100*100)</f>
        <v>20.462557561986863</v>
      </c>
      <c r="O25" s="260">
        <f t="shared" si="4"/>
        <v>14.147260331434422</v>
      </c>
      <c r="P25" s="260">
        <f t="shared" si="4"/>
        <v>15.241248828065553</v>
      </c>
      <c r="Q25" s="260">
        <f t="shared" si="4"/>
        <v>11.404001298215443</v>
      </c>
      <c r="R25" s="261">
        <f t="shared" si="4"/>
        <v>91.165708052594383</v>
      </c>
      <c r="S25" s="122"/>
    </row>
    <row r="26" spans="2:21" x14ac:dyDescent="0.2">
      <c r="B26" s="100" t="s">
        <v>20</v>
      </c>
      <c r="C26" s="91"/>
      <c r="D26" s="259">
        <f t="shared" ref="D26:R26" si="5">D20*D5*D15*D10*D16/(100*100)</f>
        <v>335.48271816357419</v>
      </c>
      <c r="E26" s="260">
        <f t="shared" si="5"/>
        <v>23.299122001853789</v>
      </c>
      <c r="F26" s="260">
        <f t="shared" si="5"/>
        <v>547.95049854296133</v>
      </c>
      <c r="G26" s="260">
        <f t="shared" si="5"/>
        <v>85.926520218647198</v>
      </c>
      <c r="H26" s="261">
        <f t="shared" si="5"/>
        <v>203.98557002058041</v>
      </c>
      <c r="I26" s="113"/>
      <c r="J26" s="259">
        <f t="shared" si="5"/>
        <v>822.42709483753401</v>
      </c>
      <c r="K26" s="260">
        <f t="shared" si="5"/>
        <v>62.196094458956537</v>
      </c>
      <c r="L26" s="261">
        <f t="shared" si="5"/>
        <v>113.39161800542942</v>
      </c>
      <c r="M26" s="113"/>
      <c r="N26" s="259">
        <f t="shared" si="5"/>
        <v>179.39504348033145</v>
      </c>
      <c r="O26" s="260">
        <f t="shared" si="5"/>
        <v>124.02889397364352</v>
      </c>
      <c r="P26" s="260">
        <f t="shared" si="5"/>
        <v>133.6198805023611</v>
      </c>
      <c r="Q26" s="260">
        <f t="shared" si="5"/>
        <v>99.978768662995577</v>
      </c>
      <c r="R26" s="261">
        <f t="shared" si="5"/>
        <v>799.24887739313317</v>
      </c>
      <c r="S26" s="122"/>
    </row>
    <row r="27" spans="2:21" x14ac:dyDescent="0.2">
      <c r="B27" s="100" t="s">
        <v>21</v>
      </c>
      <c r="C27" s="91"/>
      <c r="D27" s="259">
        <f t="shared" ref="D27:R27" si="6">D20*D5*D15*D11*D16/(100*100)</f>
        <v>970.78221767599041</v>
      </c>
      <c r="E27" s="260">
        <f t="shared" si="6"/>
        <v>67.420382935596834</v>
      </c>
      <c r="F27" s="260">
        <f t="shared" si="6"/>
        <v>1585.5976220296322</v>
      </c>
      <c r="G27" s="260">
        <f t="shared" si="6"/>
        <v>248.64451531708212</v>
      </c>
      <c r="H27" s="261">
        <f t="shared" si="6"/>
        <v>590.27053650473601</v>
      </c>
      <c r="I27" s="113"/>
      <c r="J27" s="259">
        <f t="shared" si="6"/>
        <v>2379.8471747624321</v>
      </c>
      <c r="K27" s="260">
        <f t="shared" si="6"/>
        <v>179.97607399917328</v>
      </c>
      <c r="L27" s="261">
        <f t="shared" si="6"/>
        <v>328.11993117185727</v>
      </c>
      <c r="M27" s="113"/>
      <c r="N27" s="259">
        <f t="shared" si="6"/>
        <v>519.11323213079299</v>
      </c>
      <c r="O27" s="260">
        <f t="shared" si="6"/>
        <v>358.90088588386539</v>
      </c>
      <c r="P27" s="260">
        <f t="shared" si="6"/>
        <v>386.65420570616783</v>
      </c>
      <c r="Q27" s="260">
        <f t="shared" si="6"/>
        <v>289.30733390521311</v>
      </c>
      <c r="R27" s="261">
        <f t="shared" si="6"/>
        <v>2312.7766518585349</v>
      </c>
      <c r="S27" s="122"/>
    </row>
    <row r="28" spans="2:21" x14ac:dyDescent="0.2">
      <c r="B28" s="101" t="s">
        <v>22</v>
      </c>
      <c r="C28" s="95"/>
      <c r="D28" s="259">
        <f>D21*D5*D15*D12*D16/(100*100)</f>
        <v>23.777291209821428</v>
      </c>
      <c r="E28" s="260"/>
      <c r="F28" s="260">
        <f>F21*F5*F15*F12*F16/(100*100)</f>
        <v>15.783158878297259</v>
      </c>
      <c r="G28" s="260"/>
      <c r="H28" s="261"/>
      <c r="I28" s="113"/>
      <c r="J28" s="259"/>
      <c r="K28" s="260"/>
      <c r="L28" s="261"/>
      <c r="M28" s="113"/>
      <c r="N28" s="259"/>
      <c r="O28" s="260"/>
      <c r="P28" s="260"/>
      <c r="Q28" s="260"/>
      <c r="R28" s="262">
        <f>R21*R5*R15*R12*R16/(100*100)</f>
        <v>1770.2079233513471</v>
      </c>
      <c r="S28" s="122"/>
    </row>
    <row r="29" spans="2:21" ht="13.5" thickBot="1" x14ac:dyDescent="0.25">
      <c r="B29" s="86" t="s">
        <v>76</v>
      </c>
      <c r="C29" s="30"/>
      <c r="D29" s="18">
        <f>SUM(D23:D28)</f>
        <v>2530.126696830092</v>
      </c>
      <c r="E29" s="12">
        <f t="shared" ref="E29:R29" si="7">SUM(E23:E28)</f>
        <v>174.06482486036106</v>
      </c>
      <c r="F29" s="12">
        <f>SUM(F23:F28)</f>
        <v>4109.4527638290456</v>
      </c>
      <c r="G29" s="12">
        <f t="shared" si="7"/>
        <v>641.9462798438957</v>
      </c>
      <c r="H29" s="47">
        <f t="shared" si="7"/>
        <v>1523.9506671902986</v>
      </c>
      <c r="I29" s="113"/>
      <c r="J29" s="18">
        <f t="shared" si="7"/>
        <v>6238.0594218839851</v>
      </c>
      <c r="K29" s="12">
        <f t="shared" si="7"/>
        <v>471.75358822622945</v>
      </c>
      <c r="L29" s="47">
        <f t="shared" si="7"/>
        <v>860.06851610496926</v>
      </c>
      <c r="M29" s="113"/>
      <c r="N29" s="18">
        <f t="shared" si="7"/>
        <v>1360.7004781899072</v>
      </c>
      <c r="O29" s="12">
        <f t="shared" si="7"/>
        <v>940.75160642777314</v>
      </c>
      <c r="P29" s="12">
        <f t="shared" si="7"/>
        <v>1013.4986550794815</v>
      </c>
      <c r="Q29" s="12">
        <f t="shared" si="7"/>
        <v>758.33287079356512</v>
      </c>
      <c r="R29" s="47">
        <f t="shared" si="7"/>
        <v>7832.4619776603704</v>
      </c>
      <c r="S29" s="122"/>
      <c r="U29" s="117"/>
    </row>
    <row r="30" spans="2:21" ht="13.5" thickBot="1" x14ac:dyDescent="0.25">
      <c r="B30" s="67"/>
      <c r="C30" s="31"/>
      <c r="D30" s="18"/>
      <c r="E30" s="12"/>
      <c r="F30" s="12"/>
      <c r="G30" s="17"/>
      <c r="H30" s="276">
        <f>SUM(D29:H29)</f>
        <v>8979.5412325536927</v>
      </c>
      <c r="I30" s="114"/>
      <c r="J30" s="18"/>
      <c r="K30" s="17"/>
      <c r="L30" s="276">
        <f>SUM(J29:L29)</f>
        <v>7569.8815262151838</v>
      </c>
      <c r="M30" s="114"/>
      <c r="N30" s="18"/>
      <c r="O30" s="12"/>
      <c r="P30" s="12"/>
      <c r="Q30" s="17"/>
      <c r="R30" s="276">
        <f>SUM(N29:R29)</f>
        <v>11905.745588151098</v>
      </c>
      <c r="S30" s="123"/>
      <c r="U30" s="117"/>
    </row>
    <row r="31" spans="2:21" ht="13.5" thickBot="1" x14ac:dyDescent="0.25">
      <c r="B31" s="202" t="s">
        <v>63</v>
      </c>
      <c r="C31" s="203"/>
      <c r="D31" s="204">
        <f>D29/$H30</f>
        <v>0.28176569730061241</v>
      </c>
      <c r="E31" s="205">
        <f t="shared" ref="E31:H31" si="8">E29/$H30</f>
        <v>1.9384601100702194E-2</v>
      </c>
      <c r="F31" s="205">
        <f t="shared" si="8"/>
        <v>0.45764618229392079</v>
      </c>
      <c r="G31" s="205">
        <f t="shared" si="8"/>
        <v>7.1489874952256616E-2</v>
      </c>
      <c r="H31" s="206">
        <f t="shared" si="8"/>
        <v>0.16971364435250799</v>
      </c>
      <c r="I31" s="115"/>
      <c r="J31" s="204">
        <f>J29/$L30</f>
        <v>0.82406301872506482</v>
      </c>
      <c r="K31" s="205">
        <f t="shared" ref="K31:L31" si="9">K29/$L30</f>
        <v>6.2319811293281693E-2</v>
      </c>
      <c r="L31" s="206">
        <f t="shared" si="9"/>
        <v>0.11361716998165351</v>
      </c>
      <c r="M31" s="115"/>
      <c r="N31" s="204">
        <f>N29/$R30</f>
        <v>0.11428939650315652</v>
      </c>
      <c r="O31" s="205">
        <f t="shared" ref="O31:R31" si="10">O29/$R30</f>
        <v>7.9016605844831181E-2</v>
      </c>
      <c r="P31" s="205">
        <f t="shared" si="10"/>
        <v>8.5126853045485978E-2</v>
      </c>
      <c r="Q31" s="205">
        <f t="shared" si="10"/>
        <v>6.3694698091674107E-2</v>
      </c>
      <c r="R31" s="206">
        <f t="shared" si="10"/>
        <v>0.65787244651485222</v>
      </c>
      <c r="S31" s="124"/>
      <c r="U31" s="64"/>
    </row>
    <row r="32" spans="2:21" ht="13.5" thickBot="1" x14ac:dyDescent="0.25">
      <c r="H32" s="20">
        <f>SUM(D31:H31)</f>
        <v>1</v>
      </c>
      <c r="I32" s="32"/>
      <c r="L32" s="20">
        <f>SUM(J31:L31)</f>
        <v>1</v>
      </c>
      <c r="M32" s="32"/>
      <c r="R32" s="20">
        <f>SUM(N31:R31)</f>
        <v>1</v>
      </c>
      <c r="S32" s="32"/>
    </row>
    <row r="33" spans="2:21" x14ac:dyDescent="0.2">
      <c r="I33" s="1"/>
      <c r="M33" s="1"/>
    </row>
    <row r="34" spans="2:21" x14ac:dyDescent="0.2">
      <c r="B34" s="23" t="s">
        <v>79</v>
      </c>
      <c r="C34" s="31"/>
      <c r="D34" s="310">
        <f>D20*D5*D15*D7*D17/(100*100)</f>
        <v>1167.9947367310479</v>
      </c>
      <c r="E34" s="311">
        <f t="shared" ref="E34:H34" si="11">E20*E5*E15*E7*E17/(100*100)</f>
        <v>81.116702575872111</v>
      </c>
      <c r="F34" s="311">
        <f t="shared" si="11"/>
        <v>1907.7086944767166</v>
      </c>
      <c r="G34" s="311">
        <f t="shared" si="11"/>
        <v>299.15616491475919</v>
      </c>
      <c r="H34" s="312">
        <f t="shared" si="11"/>
        <v>710.18284774046958</v>
      </c>
      <c r="I34" s="113"/>
      <c r="J34" s="313">
        <f t="shared" ref="J34:L34" si="12">J20*J5*J15*J7*J17/(100*100)</f>
        <v>1991.8158537649706</v>
      </c>
      <c r="K34" s="310">
        <f t="shared" si="12"/>
        <v>150.63118392285668</v>
      </c>
      <c r="L34" s="314">
        <f t="shared" si="12"/>
        <v>274.62035704440439</v>
      </c>
      <c r="M34" s="113"/>
      <c r="N34" s="313">
        <f t="shared" ref="N34:R34" si="13">N20*N5*N15*N7*N17/(100*100)</f>
        <v>305.29023574854375</v>
      </c>
      <c r="O34" s="310">
        <f t="shared" si="13"/>
        <v>211.06943395008673</v>
      </c>
      <c r="P34" s="310">
        <f t="shared" si="13"/>
        <v>227.39114764745725</v>
      </c>
      <c r="Q34" s="310">
        <f t="shared" si="13"/>
        <v>170.14150036046829</v>
      </c>
      <c r="R34" s="314">
        <f t="shared" si="13"/>
        <v>1360.1428081142087</v>
      </c>
      <c r="S34" s="283">
        <f>SUM(D34:R34)</f>
        <v>8857.2616669918607</v>
      </c>
    </row>
    <row r="35" spans="2:21" x14ac:dyDescent="0.2">
      <c r="B35" s="308" t="s">
        <v>19</v>
      </c>
      <c r="C35" s="309"/>
      <c r="D35" s="247">
        <f>D20*D5*D15*D8*D17/(100*100)</f>
        <v>1313.8212076109012</v>
      </c>
      <c r="E35" s="248">
        <f t="shared" ref="E35:H35" si="14">E20*E5*E15*E8*E17/(100*100)</f>
        <v>91.244284570938902</v>
      </c>
      <c r="F35" s="248">
        <f t="shared" si="14"/>
        <v>2145.8899273484972</v>
      </c>
      <c r="G35" s="248">
        <f t="shared" si="14"/>
        <v>336.50640837010809</v>
      </c>
      <c r="H35" s="249">
        <f t="shared" si="14"/>
        <v>798.85059178805636</v>
      </c>
      <c r="I35" s="113"/>
      <c r="J35" s="247">
        <f t="shared" ref="J35:L35" si="15">J20*J5*J15*J8*J17/(100*100)</f>
        <v>2240.498033112814</v>
      </c>
      <c r="K35" s="247">
        <f t="shared" si="15"/>
        <v>169.43778746749436</v>
      </c>
      <c r="L35" s="247">
        <f t="shared" si="15"/>
        <v>308.90725598337821</v>
      </c>
      <c r="M35" s="113"/>
      <c r="N35" s="247">
        <f t="shared" ref="N35:R35" si="16">N20*N5*N15*N8*N17/(100*100)</f>
        <v>343.40633017366781</v>
      </c>
      <c r="O35" s="247">
        <f t="shared" si="16"/>
        <v>237.4218734736537</v>
      </c>
      <c r="P35" s="247">
        <f t="shared" si="16"/>
        <v>255.78138565790812</v>
      </c>
      <c r="Q35" s="247">
        <f t="shared" si="16"/>
        <v>191.38400579950058</v>
      </c>
      <c r="R35" s="247">
        <f t="shared" si="16"/>
        <v>1529.959348687868</v>
      </c>
      <c r="S35" s="283">
        <f t="shared" ref="S35:S39" si="17">SUM(D35:R35)</f>
        <v>9963.1084400447871</v>
      </c>
    </row>
    <row r="36" spans="2:21" x14ac:dyDescent="0.2">
      <c r="B36" s="308" t="s">
        <v>84</v>
      </c>
      <c r="C36" s="309"/>
      <c r="D36" s="247"/>
      <c r="E36" s="248"/>
      <c r="F36" s="248"/>
      <c r="G36" s="248"/>
      <c r="H36" s="249"/>
      <c r="I36" s="113"/>
      <c r="J36" s="247">
        <f>J20*J5*J15*J9*J17/(100*100)</f>
        <v>134.95397509392973</v>
      </c>
      <c r="K36" s="247">
        <f t="shared" ref="K36:L36" si="18">K20*K5*K15*K9*K17/(100*100)</f>
        <v>10.205901818217495</v>
      </c>
      <c r="L36" s="247">
        <f t="shared" si="18"/>
        <v>18.606694366250267</v>
      </c>
      <c r="M36" s="113"/>
      <c r="N36" s="247">
        <f t="shared" ref="N36:R36" si="19">N20*N5*N15*N9*N17/(100*100)</f>
        <v>20.684708776542561</v>
      </c>
      <c r="O36" s="247">
        <f t="shared" si="19"/>
        <v>14.300849688763936</v>
      </c>
      <c r="P36" s="247">
        <f t="shared" si="19"/>
        <v>15.40671504255236</v>
      </c>
      <c r="Q36" s="247">
        <f t="shared" si="19"/>
        <v>11.527808536461146</v>
      </c>
      <c r="R36" s="247">
        <f t="shared" si="19"/>
        <v>92.155446149035328</v>
      </c>
      <c r="S36" s="283">
        <f t="shared" si="17"/>
        <v>317.84209947175282</v>
      </c>
    </row>
    <row r="37" spans="2:21" x14ac:dyDescent="0.2">
      <c r="B37" s="100" t="s">
        <v>20</v>
      </c>
      <c r="C37" s="91"/>
      <c r="D37" s="247">
        <f>D20*D5*D15*D10*D17/(100*100)</f>
        <v>693.78979559803713</v>
      </c>
      <c r="E37" s="248">
        <f t="shared" ref="E37:H37" si="20">E20*E5*E15*E10*E17/(100*100)</f>
        <v>48.183385361144921</v>
      </c>
      <c r="F37" s="248">
        <f t="shared" si="20"/>
        <v>1133.1804704068377</v>
      </c>
      <c r="G37" s="248">
        <f t="shared" si="20"/>
        <v>177.69899810421492</v>
      </c>
      <c r="H37" s="249">
        <f t="shared" si="20"/>
        <v>421.84917215474547</v>
      </c>
      <c r="I37" s="113"/>
      <c r="J37" s="247">
        <f t="shared" ref="J37:L37" si="21">J20*J5*J15*J10*J17/(100*100)</f>
        <v>1183.1401894157138</v>
      </c>
      <c r="K37" s="247">
        <f t="shared" si="21"/>
        <v>89.475042153887358</v>
      </c>
      <c r="L37" s="247">
        <f t="shared" si="21"/>
        <v>163.12470886139792</v>
      </c>
      <c r="M37" s="113"/>
      <c r="N37" s="247">
        <f t="shared" ref="N37:R37" si="22">N20*N5*N15*N10*N17/(100*100)</f>
        <v>181.34264102153332</v>
      </c>
      <c r="O37" s="247">
        <f t="shared" si="22"/>
        <v>125.37541037819256</v>
      </c>
      <c r="P37" s="247">
        <f t="shared" si="22"/>
        <v>135.07052119829882</v>
      </c>
      <c r="Q37" s="247">
        <f t="shared" si="22"/>
        <v>101.06418551868363</v>
      </c>
      <c r="R37" s="247">
        <f t="shared" si="22"/>
        <v>807.92590167552316</v>
      </c>
      <c r="S37" s="283">
        <f t="shared" si="17"/>
        <v>5261.2204218482093</v>
      </c>
    </row>
    <row r="38" spans="2:21" x14ac:dyDescent="0.2">
      <c r="B38" s="100" t="s">
        <v>21</v>
      </c>
      <c r="C38" s="91"/>
      <c r="D38" s="247">
        <f>D20*D5*D15*D11*D17/(100*100)</f>
        <v>2007.611003208938</v>
      </c>
      <c r="E38" s="248">
        <f t="shared" ref="E38:H38" si="23">E20*E5*E15*E11*E17/(100*100)</f>
        <v>139.4276699320838</v>
      </c>
      <c r="F38" s="248">
        <f t="shared" si="23"/>
        <v>3279.0703977553349</v>
      </c>
      <c r="G38" s="248">
        <f t="shared" si="23"/>
        <v>514.20540647432301</v>
      </c>
      <c r="H38" s="249">
        <f t="shared" si="23"/>
        <v>1220.6997639428016</v>
      </c>
      <c r="I38" s="113"/>
      <c r="J38" s="247">
        <f t="shared" ref="J38:L38" si="24">J20*J5*J15*J11*J17/(100*100)</f>
        <v>3423.6382225285279</v>
      </c>
      <c r="K38" s="247">
        <f t="shared" si="24"/>
        <v>258.91282962138172</v>
      </c>
      <c r="L38" s="247">
        <f t="shared" si="24"/>
        <v>472.03196484477616</v>
      </c>
      <c r="M38" s="113"/>
      <c r="N38" s="247">
        <f t="shared" ref="N38:R38" si="25">N20*N5*N15*N11*N17/(100*100)</f>
        <v>524.74897119520108</v>
      </c>
      <c r="O38" s="247">
        <f t="shared" si="25"/>
        <v>362.79728385184626</v>
      </c>
      <c r="P38" s="247">
        <f t="shared" si="25"/>
        <v>390.85190685620688</v>
      </c>
      <c r="Q38" s="247">
        <f t="shared" si="25"/>
        <v>292.44819131818423</v>
      </c>
      <c r="R38" s="247">
        <f t="shared" si="25"/>
        <v>2337.8852503633907</v>
      </c>
      <c r="S38" s="283">
        <f t="shared" si="17"/>
        <v>15224.328861892998</v>
      </c>
    </row>
    <row r="39" spans="2:21" x14ac:dyDescent="0.2">
      <c r="B39" s="101" t="s">
        <v>22</v>
      </c>
      <c r="C39" s="95"/>
      <c r="D39" s="247">
        <f>D21*D5*D15*D12*D17/(100*100)</f>
        <v>49.17225572344892</v>
      </c>
      <c r="E39" s="248">
        <f t="shared" ref="E39:H39" si="26">E21*E5*E15*E12*E17/(100*100)</f>
        <v>0</v>
      </c>
      <c r="F39" s="248">
        <f t="shared" si="26"/>
        <v>32.640115210721881</v>
      </c>
      <c r="G39" s="248">
        <f t="shared" si="26"/>
        <v>0</v>
      </c>
      <c r="H39" s="249">
        <f t="shared" si="26"/>
        <v>0</v>
      </c>
      <c r="I39" s="113"/>
      <c r="J39" s="247">
        <f t="shared" ref="J39:L39" si="27">J21*J5*J15*J12*J17/(100*100)</f>
        <v>0</v>
      </c>
      <c r="K39" s="247">
        <f t="shared" si="27"/>
        <v>0</v>
      </c>
      <c r="L39" s="247">
        <f t="shared" si="27"/>
        <v>0</v>
      </c>
      <c r="M39" s="113"/>
      <c r="N39" s="247">
        <f t="shared" ref="N39:R39" si="28">N21*N5*N15*N12*N17/(100*100)</f>
        <v>0</v>
      </c>
      <c r="O39" s="247">
        <f t="shared" si="28"/>
        <v>0</v>
      </c>
      <c r="P39" s="247">
        <f t="shared" si="28"/>
        <v>0</v>
      </c>
      <c r="Q39" s="247">
        <f t="shared" si="28"/>
        <v>0</v>
      </c>
      <c r="R39" s="247">
        <f t="shared" si="28"/>
        <v>1789.4261388162195</v>
      </c>
      <c r="S39" s="283">
        <f t="shared" si="17"/>
        <v>1871.2385097503902</v>
      </c>
    </row>
    <row r="40" spans="2:21" ht="13.5" thickBot="1" x14ac:dyDescent="0.25">
      <c r="B40" s="269" t="s">
        <v>77</v>
      </c>
      <c r="C40" s="270"/>
      <c r="D40" s="271">
        <f>SUM(D34:D39)</f>
        <v>5232.3889988723731</v>
      </c>
      <c r="E40" s="272">
        <f t="shared" ref="E40" si="29">SUM(E34:E39)</f>
        <v>359.97204244003973</v>
      </c>
      <c r="F40" s="272">
        <f>SUM(F34:F39)</f>
        <v>8498.4896051981068</v>
      </c>
      <c r="G40" s="272">
        <f t="shared" ref="G40:H40" si="30">SUM(G34:G39)</f>
        <v>1327.5669778634051</v>
      </c>
      <c r="H40" s="273">
        <f t="shared" si="30"/>
        <v>3151.5823756260729</v>
      </c>
      <c r="I40" s="113"/>
      <c r="J40" s="274">
        <f t="shared" ref="J40:L40" si="31">SUM(J34:J39)</f>
        <v>8974.0462739159557</v>
      </c>
      <c r="K40" s="272">
        <f t="shared" si="31"/>
        <v>678.66274498383768</v>
      </c>
      <c r="L40" s="273">
        <f t="shared" si="31"/>
        <v>1237.2909811002069</v>
      </c>
      <c r="M40" s="113"/>
      <c r="N40" s="274">
        <f t="shared" ref="N40:R40" si="32">SUM(N34:N39)</f>
        <v>1375.4728869154887</v>
      </c>
      <c r="O40" s="272">
        <f t="shared" si="32"/>
        <v>950.96485134254317</v>
      </c>
      <c r="P40" s="272">
        <f t="shared" si="32"/>
        <v>1024.5016764024235</v>
      </c>
      <c r="Q40" s="272">
        <f t="shared" si="32"/>
        <v>766.56569153329792</v>
      </c>
      <c r="R40" s="273">
        <f t="shared" si="32"/>
        <v>7917.4948938062462</v>
      </c>
      <c r="S40" s="122"/>
    </row>
    <row r="41" spans="2:21" x14ac:dyDescent="0.2">
      <c r="B41" s="280" t="s">
        <v>78</v>
      </c>
      <c r="C41" s="265"/>
      <c r="D41" s="266"/>
      <c r="E41" s="267"/>
      <c r="F41" s="267"/>
      <c r="G41" s="268"/>
      <c r="H41" s="284">
        <f>SUM(D40:H40)</f>
        <v>18570</v>
      </c>
      <c r="I41" s="114"/>
      <c r="J41" s="266"/>
      <c r="K41" s="268"/>
      <c r="L41" s="284">
        <f>SUM(J40:L40)</f>
        <v>10890</v>
      </c>
      <c r="M41" s="123"/>
      <c r="N41" s="275"/>
      <c r="O41" s="267"/>
      <c r="P41" s="267"/>
      <c r="Q41" s="268"/>
      <c r="R41" s="284">
        <f>SUM(N40:R40)</f>
        <v>12035</v>
      </c>
      <c r="S41" s="123"/>
    </row>
    <row r="42" spans="2:21" x14ac:dyDescent="0.2">
      <c r="B42" s="87" t="s">
        <v>32</v>
      </c>
      <c r="C42" s="31"/>
      <c r="D42" s="18"/>
      <c r="E42" s="12"/>
      <c r="F42" s="12"/>
      <c r="G42" s="17"/>
      <c r="H42" s="285">
        <f>D73</f>
        <v>1030</v>
      </c>
      <c r="I42" s="123"/>
      <c r="J42" s="263"/>
      <c r="K42" s="17"/>
      <c r="L42" s="285">
        <f>J73</f>
        <v>495</v>
      </c>
      <c r="M42" s="123"/>
      <c r="N42" s="263"/>
      <c r="O42" s="12"/>
      <c r="P42" s="12"/>
      <c r="Q42" s="17"/>
      <c r="R42" s="285">
        <f>N73</f>
        <v>500</v>
      </c>
      <c r="S42" s="123"/>
    </row>
    <row r="43" spans="2:21" ht="13.5" thickBot="1" x14ac:dyDescent="0.25">
      <c r="B43" s="87" t="s">
        <v>54</v>
      </c>
      <c r="C43" s="31"/>
      <c r="D43" s="18"/>
      <c r="E43" s="12"/>
      <c r="F43" s="12"/>
      <c r="G43" s="17"/>
      <c r="H43" s="285">
        <f>D75</f>
        <v>1350</v>
      </c>
      <c r="I43" s="123"/>
      <c r="J43" s="263"/>
      <c r="K43" s="17"/>
      <c r="L43" s="285">
        <f>J75</f>
        <v>845</v>
      </c>
      <c r="M43" s="123"/>
      <c r="N43" s="263"/>
      <c r="O43" s="12"/>
      <c r="P43" s="12"/>
      <c r="Q43" s="17"/>
      <c r="R43" s="285">
        <f>N75</f>
        <v>845</v>
      </c>
      <c r="S43" s="123"/>
    </row>
    <row r="44" spans="2:21" ht="13.5" thickBot="1" x14ac:dyDescent="0.25">
      <c r="B44" s="87" t="s">
        <v>33</v>
      </c>
      <c r="C44" s="31"/>
      <c r="D44" s="18"/>
      <c r="E44" s="12"/>
      <c r="F44" s="12"/>
      <c r="G44" s="17"/>
      <c r="H44" s="286">
        <f>D76</f>
        <v>7050</v>
      </c>
      <c r="I44" s="123"/>
      <c r="J44" s="263"/>
      <c r="K44" s="17"/>
      <c r="L44" s="286">
        <f>J76</f>
        <v>4770</v>
      </c>
      <c r="M44" s="123"/>
      <c r="N44" s="263"/>
      <c r="O44" s="12"/>
      <c r="P44" s="12"/>
      <c r="Q44" s="17"/>
      <c r="R44" s="286">
        <f>N76</f>
        <v>4770</v>
      </c>
      <c r="S44" s="123"/>
      <c r="U44" s="264">
        <f>SUM(D41:R44)</f>
        <v>63150</v>
      </c>
    </row>
    <row r="45" spans="2:21" s="116" customFormat="1" ht="13.5" thickBot="1" x14ac:dyDescent="0.25">
      <c r="B45" s="65"/>
      <c r="C45" s="277"/>
      <c r="D45" s="123"/>
      <c r="E45" s="123"/>
      <c r="F45" s="123"/>
      <c r="G45" s="123"/>
      <c r="H45" s="414">
        <f>SUM(H41:H44)</f>
        <v>28000</v>
      </c>
      <c r="I45" s="123"/>
      <c r="J45" s="123"/>
      <c r="K45" s="123"/>
      <c r="L45" s="281">
        <f>SUM(L41:L44)</f>
        <v>17000</v>
      </c>
      <c r="M45" s="123"/>
      <c r="N45" s="123"/>
      <c r="O45" s="123"/>
      <c r="P45" s="123"/>
      <c r="Q45" s="123"/>
      <c r="R45" s="281">
        <f>SUM(R41:R44)</f>
        <v>18150</v>
      </c>
      <c r="S45" s="306">
        <f>SUM(H45,L45,R45)</f>
        <v>63150</v>
      </c>
      <c r="U45" s="278"/>
    </row>
    <row r="46" spans="2:21" x14ac:dyDescent="0.2">
      <c r="D46" s="412">
        <f>SUM(D40:E40)</f>
        <v>5592.3610413124125</v>
      </c>
      <c r="E46" s="413"/>
      <c r="F46" s="415">
        <f>SUM(F40:H40)</f>
        <v>12977.638958687585</v>
      </c>
      <c r="G46" s="416"/>
      <c r="H46" s="417"/>
      <c r="I46" s="1"/>
      <c r="M46" s="1"/>
    </row>
    <row r="47" spans="2:21" x14ac:dyDescent="0.2">
      <c r="D47" s="418" t="s">
        <v>82</v>
      </c>
      <c r="E47" s="418"/>
      <c r="F47" s="418" t="s">
        <v>83</v>
      </c>
      <c r="G47" s="418"/>
      <c r="H47" s="418"/>
      <c r="I47" s="1"/>
      <c r="M47" s="1"/>
    </row>
    <row r="48" spans="2:21" x14ac:dyDescent="0.2">
      <c r="I48" s="1"/>
      <c r="M48" s="1"/>
    </row>
    <row r="49" spans="1:22" x14ac:dyDescent="0.2">
      <c r="B49" s="279" t="s">
        <v>73</v>
      </c>
      <c r="C49" s="31"/>
      <c r="H49" s="282">
        <f>D74/H30</f>
        <v>2.068034381609368</v>
      </c>
      <c r="L49" s="282">
        <f>J74/L30</f>
        <v>1.4385958303689359</v>
      </c>
      <c r="R49" s="282">
        <f>N74/R30</f>
        <v>1.0108564735313628</v>
      </c>
    </row>
    <row r="50" spans="1:22" s="116" customFormat="1" x14ac:dyDescent="0.2">
      <c r="B50" s="65"/>
      <c r="C50" s="277"/>
      <c r="H50" s="287"/>
      <c r="L50" s="287"/>
      <c r="R50" s="287"/>
    </row>
    <row r="51" spans="1:22" s="116" customFormat="1" x14ac:dyDescent="0.2">
      <c r="B51" s="65"/>
      <c r="C51" s="277"/>
      <c r="H51" s="287"/>
      <c r="L51" s="287"/>
      <c r="R51" s="287"/>
    </row>
    <row r="52" spans="1:22" s="288" customFormat="1" x14ac:dyDescent="0.2">
      <c r="B52" s="289" t="s">
        <v>80</v>
      </c>
      <c r="C52" s="291"/>
      <c r="D52" s="292">
        <v>75</v>
      </c>
      <c r="E52" s="293">
        <v>75</v>
      </c>
      <c r="F52" s="293">
        <v>286</v>
      </c>
      <c r="G52" s="293">
        <v>33</v>
      </c>
      <c r="H52" s="294">
        <v>210</v>
      </c>
      <c r="I52" s="295"/>
      <c r="J52" s="296">
        <v>248</v>
      </c>
      <c r="K52" s="293">
        <v>39</v>
      </c>
      <c r="L52" s="297">
        <v>53</v>
      </c>
      <c r="M52" s="295"/>
      <c r="N52" s="296">
        <v>105</v>
      </c>
      <c r="O52" s="293">
        <v>132</v>
      </c>
      <c r="P52" s="293">
        <v>190</v>
      </c>
      <c r="Q52" s="293">
        <v>62</v>
      </c>
      <c r="R52" s="294">
        <v>86</v>
      </c>
      <c r="S52" s="295"/>
    </row>
    <row r="53" spans="1:22" s="116" customFormat="1" x14ac:dyDescent="0.2">
      <c r="B53" s="300" t="s">
        <v>81</v>
      </c>
      <c r="C53" s="301"/>
      <c r="D53" s="302">
        <f>8.5*D52</f>
        <v>637.5</v>
      </c>
      <c r="E53" s="303">
        <f t="shared" ref="E53:H53" si="33">8.5*E52</f>
        <v>637.5</v>
      </c>
      <c r="F53" s="303">
        <f t="shared" si="33"/>
        <v>2431</v>
      </c>
      <c r="G53" s="303">
        <f t="shared" si="33"/>
        <v>280.5</v>
      </c>
      <c r="H53" s="304">
        <f t="shared" si="33"/>
        <v>1785</v>
      </c>
      <c r="I53" s="295"/>
      <c r="J53" s="305">
        <f t="shared" ref="J53:L53" si="34">8.5*J52</f>
        <v>2108</v>
      </c>
      <c r="K53" s="303">
        <f t="shared" si="34"/>
        <v>331.5</v>
      </c>
      <c r="L53" s="304">
        <f t="shared" si="34"/>
        <v>450.5</v>
      </c>
      <c r="M53" s="295"/>
      <c r="N53" s="305">
        <f t="shared" ref="N53:R53" si="35">8.5*N52</f>
        <v>892.5</v>
      </c>
      <c r="O53" s="303">
        <f t="shared" si="35"/>
        <v>1122</v>
      </c>
      <c r="P53" s="303">
        <f t="shared" si="35"/>
        <v>1615</v>
      </c>
      <c r="Q53" s="303">
        <f t="shared" si="35"/>
        <v>527</v>
      </c>
      <c r="R53" s="304">
        <f t="shared" si="35"/>
        <v>731</v>
      </c>
      <c r="S53" s="307">
        <f>SUM(D53:R53)</f>
        <v>13549</v>
      </c>
    </row>
    <row r="54" spans="1:22" s="116" customFormat="1" x14ac:dyDescent="0.2">
      <c r="B54" s="65"/>
      <c r="C54" s="277"/>
      <c r="H54" s="287"/>
      <c r="L54" s="287"/>
      <c r="R54" s="287"/>
    </row>
    <row r="55" spans="1:22" s="116" customFormat="1" x14ac:dyDescent="0.2">
      <c r="B55" s="65"/>
      <c r="C55" s="277"/>
      <c r="H55" s="287"/>
      <c r="L55" s="287"/>
      <c r="R55" s="287"/>
    </row>
    <row r="56" spans="1:22" s="116" customFormat="1" x14ac:dyDescent="0.2">
      <c r="B56" s="65"/>
      <c r="C56" s="277"/>
      <c r="H56" s="287"/>
      <c r="L56" s="287"/>
      <c r="R56" s="287"/>
    </row>
    <row r="57" spans="1:22" ht="13.5" thickBot="1" x14ac:dyDescent="0.25">
      <c r="A57" s="28" t="s">
        <v>56</v>
      </c>
      <c r="I57" s="1"/>
      <c r="M57" s="1"/>
    </row>
    <row r="58" spans="1:22" ht="13.5" thickBot="1" x14ac:dyDescent="0.25">
      <c r="B58" s="127" t="s">
        <v>50</v>
      </c>
      <c r="C58" s="128"/>
      <c r="D58" s="318">
        <f>SUM(D59:D72)</f>
        <v>28000</v>
      </c>
      <c r="E58" s="319"/>
      <c r="F58" s="319"/>
      <c r="G58" s="319"/>
      <c r="H58" s="320"/>
      <c r="I58" s="182"/>
      <c r="J58" s="321">
        <f>SUM(J59:J72)</f>
        <v>17000</v>
      </c>
      <c r="K58" s="319"/>
      <c r="L58" s="320"/>
      <c r="M58" s="182"/>
      <c r="N58" s="321">
        <f>SUM(N59:N72)</f>
        <v>18150</v>
      </c>
      <c r="O58" s="319"/>
      <c r="P58" s="319"/>
      <c r="Q58" s="319"/>
      <c r="R58" s="320"/>
      <c r="U58" s="421">
        <f>SUM(D58:R58)</f>
        <v>63150</v>
      </c>
      <c r="V58" s="422">
        <f>SUM(V59:V72)</f>
        <v>1</v>
      </c>
    </row>
    <row r="59" spans="1:22" ht="13.5" thickBot="1" x14ac:dyDescent="0.25">
      <c r="B59" s="322" t="s">
        <v>51</v>
      </c>
      <c r="C59" s="22" t="s">
        <v>43</v>
      </c>
      <c r="D59" s="324">
        <f>4000-D60</f>
        <v>3720</v>
      </c>
      <c r="E59" s="325"/>
      <c r="F59" s="325"/>
      <c r="G59" s="325"/>
      <c r="H59" s="326"/>
      <c r="I59" s="183"/>
      <c r="J59" s="327">
        <f>2600-J60</f>
        <v>2450</v>
      </c>
      <c r="K59" s="328"/>
      <c r="L59" s="329"/>
      <c r="M59" s="184"/>
      <c r="N59" s="327">
        <f>3000-N60</f>
        <v>2880</v>
      </c>
      <c r="O59" s="328"/>
      <c r="P59" s="328"/>
      <c r="Q59" s="328"/>
      <c r="R59" s="329"/>
      <c r="U59" s="419">
        <f>SUM(D59:R60)</f>
        <v>9600</v>
      </c>
      <c r="V59" s="423">
        <f>U59/U$58</f>
        <v>0.15201900237529692</v>
      </c>
    </row>
    <row r="60" spans="1:22" ht="13.5" thickBot="1" x14ac:dyDescent="0.25">
      <c r="B60" s="322"/>
      <c r="C60" s="16" t="s">
        <v>37</v>
      </c>
      <c r="D60" s="330">
        <v>280</v>
      </c>
      <c r="E60" s="331"/>
      <c r="F60" s="331"/>
      <c r="G60" s="331"/>
      <c r="H60" s="332"/>
      <c r="I60" s="183"/>
      <c r="J60" s="333">
        <v>150</v>
      </c>
      <c r="K60" s="334"/>
      <c r="L60" s="335"/>
      <c r="M60" s="184"/>
      <c r="N60" s="333">
        <v>120</v>
      </c>
      <c r="O60" s="334"/>
      <c r="P60" s="334"/>
      <c r="Q60" s="334"/>
      <c r="R60" s="335"/>
      <c r="U60" s="420"/>
      <c r="V60" s="423"/>
    </row>
    <row r="61" spans="1:22" ht="13.5" thickBot="1" x14ac:dyDescent="0.25">
      <c r="B61" s="322"/>
      <c r="C61" s="16" t="s">
        <v>23</v>
      </c>
      <c r="D61" s="330">
        <f>4500-D62</f>
        <v>4280</v>
      </c>
      <c r="E61" s="331"/>
      <c r="F61" s="331"/>
      <c r="G61" s="331"/>
      <c r="H61" s="332"/>
      <c r="I61" s="183"/>
      <c r="J61" s="336">
        <f>2800-J62</f>
        <v>2710</v>
      </c>
      <c r="K61" s="331"/>
      <c r="L61" s="332"/>
      <c r="M61" s="183"/>
      <c r="N61" s="336">
        <f>3500-N62</f>
        <v>3380</v>
      </c>
      <c r="O61" s="331"/>
      <c r="P61" s="331"/>
      <c r="Q61" s="331"/>
      <c r="R61" s="332"/>
      <c r="U61" s="419">
        <f>SUM(D61:R62)</f>
        <v>10800</v>
      </c>
      <c r="V61" s="423">
        <f t="shared" ref="V61" si="36">U61/U$58</f>
        <v>0.17102137767220901</v>
      </c>
    </row>
    <row r="62" spans="1:22" ht="13.5" thickBot="1" x14ac:dyDescent="0.25">
      <c r="B62" s="322"/>
      <c r="C62" s="16" t="s">
        <v>42</v>
      </c>
      <c r="D62" s="330">
        <v>220</v>
      </c>
      <c r="E62" s="331"/>
      <c r="F62" s="331"/>
      <c r="G62" s="331"/>
      <c r="H62" s="332"/>
      <c r="I62" s="183"/>
      <c r="J62" s="336">
        <v>90</v>
      </c>
      <c r="K62" s="331"/>
      <c r="L62" s="332"/>
      <c r="M62" s="183"/>
      <c r="N62" s="336">
        <v>120</v>
      </c>
      <c r="O62" s="331"/>
      <c r="P62" s="331"/>
      <c r="Q62" s="331"/>
      <c r="R62" s="332"/>
      <c r="U62" s="420"/>
      <c r="V62" s="423"/>
    </row>
    <row r="63" spans="1:22" ht="13.5" thickBot="1" x14ac:dyDescent="0.25">
      <c r="B63" s="322"/>
      <c r="C63" s="16" t="s">
        <v>44</v>
      </c>
      <c r="D63" s="337"/>
      <c r="E63" s="338"/>
      <c r="F63" s="338"/>
      <c r="G63" s="338"/>
      <c r="H63" s="339"/>
      <c r="I63" s="184"/>
      <c r="J63" s="336">
        <f>300-J64</f>
        <v>265</v>
      </c>
      <c r="K63" s="331"/>
      <c r="L63" s="332"/>
      <c r="M63" s="183"/>
      <c r="N63" s="336">
        <f>350-N64</f>
        <v>310</v>
      </c>
      <c r="O63" s="331"/>
      <c r="P63" s="331"/>
      <c r="Q63" s="331"/>
      <c r="R63" s="332"/>
      <c r="U63" s="419">
        <f>SUM(D63:R64)</f>
        <v>650</v>
      </c>
      <c r="V63" s="423">
        <f t="shared" ref="V63" si="37">U63/U$58</f>
        <v>1.0292953285827395E-2</v>
      </c>
    </row>
    <row r="64" spans="1:22" ht="13.5" thickBot="1" x14ac:dyDescent="0.25">
      <c r="B64" s="322"/>
      <c r="C64" s="16" t="s">
        <v>45</v>
      </c>
      <c r="D64" s="337"/>
      <c r="E64" s="338"/>
      <c r="F64" s="338"/>
      <c r="G64" s="338"/>
      <c r="H64" s="339"/>
      <c r="I64" s="184"/>
      <c r="J64" s="336">
        <v>35</v>
      </c>
      <c r="K64" s="331"/>
      <c r="L64" s="332"/>
      <c r="M64" s="183"/>
      <c r="N64" s="336">
        <v>40</v>
      </c>
      <c r="O64" s="331"/>
      <c r="P64" s="331"/>
      <c r="Q64" s="331"/>
      <c r="R64" s="332"/>
      <c r="U64" s="420"/>
      <c r="V64" s="423"/>
    </row>
    <row r="65" spans="1:22" ht="13.5" thickBot="1" x14ac:dyDescent="0.25">
      <c r="B65" s="322"/>
      <c r="C65" s="14" t="s">
        <v>24</v>
      </c>
      <c r="D65" s="330">
        <f>2500-D66</f>
        <v>2420</v>
      </c>
      <c r="E65" s="331"/>
      <c r="F65" s="331"/>
      <c r="G65" s="331"/>
      <c r="H65" s="332"/>
      <c r="I65" s="183"/>
      <c r="J65" s="336">
        <v>1565</v>
      </c>
      <c r="K65" s="331"/>
      <c r="L65" s="332"/>
      <c r="M65" s="183"/>
      <c r="N65" s="340">
        <v>1565</v>
      </c>
      <c r="O65" s="341"/>
      <c r="P65" s="341"/>
      <c r="Q65" s="341"/>
      <c r="R65" s="342"/>
      <c r="U65" s="419">
        <f>SUM(D65:R66)</f>
        <v>5700</v>
      </c>
      <c r="V65" s="423">
        <f t="shared" ref="V65" si="38">U65/U$58</f>
        <v>9.0261282660332537E-2</v>
      </c>
    </row>
    <row r="66" spans="1:22" ht="13.5" thickBot="1" x14ac:dyDescent="0.25">
      <c r="B66" s="322"/>
      <c r="C66" s="14" t="s">
        <v>38</v>
      </c>
      <c r="D66" s="330">
        <v>80</v>
      </c>
      <c r="E66" s="331"/>
      <c r="F66" s="331"/>
      <c r="G66" s="331"/>
      <c r="H66" s="332"/>
      <c r="I66" s="183"/>
      <c r="J66" s="336">
        <v>35</v>
      </c>
      <c r="K66" s="331"/>
      <c r="L66" s="332"/>
      <c r="M66" s="183"/>
      <c r="N66" s="340">
        <v>35</v>
      </c>
      <c r="O66" s="341"/>
      <c r="P66" s="341"/>
      <c r="Q66" s="341"/>
      <c r="R66" s="342"/>
      <c r="U66" s="420"/>
      <c r="V66" s="423"/>
    </row>
    <row r="67" spans="1:22" ht="13.5" thickBot="1" x14ac:dyDescent="0.25">
      <c r="B67" s="322"/>
      <c r="C67" s="14" t="s">
        <v>25</v>
      </c>
      <c r="D67" s="330">
        <f>8500-D68</f>
        <v>8150</v>
      </c>
      <c r="E67" s="331"/>
      <c r="F67" s="331"/>
      <c r="G67" s="331"/>
      <c r="H67" s="332"/>
      <c r="I67" s="183"/>
      <c r="J67" s="336">
        <v>3900</v>
      </c>
      <c r="K67" s="331"/>
      <c r="L67" s="332"/>
      <c r="M67" s="183"/>
      <c r="N67" s="340">
        <v>3900</v>
      </c>
      <c r="O67" s="341"/>
      <c r="P67" s="341"/>
      <c r="Q67" s="341"/>
      <c r="R67" s="342"/>
      <c r="U67" s="419">
        <f>SUM(D67:R68)</f>
        <v>16500</v>
      </c>
      <c r="V67" s="423">
        <f t="shared" ref="V67" si="39">U67/U$58</f>
        <v>0.26128266033254155</v>
      </c>
    </row>
    <row r="68" spans="1:22" ht="13.5" thickBot="1" x14ac:dyDescent="0.25">
      <c r="B68" s="322"/>
      <c r="C68" s="15" t="s">
        <v>39</v>
      </c>
      <c r="D68" s="343">
        <v>350</v>
      </c>
      <c r="E68" s="344"/>
      <c r="F68" s="344"/>
      <c r="G68" s="344"/>
      <c r="H68" s="345"/>
      <c r="I68" s="183"/>
      <c r="J68" s="346">
        <v>100</v>
      </c>
      <c r="K68" s="344"/>
      <c r="L68" s="345"/>
      <c r="M68" s="183"/>
      <c r="N68" s="347">
        <v>100</v>
      </c>
      <c r="O68" s="348"/>
      <c r="P68" s="348"/>
      <c r="Q68" s="348"/>
      <c r="R68" s="349"/>
      <c r="U68" s="420"/>
      <c r="V68" s="423"/>
    </row>
    <row r="69" spans="1:22" ht="13.5" thickBot="1" x14ac:dyDescent="0.25">
      <c r="B69" s="322"/>
      <c r="C69" s="13" t="s">
        <v>35</v>
      </c>
      <c r="D69" s="350">
        <f>7000-D70</f>
        <v>6920</v>
      </c>
      <c r="E69" s="351"/>
      <c r="F69" s="351"/>
      <c r="G69" s="351"/>
      <c r="H69" s="352"/>
      <c r="I69" s="183"/>
      <c r="J69" s="353">
        <v>4690</v>
      </c>
      <c r="K69" s="351"/>
      <c r="L69" s="352"/>
      <c r="M69" s="183"/>
      <c r="N69" s="354">
        <v>4690</v>
      </c>
      <c r="O69" s="355"/>
      <c r="P69" s="355"/>
      <c r="Q69" s="355"/>
      <c r="R69" s="356"/>
      <c r="U69" s="419">
        <f>SUM(D69:R70)</f>
        <v>16500</v>
      </c>
      <c r="V69" s="423">
        <f t="shared" ref="V69" si="40">U69/U$58</f>
        <v>0.26128266033254155</v>
      </c>
    </row>
    <row r="70" spans="1:22" ht="13.5" thickBot="1" x14ac:dyDescent="0.25">
      <c r="B70" s="322"/>
      <c r="C70" s="14" t="s">
        <v>40</v>
      </c>
      <c r="D70" s="330">
        <v>80</v>
      </c>
      <c r="E70" s="331"/>
      <c r="F70" s="331"/>
      <c r="G70" s="331"/>
      <c r="H70" s="332"/>
      <c r="I70" s="183"/>
      <c r="J70" s="336">
        <v>60</v>
      </c>
      <c r="K70" s="331"/>
      <c r="L70" s="332"/>
      <c r="M70" s="183"/>
      <c r="N70" s="340">
        <v>60</v>
      </c>
      <c r="O70" s="341"/>
      <c r="P70" s="341"/>
      <c r="Q70" s="341"/>
      <c r="R70" s="342"/>
      <c r="U70" s="420"/>
      <c r="V70" s="423"/>
    </row>
    <row r="71" spans="1:22" ht="13.5" thickBot="1" x14ac:dyDescent="0.25">
      <c r="B71" s="322"/>
      <c r="C71" s="14" t="s">
        <v>36</v>
      </c>
      <c r="D71" s="330">
        <f>1500-D72</f>
        <v>1480</v>
      </c>
      <c r="E71" s="331"/>
      <c r="F71" s="331"/>
      <c r="G71" s="331"/>
      <c r="H71" s="332"/>
      <c r="I71" s="183"/>
      <c r="J71" s="336">
        <v>925</v>
      </c>
      <c r="K71" s="331"/>
      <c r="L71" s="332"/>
      <c r="M71" s="183"/>
      <c r="N71" s="340">
        <v>925</v>
      </c>
      <c r="O71" s="341"/>
      <c r="P71" s="341"/>
      <c r="Q71" s="341"/>
      <c r="R71" s="342"/>
      <c r="U71" s="419">
        <f>SUM(D71:R72)</f>
        <v>3400</v>
      </c>
      <c r="V71" s="423">
        <f t="shared" ref="V71" si="41">U71/U$58</f>
        <v>5.3840063341250986E-2</v>
      </c>
    </row>
    <row r="72" spans="1:22" ht="13.5" thickBot="1" x14ac:dyDescent="0.25">
      <c r="B72" s="323"/>
      <c r="C72" s="133" t="s">
        <v>41</v>
      </c>
      <c r="D72" s="357">
        <v>20</v>
      </c>
      <c r="E72" s="358"/>
      <c r="F72" s="358"/>
      <c r="G72" s="358"/>
      <c r="H72" s="359"/>
      <c r="I72" s="183"/>
      <c r="J72" s="360">
        <v>25</v>
      </c>
      <c r="K72" s="358"/>
      <c r="L72" s="359"/>
      <c r="M72" s="183"/>
      <c r="N72" s="361">
        <v>25</v>
      </c>
      <c r="O72" s="362"/>
      <c r="P72" s="362"/>
      <c r="Q72" s="362"/>
      <c r="R72" s="363"/>
      <c r="U72" s="420"/>
      <c r="V72" s="423"/>
    </row>
    <row r="73" spans="1:22" x14ac:dyDescent="0.2">
      <c r="C73" s="129" t="s">
        <v>48</v>
      </c>
      <c r="D73" s="364">
        <f>SUM(D60,D62,D64,D66,D68,D70,D72)</f>
        <v>1030</v>
      </c>
      <c r="E73" s="365"/>
      <c r="F73" s="365"/>
      <c r="G73" s="365"/>
      <c r="H73" s="366"/>
      <c r="I73" s="183"/>
      <c r="J73" s="367">
        <f>SUM(J60,J62,J64,J66,J68,J70,J72)</f>
        <v>495</v>
      </c>
      <c r="K73" s="368"/>
      <c r="L73" s="369"/>
      <c r="M73" s="183"/>
      <c r="N73" s="367">
        <f>SUM(N60,N62,N64,N66,N68,N70,N72)</f>
        <v>500</v>
      </c>
      <c r="O73" s="368"/>
      <c r="P73" s="368"/>
      <c r="Q73" s="368"/>
      <c r="R73" s="369"/>
      <c r="S73" s="27"/>
    </row>
    <row r="74" spans="1:22" x14ac:dyDescent="0.2">
      <c r="C74" s="236" t="s">
        <v>49</v>
      </c>
      <c r="D74" s="374">
        <f>SUM(D59,D61,D63,D65,D67)</f>
        <v>18570</v>
      </c>
      <c r="E74" s="375"/>
      <c r="F74" s="375"/>
      <c r="G74" s="375"/>
      <c r="H74" s="376"/>
      <c r="I74" s="183"/>
      <c r="J74" s="377">
        <f>SUM(J59,J61,J63,J65,J67)</f>
        <v>10890</v>
      </c>
      <c r="K74" s="375"/>
      <c r="L74" s="376"/>
      <c r="M74" s="183"/>
      <c r="N74" s="377">
        <f>SUM(N59,N61,N63,N65,N67)</f>
        <v>12035</v>
      </c>
      <c r="O74" s="375"/>
      <c r="P74" s="375"/>
      <c r="Q74" s="375"/>
      <c r="R74" s="376"/>
      <c r="S74" s="27"/>
    </row>
    <row r="75" spans="1:22" x14ac:dyDescent="0.2">
      <c r="C75" s="131" t="s">
        <v>53</v>
      </c>
      <c r="D75" s="378">
        <v>1350</v>
      </c>
      <c r="E75" s="379"/>
      <c r="F75" s="379"/>
      <c r="G75" s="379"/>
      <c r="H75" s="380"/>
      <c r="I75" s="183"/>
      <c r="J75" s="381">
        <v>845</v>
      </c>
      <c r="K75" s="379"/>
      <c r="L75" s="380"/>
      <c r="M75" s="183"/>
      <c r="N75" s="381">
        <v>845</v>
      </c>
      <c r="O75" s="379"/>
      <c r="P75" s="379"/>
      <c r="Q75" s="379"/>
      <c r="R75" s="380"/>
      <c r="S75" s="27"/>
    </row>
    <row r="76" spans="1:22" ht="13.5" thickBot="1" x14ac:dyDescent="0.25">
      <c r="B76" s="1"/>
      <c r="C76" s="132" t="s">
        <v>61</v>
      </c>
      <c r="D76" s="370">
        <f>SUM(D69,D71)-D75</f>
        <v>7050</v>
      </c>
      <c r="E76" s="371"/>
      <c r="F76" s="371"/>
      <c r="G76" s="371"/>
      <c r="H76" s="372"/>
      <c r="I76" s="183"/>
      <c r="J76" s="373">
        <f>SUM(J69,J71)-J75</f>
        <v>4770</v>
      </c>
      <c r="K76" s="371"/>
      <c r="L76" s="372"/>
      <c r="M76" s="183"/>
      <c r="N76" s="373">
        <f>SUM(N69,N71)-N75</f>
        <v>4770</v>
      </c>
      <c r="O76" s="371"/>
      <c r="P76" s="371"/>
      <c r="Q76" s="371"/>
      <c r="R76" s="372"/>
      <c r="S76" s="27"/>
    </row>
    <row r="77" spans="1:22" x14ac:dyDescent="0.2">
      <c r="A77" s="1"/>
      <c r="B77" s="1"/>
      <c r="C77" s="65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1"/>
    </row>
  </sheetData>
  <mergeCells count="79">
    <mergeCell ref="V71:V72"/>
    <mergeCell ref="V59:V60"/>
    <mergeCell ref="V61:V62"/>
    <mergeCell ref="V63:V64"/>
    <mergeCell ref="V65:V66"/>
    <mergeCell ref="V67:V68"/>
    <mergeCell ref="V69:V70"/>
    <mergeCell ref="D75:H75"/>
    <mergeCell ref="J75:L75"/>
    <mergeCell ref="N75:R75"/>
    <mergeCell ref="D76:H76"/>
    <mergeCell ref="J76:L76"/>
    <mergeCell ref="N76:R76"/>
    <mergeCell ref="D73:H73"/>
    <mergeCell ref="J73:L73"/>
    <mergeCell ref="N73:R73"/>
    <mergeCell ref="D74:H74"/>
    <mergeCell ref="J74:L74"/>
    <mergeCell ref="N74:R74"/>
    <mergeCell ref="D71:H71"/>
    <mergeCell ref="J71:L71"/>
    <mergeCell ref="N71:R71"/>
    <mergeCell ref="U71:U72"/>
    <mergeCell ref="D72:H72"/>
    <mergeCell ref="J72:L72"/>
    <mergeCell ref="N72:R72"/>
    <mergeCell ref="D69:H69"/>
    <mergeCell ref="J69:L69"/>
    <mergeCell ref="N69:R69"/>
    <mergeCell ref="U69:U70"/>
    <mergeCell ref="D70:H70"/>
    <mergeCell ref="J70:L70"/>
    <mergeCell ref="N70:R70"/>
    <mergeCell ref="J66:L66"/>
    <mergeCell ref="N66:R66"/>
    <mergeCell ref="D67:H67"/>
    <mergeCell ref="J67:L67"/>
    <mergeCell ref="N67:R67"/>
    <mergeCell ref="U67:U68"/>
    <mergeCell ref="D68:H68"/>
    <mergeCell ref="J68:L68"/>
    <mergeCell ref="N68:R68"/>
    <mergeCell ref="N63:R63"/>
    <mergeCell ref="U63:U64"/>
    <mergeCell ref="D64:H64"/>
    <mergeCell ref="J64:L64"/>
    <mergeCell ref="N64:R64"/>
    <mergeCell ref="D65:H65"/>
    <mergeCell ref="J65:L65"/>
    <mergeCell ref="N65:R65"/>
    <mergeCell ref="U65:U66"/>
    <mergeCell ref="D66:H66"/>
    <mergeCell ref="U59:U60"/>
    <mergeCell ref="D60:H60"/>
    <mergeCell ref="J60:L60"/>
    <mergeCell ref="N60:R60"/>
    <mergeCell ref="D61:H61"/>
    <mergeCell ref="J61:L61"/>
    <mergeCell ref="N61:R61"/>
    <mergeCell ref="U61:U62"/>
    <mergeCell ref="D62:H62"/>
    <mergeCell ref="J62:L62"/>
    <mergeCell ref="D58:H58"/>
    <mergeCell ref="J58:L58"/>
    <mergeCell ref="N58:R58"/>
    <mergeCell ref="B59:B72"/>
    <mergeCell ref="D59:H59"/>
    <mergeCell ref="J59:L59"/>
    <mergeCell ref="N59:R59"/>
    <mergeCell ref="N62:R62"/>
    <mergeCell ref="D63:H63"/>
    <mergeCell ref="J63:L63"/>
    <mergeCell ref="D2:H2"/>
    <mergeCell ref="J2:L2"/>
    <mergeCell ref="N2:R2"/>
    <mergeCell ref="D46:E46"/>
    <mergeCell ref="F46:H46"/>
    <mergeCell ref="D47:E47"/>
    <mergeCell ref="F47:H47"/>
  </mergeCells>
  <pageMargins left="0.70866141732283472" right="0.51181102362204722" top="0.78740157480314965" bottom="0.78740157480314965" header="0.31496062992125984" footer="0.31496062992125984"/>
  <pageSetup paperSize="9" scale="65" fitToHeight="2" orientation="landscape" r:id="rId1"/>
  <headerFooter>
    <oddHeader>&amp;L&amp;11N02 EP Sissach - Eptingen&amp;C&amp;12Honorarkalkulation&amp;R&amp;11INGE EPSI</oddHeader>
    <oddFooter>&amp;L&amp;8Aegerter &amp;&amp; Bosshardt / &amp;D&amp;C&amp;P von &amp;N&amp;R&amp;8&amp;F/&amp;A</oddFooter>
  </headerFooter>
  <rowBreaks count="1" manualBreakCount="1">
    <brk id="53" max="21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81"/>
  <sheetViews>
    <sheetView zoomScaleNormal="100" workbookViewId="0">
      <selection activeCell="E24" sqref="E24:E26"/>
    </sheetView>
  </sheetViews>
  <sheetFormatPr baseColWidth="10" defaultRowHeight="12.75" x14ac:dyDescent="0.2"/>
  <cols>
    <col min="1" max="1" width="3.7109375" customWidth="1"/>
    <col min="3" max="3" width="20.42578125" customWidth="1"/>
    <col min="4" max="4" width="9" customWidth="1"/>
    <col min="5" max="5" width="7.28515625" bestFit="1" customWidth="1"/>
    <col min="6" max="6" width="9.28515625" bestFit="1" customWidth="1"/>
    <col min="7" max="7" width="7.28515625" bestFit="1" customWidth="1"/>
    <col min="8" max="8" width="8.42578125" bestFit="1" customWidth="1"/>
    <col min="9" max="9" width="8.5703125" customWidth="1"/>
    <col min="10" max="10" width="9.28515625" bestFit="1" customWidth="1"/>
    <col min="11" max="12" width="8.42578125" bestFit="1" customWidth="1"/>
    <col min="13" max="13" width="7.42578125" bestFit="1" customWidth="1"/>
    <col min="14" max="16" width="8.42578125" bestFit="1" customWidth="1"/>
    <col min="17" max="17" width="7.28515625" bestFit="1" customWidth="1"/>
    <col min="18" max="18" width="9.28515625" bestFit="1" customWidth="1"/>
    <col min="19" max="19" width="7.28515625" customWidth="1"/>
    <col min="20" max="20" width="6.5703125" customWidth="1"/>
  </cols>
  <sheetData>
    <row r="1" spans="1:21" x14ac:dyDescent="0.2">
      <c r="A1" s="28" t="s">
        <v>62</v>
      </c>
      <c r="I1" s="1"/>
      <c r="M1" s="277"/>
      <c r="S1" s="116"/>
    </row>
    <row r="2" spans="1:21" x14ac:dyDescent="0.2">
      <c r="A2" s="28" t="s">
        <v>71</v>
      </c>
      <c r="B2" s="1"/>
      <c r="D2" s="315" t="s">
        <v>13</v>
      </c>
      <c r="E2" s="316"/>
      <c r="F2" s="316"/>
      <c r="G2" s="316"/>
      <c r="H2" s="317"/>
      <c r="I2" s="27"/>
      <c r="J2" s="315" t="s">
        <v>14</v>
      </c>
      <c r="K2" s="316"/>
      <c r="L2" s="317"/>
      <c r="M2" s="62"/>
      <c r="N2" s="315" t="s">
        <v>15</v>
      </c>
      <c r="O2" s="316"/>
      <c r="P2" s="316"/>
      <c r="Q2" s="316"/>
      <c r="R2" s="317"/>
      <c r="S2" s="118"/>
    </row>
    <row r="3" spans="1:21" ht="89.25" x14ac:dyDescent="0.2">
      <c r="B3" s="1"/>
      <c r="D3" s="25" t="s">
        <v>0</v>
      </c>
      <c r="E3" s="26" t="s">
        <v>1</v>
      </c>
      <c r="F3" s="26" t="s">
        <v>2</v>
      </c>
      <c r="G3" s="26" t="s">
        <v>3</v>
      </c>
      <c r="H3" s="34" t="s">
        <v>4</v>
      </c>
      <c r="I3" s="108"/>
      <c r="J3" s="48" t="s">
        <v>11</v>
      </c>
      <c r="K3" s="26" t="s">
        <v>12</v>
      </c>
      <c r="L3" s="34" t="s">
        <v>5</v>
      </c>
      <c r="M3" s="108"/>
      <c r="N3" s="48" t="s">
        <v>6</v>
      </c>
      <c r="O3" s="26" t="s">
        <v>7</v>
      </c>
      <c r="P3" s="26" t="s">
        <v>8</v>
      </c>
      <c r="Q3" s="26" t="s">
        <v>9</v>
      </c>
      <c r="R3" s="34" t="s">
        <v>10</v>
      </c>
      <c r="S3" s="119"/>
    </row>
    <row r="4" spans="1:21" x14ac:dyDescent="0.2">
      <c r="B4" s="88"/>
      <c r="C4" s="89"/>
      <c r="D4" s="49"/>
      <c r="E4" s="2"/>
      <c r="F4" s="2"/>
      <c r="G4" s="2"/>
      <c r="H4" s="35"/>
      <c r="I4" s="109"/>
      <c r="J4" s="49"/>
      <c r="K4" s="2"/>
      <c r="L4" s="35"/>
      <c r="M4" s="109"/>
      <c r="N4" s="49"/>
      <c r="O4" s="2"/>
      <c r="P4" s="2"/>
      <c r="Q4" s="2"/>
      <c r="R4" s="35"/>
      <c r="S4" s="118"/>
    </row>
    <row r="5" spans="1:21" x14ac:dyDescent="0.2">
      <c r="B5" s="90" t="s">
        <v>18</v>
      </c>
      <c r="C5" s="91"/>
      <c r="D5" s="50">
        <v>9.3129625597187876E-2</v>
      </c>
      <c r="E5" s="21">
        <v>9.3129625597187876E-2</v>
      </c>
      <c r="F5" s="21">
        <v>9.3129625597187876E-2</v>
      </c>
      <c r="G5" s="21">
        <v>9.3129625597187876E-2</v>
      </c>
      <c r="H5" s="36">
        <v>9.3129625597187876E-2</v>
      </c>
      <c r="I5" s="110"/>
      <c r="J5" s="50">
        <v>9.3129625597187876E-2</v>
      </c>
      <c r="K5" s="21">
        <v>9.3129625597187876E-2</v>
      </c>
      <c r="L5" s="36">
        <v>9.3129625597187876E-2</v>
      </c>
      <c r="M5" s="110"/>
      <c r="N5" s="50">
        <v>9.3129625597187876E-2</v>
      </c>
      <c r="O5" s="21">
        <v>9.3129625597187876E-2</v>
      </c>
      <c r="P5" s="21">
        <v>9.3129625597187876E-2</v>
      </c>
      <c r="Q5" s="21">
        <v>9.3129625597187876E-2</v>
      </c>
      <c r="R5" s="125">
        <v>9.3129625597187876E-2</v>
      </c>
      <c r="S5" s="1"/>
      <c r="U5" s="126">
        <f>0.075+(7.23/(U19^(1/3)))</f>
        <v>9.3129625597187876E-2</v>
      </c>
    </row>
    <row r="6" spans="1:21" x14ac:dyDescent="0.2">
      <c r="B6" s="90" t="s">
        <v>26</v>
      </c>
      <c r="C6" s="91"/>
      <c r="D6" s="51"/>
      <c r="E6" s="3"/>
      <c r="F6" s="3"/>
      <c r="G6" s="3"/>
      <c r="H6" s="37"/>
      <c r="I6" s="109"/>
      <c r="J6" s="51"/>
      <c r="K6" s="3"/>
      <c r="L6" s="37"/>
      <c r="M6" s="109"/>
      <c r="N6" s="51"/>
      <c r="O6" s="3"/>
      <c r="P6" s="3"/>
      <c r="Q6" s="3"/>
      <c r="R6" s="37"/>
      <c r="S6" s="118"/>
    </row>
    <row r="7" spans="1:21" x14ac:dyDescent="0.2">
      <c r="B7" s="92" t="s">
        <v>34</v>
      </c>
      <c r="C7" s="91"/>
      <c r="D7" s="51">
        <v>6</v>
      </c>
      <c r="E7" s="3">
        <v>6</v>
      </c>
      <c r="F7" s="3">
        <v>6</v>
      </c>
      <c r="G7" s="3">
        <v>6</v>
      </c>
      <c r="H7" s="37">
        <v>6</v>
      </c>
      <c r="I7" s="109"/>
      <c r="J7" s="51">
        <v>6</v>
      </c>
      <c r="K7" s="3">
        <v>6</v>
      </c>
      <c r="L7" s="37">
        <v>6</v>
      </c>
      <c r="M7" s="109"/>
      <c r="N7" s="51">
        <v>6</v>
      </c>
      <c r="O7" s="3">
        <v>6</v>
      </c>
      <c r="P7" s="3">
        <v>6</v>
      </c>
      <c r="Q7" s="3">
        <v>6</v>
      </c>
      <c r="R7" s="37">
        <v>6</v>
      </c>
      <c r="S7" s="118"/>
    </row>
    <row r="8" spans="1:21" x14ac:dyDescent="0.2">
      <c r="B8" s="93" t="s">
        <v>23</v>
      </c>
      <c r="C8" s="91"/>
      <c r="D8" s="52">
        <v>24</v>
      </c>
      <c r="E8" s="5">
        <v>24</v>
      </c>
      <c r="F8" s="5">
        <v>24</v>
      </c>
      <c r="G8" s="5">
        <v>24</v>
      </c>
      <c r="H8" s="38">
        <v>24</v>
      </c>
      <c r="I8" s="111"/>
      <c r="J8" s="52">
        <v>24</v>
      </c>
      <c r="K8" s="5">
        <v>24</v>
      </c>
      <c r="L8" s="38">
        <v>24</v>
      </c>
      <c r="M8" s="111"/>
      <c r="N8" s="52">
        <v>24</v>
      </c>
      <c r="O8" s="5">
        <v>24</v>
      </c>
      <c r="P8" s="5">
        <v>24</v>
      </c>
      <c r="Q8" s="5">
        <v>24</v>
      </c>
      <c r="R8" s="38">
        <v>24</v>
      </c>
      <c r="S8" s="120"/>
    </row>
    <row r="9" spans="1:21" x14ac:dyDescent="0.2">
      <c r="B9" s="93" t="s">
        <v>24</v>
      </c>
      <c r="C9" s="91"/>
      <c r="D9" s="52">
        <v>10</v>
      </c>
      <c r="E9" s="5">
        <v>10</v>
      </c>
      <c r="F9" s="5">
        <v>10</v>
      </c>
      <c r="G9" s="5">
        <v>10</v>
      </c>
      <c r="H9" s="38">
        <v>10</v>
      </c>
      <c r="I9" s="111"/>
      <c r="J9" s="52">
        <v>10</v>
      </c>
      <c r="K9" s="5">
        <v>10</v>
      </c>
      <c r="L9" s="38">
        <v>10</v>
      </c>
      <c r="M9" s="111"/>
      <c r="N9" s="52">
        <v>10</v>
      </c>
      <c r="O9" s="5">
        <v>10</v>
      </c>
      <c r="P9" s="5">
        <v>10</v>
      </c>
      <c r="Q9" s="5">
        <v>10</v>
      </c>
      <c r="R9" s="38">
        <v>10</v>
      </c>
      <c r="S9" s="120"/>
    </row>
    <row r="10" spans="1:21" x14ac:dyDescent="0.2">
      <c r="B10" s="93" t="s">
        <v>25</v>
      </c>
      <c r="C10" s="91"/>
      <c r="D10" s="53">
        <v>15</v>
      </c>
      <c r="E10" s="6">
        <v>15</v>
      </c>
      <c r="F10" s="6">
        <v>15</v>
      </c>
      <c r="G10" s="6">
        <v>15</v>
      </c>
      <c r="H10" s="39">
        <v>15</v>
      </c>
      <c r="I10" s="111"/>
      <c r="J10" s="53">
        <v>15</v>
      </c>
      <c r="K10" s="6">
        <v>15</v>
      </c>
      <c r="L10" s="39">
        <v>15</v>
      </c>
      <c r="M10" s="111"/>
      <c r="N10" s="53">
        <v>15</v>
      </c>
      <c r="O10" s="6">
        <v>15</v>
      </c>
      <c r="P10" s="6">
        <v>15</v>
      </c>
      <c r="Q10" s="6">
        <v>15</v>
      </c>
      <c r="R10" s="39">
        <v>15</v>
      </c>
      <c r="S10" s="120"/>
    </row>
    <row r="11" spans="1:21" x14ac:dyDescent="0.2">
      <c r="B11" s="94" t="s">
        <v>47</v>
      </c>
      <c r="C11" s="95"/>
      <c r="D11" s="54">
        <v>8</v>
      </c>
      <c r="E11" s="7"/>
      <c r="F11" s="7">
        <f>0.17*30</f>
        <v>5.1000000000000005</v>
      </c>
      <c r="G11" s="7"/>
      <c r="H11" s="40"/>
      <c r="I11" s="111"/>
      <c r="J11" s="54"/>
      <c r="K11" s="7"/>
      <c r="L11" s="40"/>
      <c r="M11" s="111"/>
      <c r="N11" s="54"/>
      <c r="O11" s="7"/>
      <c r="P11" s="7"/>
      <c r="Q11" s="7"/>
      <c r="R11" s="40">
        <v>20</v>
      </c>
      <c r="S11" s="120"/>
    </row>
    <row r="12" spans="1:21" x14ac:dyDescent="0.2">
      <c r="B12" s="87" t="s">
        <v>27</v>
      </c>
      <c r="C12" s="31"/>
      <c r="D12" s="55">
        <f>SUM(D7:D11)</f>
        <v>63</v>
      </c>
      <c r="E12" s="8">
        <f t="shared" ref="E12:R12" si="0">SUM(E7:E11)</f>
        <v>55</v>
      </c>
      <c r="F12" s="8">
        <f t="shared" si="0"/>
        <v>60.1</v>
      </c>
      <c r="G12" s="8">
        <f t="shared" si="0"/>
        <v>55</v>
      </c>
      <c r="H12" s="41">
        <f t="shared" si="0"/>
        <v>55</v>
      </c>
      <c r="I12" s="112"/>
      <c r="J12" s="55">
        <f t="shared" si="0"/>
        <v>55</v>
      </c>
      <c r="K12" s="8">
        <f t="shared" si="0"/>
        <v>55</v>
      </c>
      <c r="L12" s="41">
        <f t="shared" si="0"/>
        <v>55</v>
      </c>
      <c r="M12" s="112"/>
      <c r="N12" s="55">
        <f t="shared" si="0"/>
        <v>55</v>
      </c>
      <c r="O12" s="8">
        <f t="shared" si="0"/>
        <v>55</v>
      </c>
      <c r="P12" s="8">
        <f t="shared" si="0"/>
        <v>55</v>
      </c>
      <c r="Q12" s="8">
        <f t="shared" si="0"/>
        <v>55</v>
      </c>
      <c r="R12" s="41">
        <f t="shared" si="0"/>
        <v>75</v>
      </c>
      <c r="S12" s="121"/>
    </row>
    <row r="13" spans="1:21" x14ac:dyDescent="0.2">
      <c r="B13" s="96"/>
      <c r="C13" s="89"/>
      <c r="D13" s="56"/>
      <c r="E13" s="9"/>
      <c r="F13" s="9"/>
      <c r="G13" s="9"/>
      <c r="H13" s="42"/>
      <c r="I13" s="112"/>
      <c r="J13" s="56"/>
      <c r="K13" s="9"/>
      <c r="L13" s="42"/>
      <c r="M13" s="112"/>
      <c r="N13" s="56"/>
      <c r="O13" s="9"/>
      <c r="P13" s="9"/>
      <c r="Q13" s="9"/>
      <c r="R13" s="42"/>
      <c r="S13" s="121"/>
    </row>
    <row r="14" spans="1:21" x14ac:dyDescent="0.2">
      <c r="B14" s="90" t="s">
        <v>16</v>
      </c>
      <c r="C14" s="91"/>
      <c r="D14" s="57">
        <v>1</v>
      </c>
      <c r="E14" s="4">
        <v>0.8</v>
      </c>
      <c r="F14" s="4">
        <v>0.8</v>
      </c>
      <c r="G14" s="4">
        <v>0.8</v>
      </c>
      <c r="H14" s="43">
        <v>0.8</v>
      </c>
      <c r="I14" s="109"/>
      <c r="J14" s="57">
        <v>0.8</v>
      </c>
      <c r="K14" s="4">
        <v>0.8</v>
      </c>
      <c r="L14" s="43">
        <v>0.8</v>
      </c>
      <c r="M14" s="109"/>
      <c r="N14" s="57">
        <v>0.8</v>
      </c>
      <c r="O14" s="4">
        <v>0.8</v>
      </c>
      <c r="P14" s="4">
        <v>0.8</v>
      </c>
      <c r="Q14" s="4">
        <v>0.8</v>
      </c>
      <c r="R14" s="43">
        <v>0.8</v>
      </c>
      <c r="S14" s="118"/>
    </row>
    <row r="15" spans="1:21" x14ac:dyDescent="0.2">
      <c r="B15" s="90" t="s">
        <v>74</v>
      </c>
      <c r="C15" s="91"/>
      <c r="D15" s="250">
        <v>1</v>
      </c>
      <c r="E15" s="251">
        <v>1</v>
      </c>
      <c r="F15" s="251">
        <v>0.6</v>
      </c>
      <c r="G15" s="251">
        <v>0.8</v>
      </c>
      <c r="H15" s="252">
        <v>0.8</v>
      </c>
      <c r="I15" s="109"/>
      <c r="J15" s="250">
        <v>0.6</v>
      </c>
      <c r="K15" s="251">
        <v>0.6</v>
      </c>
      <c r="L15" s="252">
        <v>0.6</v>
      </c>
      <c r="M15" s="109"/>
      <c r="N15" s="250">
        <v>0.8</v>
      </c>
      <c r="O15" s="251">
        <v>0.8</v>
      </c>
      <c r="P15" s="251">
        <v>0.7</v>
      </c>
      <c r="Q15" s="251">
        <v>0.7</v>
      </c>
      <c r="R15" s="252">
        <v>1</v>
      </c>
      <c r="S15" s="118"/>
    </row>
    <row r="16" spans="1:21" x14ac:dyDescent="0.2">
      <c r="B16" s="237" t="s">
        <v>75</v>
      </c>
      <c r="C16" s="238"/>
      <c r="D16" s="239">
        <f>D15*$H44</f>
        <v>2.673554940640698</v>
      </c>
      <c r="E16" s="239">
        <f>E15*$H44</f>
        <v>2.673554940640698</v>
      </c>
      <c r="F16" s="239">
        <f>F15*$H44</f>
        <v>1.6041329643844187</v>
      </c>
      <c r="G16" s="239">
        <f>G15*$H44</f>
        <v>2.1388439525125587</v>
      </c>
      <c r="H16" s="240">
        <f>H15*$H44</f>
        <v>2.1388439525125587</v>
      </c>
      <c r="I16" s="109"/>
      <c r="J16" s="239">
        <f>J15*$L44</f>
        <v>1.0919097823172335</v>
      </c>
      <c r="K16" s="239">
        <f>K15*$L44</f>
        <v>1.0919097823172335</v>
      </c>
      <c r="L16" s="239">
        <f>L15*$L44</f>
        <v>1.0919097823172335</v>
      </c>
      <c r="M16" s="109"/>
      <c r="N16" s="239">
        <f>N15*$R44</f>
        <v>1.1717367608091853</v>
      </c>
      <c r="O16" s="239">
        <f>O15*$R44</f>
        <v>1.1717367608091853</v>
      </c>
      <c r="P16" s="239">
        <f>P15*$R44</f>
        <v>1.0252696657080369</v>
      </c>
      <c r="Q16" s="239">
        <f>Q15*$R44</f>
        <v>1.0252696657080369</v>
      </c>
      <c r="R16" s="240">
        <f>R15*$R44</f>
        <v>1.4646709510114815</v>
      </c>
      <c r="S16" s="118"/>
    </row>
    <row r="17" spans="2:21" x14ac:dyDescent="0.2">
      <c r="B17" s="209" t="s">
        <v>64</v>
      </c>
      <c r="C17" s="210"/>
      <c r="D17" s="211">
        <v>1</v>
      </c>
      <c r="E17" s="212">
        <v>1</v>
      </c>
      <c r="F17" s="212">
        <v>15</v>
      </c>
      <c r="G17" s="212">
        <v>15</v>
      </c>
      <c r="H17" s="213">
        <v>23</v>
      </c>
      <c r="I17" s="214"/>
      <c r="J17" s="211"/>
      <c r="K17" s="212"/>
      <c r="L17" s="213"/>
      <c r="M17" s="214"/>
      <c r="N17" s="211">
        <v>8</v>
      </c>
      <c r="O17" s="212">
        <v>7</v>
      </c>
      <c r="P17" s="212">
        <v>9</v>
      </c>
      <c r="Q17" s="212">
        <v>13</v>
      </c>
      <c r="R17" s="213">
        <v>1</v>
      </c>
      <c r="S17" s="118"/>
    </row>
    <row r="18" spans="2:21" x14ac:dyDescent="0.2">
      <c r="B18" s="88"/>
      <c r="C18" s="89"/>
      <c r="D18" s="49"/>
      <c r="E18" s="2"/>
      <c r="F18" s="2"/>
      <c r="G18" s="2"/>
      <c r="H18" s="35"/>
      <c r="I18" s="109"/>
      <c r="J18" s="49"/>
      <c r="K18" s="2"/>
      <c r="L18" s="35"/>
      <c r="M18" s="109"/>
      <c r="N18" s="49"/>
      <c r="O18" s="2"/>
      <c r="P18" s="2"/>
      <c r="Q18" s="2"/>
      <c r="R18" s="35"/>
      <c r="S18" s="118"/>
    </row>
    <row r="19" spans="2:21" x14ac:dyDescent="0.2">
      <c r="B19" s="97" t="s">
        <v>28</v>
      </c>
      <c r="C19" s="91"/>
      <c r="D19" s="190">
        <v>3989280.24</v>
      </c>
      <c r="E19" s="191">
        <v>346317.12</v>
      </c>
      <c r="F19" s="191">
        <v>13574520</v>
      </c>
      <c r="G19" s="191">
        <v>851472</v>
      </c>
      <c r="H19" s="192">
        <v>3368925</v>
      </c>
      <c r="I19" s="193"/>
      <c r="J19" s="190">
        <v>20374200</v>
      </c>
      <c r="K19" s="191">
        <v>1155600</v>
      </c>
      <c r="L19" s="192">
        <v>2809080</v>
      </c>
      <c r="M19" s="193"/>
      <c r="N19" s="190">
        <v>1777680</v>
      </c>
      <c r="O19" s="191">
        <v>1229040</v>
      </c>
      <c r="P19" s="191">
        <v>1324080</v>
      </c>
      <c r="Q19" s="191">
        <v>743040</v>
      </c>
      <c r="R19" s="192">
        <v>11880000</v>
      </c>
      <c r="S19" s="122"/>
      <c r="U19" s="29">
        <f>SUM(D19:R19)</f>
        <v>63423234.359999999</v>
      </c>
    </row>
    <row r="20" spans="2:21" x14ac:dyDescent="0.2">
      <c r="B20" s="97" t="s">
        <v>29</v>
      </c>
      <c r="C20" s="91"/>
      <c r="D20" s="190">
        <f>D11*D19/100</f>
        <v>319142.4192</v>
      </c>
      <c r="E20" s="191"/>
      <c r="F20" s="191">
        <f>F11*F19/100</f>
        <v>692300.52</v>
      </c>
      <c r="G20" s="191"/>
      <c r="H20" s="192"/>
      <c r="I20" s="193"/>
      <c r="J20" s="190"/>
      <c r="K20" s="191"/>
      <c r="L20" s="192"/>
      <c r="M20" s="193"/>
      <c r="N20" s="190"/>
      <c r="O20" s="191"/>
      <c r="P20" s="191"/>
      <c r="Q20" s="191"/>
      <c r="R20" s="192">
        <v>11880000</v>
      </c>
      <c r="S20" s="122"/>
    </row>
    <row r="21" spans="2:21" x14ac:dyDescent="0.2">
      <c r="B21" s="98"/>
      <c r="C21" s="95"/>
      <c r="D21" s="52"/>
      <c r="E21" s="5"/>
      <c r="F21" s="5"/>
      <c r="G21" s="5"/>
      <c r="H21" s="38"/>
      <c r="I21" s="111"/>
      <c r="J21" s="52"/>
      <c r="K21" s="5"/>
      <c r="L21" s="38"/>
      <c r="M21" s="111"/>
      <c r="N21" s="52"/>
      <c r="O21" s="5"/>
      <c r="P21" s="5"/>
      <c r="Q21" s="5"/>
      <c r="R21" s="38"/>
      <c r="S21" s="120"/>
    </row>
    <row r="22" spans="2:21" x14ac:dyDescent="0.2">
      <c r="B22" s="99" t="s">
        <v>79</v>
      </c>
      <c r="C22" s="89"/>
      <c r="D22" s="253">
        <f>D19*D5*D14*D7*D15/(100*100)</f>
        <v>222.91210509207588</v>
      </c>
      <c r="E22" s="254">
        <f t="shared" ref="E22:R22" si="1">E19*E5*E14*E7*E15/(100*100)</f>
        <v>15.481144187278266</v>
      </c>
      <c r="F22" s="254">
        <f t="shared" si="1"/>
        <v>364.08670999532313</v>
      </c>
      <c r="G22" s="254">
        <f t="shared" si="1"/>
        <v>30.450151129531687</v>
      </c>
      <c r="H22" s="255">
        <f t="shared" si="1"/>
        <v>120.47874198336235</v>
      </c>
      <c r="I22" s="113"/>
      <c r="J22" s="253">
        <f t="shared" si="1"/>
        <v>546.46318593856074</v>
      </c>
      <c r="K22" s="254">
        <f t="shared" si="1"/>
        <v>30.994731457951765</v>
      </c>
      <c r="L22" s="255">
        <f t="shared" si="1"/>
        <v>75.343267777693967</v>
      </c>
      <c r="M22" s="113"/>
      <c r="N22" s="253">
        <f t="shared" si="1"/>
        <v>63.572994367337841</v>
      </c>
      <c r="O22" s="254">
        <f t="shared" si="1"/>
        <v>43.952653456883638</v>
      </c>
      <c r="P22" s="254">
        <f t="shared" si="1"/>
        <v>41.43252108600344</v>
      </c>
      <c r="Q22" s="254">
        <f t="shared" si="1"/>
        <v>23.250876433254785</v>
      </c>
      <c r="R22" s="255">
        <f t="shared" si="1"/>
        <v>531.06237700540419</v>
      </c>
      <c r="S22" s="122"/>
    </row>
    <row r="23" spans="2:21" x14ac:dyDescent="0.2">
      <c r="B23" s="100" t="s">
        <v>19</v>
      </c>
      <c r="C23" s="91"/>
      <c r="D23" s="256">
        <f>D19*D5*D14*D8*D15/(100*100)</f>
        <v>891.6484203683035</v>
      </c>
      <c r="E23" s="257">
        <f t="shared" ref="E23:R23" si="2">E19*E5*E14*E8*E15/(100*100)</f>
        <v>61.924576749113065</v>
      </c>
      <c r="F23" s="257">
        <f t="shared" si="2"/>
        <v>1456.3468399812925</v>
      </c>
      <c r="G23" s="257">
        <f t="shared" si="2"/>
        <v>121.80060451812675</v>
      </c>
      <c r="H23" s="258">
        <f t="shared" si="2"/>
        <v>481.91496793344942</v>
      </c>
      <c r="I23" s="113"/>
      <c r="J23" s="256">
        <f t="shared" si="2"/>
        <v>2185.852743754243</v>
      </c>
      <c r="K23" s="257">
        <f t="shared" si="2"/>
        <v>123.97892583180706</v>
      </c>
      <c r="L23" s="258">
        <f t="shared" si="2"/>
        <v>301.37307111077587</v>
      </c>
      <c r="M23" s="113"/>
      <c r="N23" s="256">
        <f t="shared" si="2"/>
        <v>254.29197746935137</v>
      </c>
      <c r="O23" s="257">
        <f t="shared" si="2"/>
        <v>175.81061382753455</v>
      </c>
      <c r="P23" s="257">
        <f t="shared" si="2"/>
        <v>165.73008434401376</v>
      </c>
      <c r="Q23" s="257">
        <f t="shared" si="2"/>
        <v>93.003505733019139</v>
      </c>
      <c r="R23" s="258">
        <f t="shared" si="2"/>
        <v>2124.2495080216167</v>
      </c>
      <c r="S23" s="122"/>
    </row>
    <row r="24" spans="2:21" x14ac:dyDescent="0.2">
      <c r="B24" s="100" t="s">
        <v>20</v>
      </c>
      <c r="C24" s="91"/>
      <c r="D24" s="259">
        <f t="shared" ref="D24:R24" si="3">D19*D5*D14*D9*D15/(100*100)</f>
        <v>371.52017515345983</v>
      </c>
      <c r="E24" s="260">
        <f t="shared" si="3"/>
        <v>25.80190697879711</v>
      </c>
      <c r="F24" s="260">
        <f t="shared" si="3"/>
        <v>606.81118332553865</v>
      </c>
      <c r="G24" s="260">
        <f t="shared" si="3"/>
        <v>50.750251882552803</v>
      </c>
      <c r="H24" s="261">
        <f t="shared" si="3"/>
        <v>200.79790330560394</v>
      </c>
      <c r="I24" s="113"/>
      <c r="J24" s="259">
        <f t="shared" si="3"/>
        <v>910.77197656426824</v>
      </c>
      <c r="K24" s="260">
        <f t="shared" si="3"/>
        <v>51.657885763252949</v>
      </c>
      <c r="L24" s="261">
        <f t="shared" si="3"/>
        <v>125.5721129628233</v>
      </c>
      <c r="M24" s="113"/>
      <c r="N24" s="259">
        <f t="shared" si="3"/>
        <v>105.95499061222972</v>
      </c>
      <c r="O24" s="260">
        <f t="shared" si="3"/>
        <v>73.254422428139392</v>
      </c>
      <c r="P24" s="260">
        <f t="shared" si="3"/>
        <v>69.054201810005736</v>
      </c>
      <c r="Q24" s="260">
        <f t="shared" si="3"/>
        <v>38.751460722091309</v>
      </c>
      <c r="R24" s="261">
        <f t="shared" si="3"/>
        <v>885.10396167567353</v>
      </c>
      <c r="S24" s="122"/>
    </row>
    <row r="25" spans="2:21" x14ac:dyDescent="0.2">
      <c r="B25" s="100" t="s">
        <v>21</v>
      </c>
      <c r="C25" s="91"/>
      <c r="D25" s="259">
        <f t="shared" ref="D25:R25" si="4">D19*D5*D14*D10*D15/(100*100)</f>
        <v>557.28026273018975</v>
      </c>
      <c r="E25" s="260">
        <f t="shared" si="4"/>
        <v>38.702860468195666</v>
      </c>
      <c r="F25" s="260">
        <f t="shared" si="4"/>
        <v>910.21677498830798</v>
      </c>
      <c r="G25" s="260">
        <f t="shared" si="4"/>
        <v>76.125377823829211</v>
      </c>
      <c r="H25" s="261">
        <f t="shared" si="4"/>
        <v>301.19685495840588</v>
      </c>
      <c r="I25" s="113"/>
      <c r="J25" s="259">
        <f t="shared" si="4"/>
        <v>1366.1579648464021</v>
      </c>
      <c r="K25" s="260">
        <f t="shared" si="4"/>
        <v>77.486828644879424</v>
      </c>
      <c r="L25" s="261">
        <f t="shared" si="4"/>
        <v>188.35816944423496</v>
      </c>
      <c r="M25" s="113"/>
      <c r="N25" s="259">
        <f t="shared" si="4"/>
        <v>158.93248591834461</v>
      </c>
      <c r="O25" s="260">
        <f t="shared" si="4"/>
        <v>109.88163364220911</v>
      </c>
      <c r="P25" s="260">
        <f t="shared" si="4"/>
        <v>103.5813027150086</v>
      </c>
      <c r="Q25" s="260">
        <f t="shared" si="4"/>
        <v>58.127191083136957</v>
      </c>
      <c r="R25" s="261">
        <f t="shared" si="4"/>
        <v>1327.6559425135104</v>
      </c>
      <c r="S25" s="122"/>
    </row>
    <row r="26" spans="2:21" x14ac:dyDescent="0.2">
      <c r="B26" s="101" t="s">
        <v>22</v>
      </c>
      <c r="C26" s="95"/>
      <c r="D26" s="259">
        <f>D20*D5*D14*D11*D15/(100*100)</f>
        <v>23.777291209821428</v>
      </c>
      <c r="E26" s="260"/>
      <c r="F26" s="260">
        <f>F20*F5*F14*F11*F15/(100*100)</f>
        <v>15.783158878297259</v>
      </c>
      <c r="G26" s="260"/>
      <c r="H26" s="261"/>
      <c r="I26" s="113"/>
      <c r="J26" s="259"/>
      <c r="K26" s="260"/>
      <c r="L26" s="261"/>
      <c r="M26" s="113"/>
      <c r="N26" s="259"/>
      <c r="O26" s="260"/>
      <c r="P26" s="260"/>
      <c r="Q26" s="260"/>
      <c r="R26" s="262">
        <f>R20*R5*R14*R11*R15/(100*100)</f>
        <v>1770.2079233513471</v>
      </c>
      <c r="S26" s="122"/>
    </row>
    <row r="27" spans="2:21" ht="13.5" thickBot="1" x14ac:dyDescent="0.25">
      <c r="B27" s="86" t="s">
        <v>76</v>
      </c>
      <c r="C27" s="30"/>
      <c r="D27" s="18">
        <f>SUM(D22:D26)</f>
        <v>2067.1382545538499</v>
      </c>
      <c r="E27" s="12">
        <f t="shared" ref="E27:R27" si="5">SUM(E22:E26)</f>
        <v>141.91048838338412</v>
      </c>
      <c r="F27" s="12">
        <f>SUM(F22:F26)</f>
        <v>3353.2446671687599</v>
      </c>
      <c r="G27" s="12">
        <f t="shared" si="5"/>
        <v>279.12638535404039</v>
      </c>
      <c r="H27" s="47">
        <f t="shared" si="5"/>
        <v>1104.3884681808217</v>
      </c>
      <c r="I27" s="113"/>
      <c r="J27" s="18">
        <f t="shared" si="5"/>
        <v>5009.2458711034742</v>
      </c>
      <c r="K27" s="12">
        <f t="shared" si="5"/>
        <v>284.11837169789118</v>
      </c>
      <c r="L27" s="47">
        <f t="shared" si="5"/>
        <v>690.64662129552812</v>
      </c>
      <c r="M27" s="113"/>
      <c r="N27" s="18">
        <f t="shared" si="5"/>
        <v>582.75244836726358</v>
      </c>
      <c r="O27" s="12">
        <f t="shared" si="5"/>
        <v>402.89932335476669</v>
      </c>
      <c r="P27" s="12">
        <f t="shared" si="5"/>
        <v>379.79810995503158</v>
      </c>
      <c r="Q27" s="12">
        <f t="shared" si="5"/>
        <v>213.13303397150219</v>
      </c>
      <c r="R27" s="47">
        <f t="shared" si="5"/>
        <v>6638.2797125675515</v>
      </c>
      <c r="S27" s="122"/>
      <c r="U27" s="117"/>
    </row>
    <row r="28" spans="2:21" ht="13.5" thickBot="1" x14ac:dyDescent="0.25">
      <c r="B28" s="67"/>
      <c r="C28" s="31"/>
      <c r="D28" s="18"/>
      <c r="E28" s="12"/>
      <c r="F28" s="12"/>
      <c r="G28" s="17"/>
      <c r="H28" s="276">
        <f>SUM(D27:H27)</f>
        <v>6945.8082636408562</v>
      </c>
      <c r="I28" s="114"/>
      <c r="J28" s="18"/>
      <c r="K28" s="17"/>
      <c r="L28" s="276">
        <f>SUM(J27:L27)</f>
        <v>5984.0108640968938</v>
      </c>
      <c r="M28" s="114"/>
      <c r="N28" s="18"/>
      <c r="O28" s="12"/>
      <c r="P28" s="12"/>
      <c r="Q28" s="17"/>
      <c r="R28" s="276">
        <f>SUM(N27:R27)</f>
        <v>8216.8626282161167</v>
      </c>
      <c r="S28" s="123"/>
      <c r="U28" s="117"/>
    </row>
    <row r="29" spans="2:21" ht="13.5" thickBot="1" x14ac:dyDescent="0.25">
      <c r="B29" s="202" t="s">
        <v>63</v>
      </c>
      <c r="C29" s="203"/>
      <c r="D29" s="204">
        <f>D27/$H28</f>
        <v>0.29760946114430992</v>
      </c>
      <c r="E29" s="205">
        <f t="shared" ref="E29:H29" si="6">E27/$H28</f>
        <v>2.043109786462741E-2</v>
      </c>
      <c r="F29" s="205">
        <f t="shared" si="6"/>
        <v>0.48277242041389939</v>
      </c>
      <c r="G29" s="205">
        <f t="shared" si="6"/>
        <v>4.0186307303525799E-2</v>
      </c>
      <c r="H29" s="206">
        <f t="shared" si="6"/>
        <v>0.15900071327363749</v>
      </c>
      <c r="I29" s="115"/>
      <c r="J29" s="204">
        <f>J27/$L28</f>
        <v>0.83710507632232867</v>
      </c>
      <c r="K29" s="205">
        <f t="shared" ref="K29:L29" si="7">K27/$L28</f>
        <v>4.7479588214412491E-2</v>
      </c>
      <c r="L29" s="206">
        <f t="shared" si="7"/>
        <v>0.1154153354632588</v>
      </c>
      <c r="M29" s="115"/>
      <c r="N29" s="204">
        <f>N27/$R28</f>
        <v>7.0921527441159052E-2</v>
      </c>
      <c r="O29" s="205">
        <f t="shared" ref="O29:R29" si="8">O27/$R28</f>
        <v>4.9033231001238763E-2</v>
      </c>
      <c r="P29" s="205">
        <f t="shared" si="8"/>
        <v>4.622179135024506E-2</v>
      </c>
      <c r="Q29" s="205">
        <f t="shared" si="8"/>
        <v>2.5938493025259864E-2</v>
      </c>
      <c r="R29" s="206">
        <f t="shared" si="8"/>
        <v>0.80788495718209707</v>
      </c>
      <c r="S29" s="124"/>
      <c r="U29" s="64"/>
    </row>
    <row r="30" spans="2:21" ht="13.5" thickBot="1" x14ac:dyDescent="0.25">
      <c r="H30" s="20">
        <f>SUM(D29:H29)</f>
        <v>1</v>
      </c>
      <c r="I30" s="32"/>
      <c r="L30" s="20">
        <f>SUM(J29:L29)</f>
        <v>0.99999999999999989</v>
      </c>
      <c r="M30" s="32"/>
      <c r="R30" s="20">
        <f>SUM(N29:R29)</f>
        <v>0.99999999999999978</v>
      </c>
      <c r="S30" s="32"/>
    </row>
    <row r="31" spans="2:21" x14ac:dyDescent="0.2">
      <c r="I31" s="1"/>
      <c r="M31" s="1"/>
    </row>
    <row r="32" spans="2:21" x14ac:dyDescent="0.2">
      <c r="B32" s="99" t="s">
        <v>79</v>
      </c>
      <c r="C32" s="89"/>
      <c r="D32" s="241">
        <f>D19*D5*D14*D7*D16/(100*100)</f>
        <v>595.96775989753803</v>
      </c>
      <c r="E32" s="242">
        <f t="shared" ref="E32:H32" si="9">E19*E5*E14*E7*E16/(100*100)</f>
        <v>41.389689528668832</v>
      </c>
      <c r="F32" s="242">
        <f t="shared" si="9"/>
        <v>973.40582232961322</v>
      </c>
      <c r="G32" s="242">
        <f t="shared" si="9"/>
        <v>81.410151995615365</v>
      </c>
      <c r="H32" s="243">
        <f t="shared" si="9"/>
        <v>322.10653587179434</v>
      </c>
      <c r="I32" s="113"/>
      <c r="J32" s="241">
        <f t="shared" ref="J32:L32" si="10">J19*J5*J14*J7*J16/(100*100)</f>
        <v>994.48083067092637</v>
      </c>
      <c r="K32" s="241">
        <f t="shared" si="10"/>
        <v>56.405750798722039</v>
      </c>
      <c r="L32" s="241">
        <f t="shared" si="10"/>
        <v>137.11341853035142</v>
      </c>
      <c r="M32" s="113"/>
      <c r="N32" s="241">
        <f t="shared" ref="N32:R32" si="11">N19*N5*N14*N7*N16/(100*100)</f>
        <v>93.113518118656287</v>
      </c>
      <c r="O32" s="241">
        <f t="shared" si="11"/>
        <v>64.376174738171841</v>
      </c>
      <c r="P32" s="241">
        <f t="shared" si="11"/>
        <v>60.685010061839911</v>
      </c>
      <c r="Q32" s="241">
        <f t="shared" si="11"/>
        <v>34.054883297345732</v>
      </c>
      <c r="R32" s="241">
        <f t="shared" si="11"/>
        <v>777.83163677492314</v>
      </c>
      <c r="S32" s="283">
        <f>SUM(D32:R32)</f>
        <v>4232.3411826141664</v>
      </c>
    </row>
    <row r="33" spans="2:21" x14ac:dyDescent="0.2">
      <c r="B33" s="100" t="s">
        <v>19</v>
      </c>
      <c r="C33" s="91"/>
      <c r="D33" s="244">
        <f>D19*D5*D14*D8*D16/(100*100)</f>
        <v>2383.8710395901521</v>
      </c>
      <c r="E33" s="245">
        <f t="shared" ref="E33:H33" si="12">E19*E5*E14*E8*E16/(100*100)</f>
        <v>165.55875811467533</v>
      </c>
      <c r="F33" s="245">
        <f t="shared" si="12"/>
        <v>3893.6232893184529</v>
      </c>
      <c r="G33" s="245">
        <f t="shared" si="12"/>
        <v>325.64060798246146</v>
      </c>
      <c r="H33" s="246">
        <f t="shared" si="12"/>
        <v>1288.4261434871773</v>
      </c>
      <c r="I33" s="113"/>
      <c r="J33" s="244">
        <f t="shared" ref="J33:L33" si="13">J19*J5*J14*J8*J16/(100*100)</f>
        <v>3977.9233226837055</v>
      </c>
      <c r="K33" s="244">
        <f t="shared" si="13"/>
        <v>225.62300319488816</v>
      </c>
      <c r="L33" s="244">
        <f t="shared" si="13"/>
        <v>548.4536741214057</v>
      </c>
      <c r="M33" s="113"/>
      <c r="N33" s="244">
        <f t="shared" ref="N33:R33" si="14">N19*N5*N14*N8*N16/(100*100)</f>
        <v>372.45407247462515</v>
      </c>
      <c r="O33" s="244">
        <f t="shared" si="14"/>
        <v>257.50469895268736</v>
      </c>
      <c r="P33" s="244">
        <f t="shared" si="14"/>
        <v>242.74004024735964</v>
      </c>
      <c r="Q33" s="244">
        <f t="shared" si="14"/>
        <v>136.21953318938293</v>
      </c>
      <c r="R33" s="244">
        <f t="shared" si="14"/>
        <v>3111.3265470996926</v>
      </c>
      <c r="S33" s="122"/>
    </row>
    <row r="34" spans="2:21" x14ac:dyDescent="0.2">
      <c r="B34" s="100" t="s">
        <v>20</v>
      </c>
      <c r="C34" s="91"/>
      <c r="D34" s="247">
        <f>D19*D5*D14*D9*D16/(100*100)</f>
        <v>993.27959982923005</v>
      </c>
      <c r="E34" s="248">
        <f t="shared" ref="E34:H34" si="15">E19*E5*E14*E9*E16/(100*100)</f>
        <v>68.982815881114718</v>
      </c>
      <c r="F34" s="248">
        <f t="shared" si="15"/>
        <v>1622.3430372160219</v>
      </c>
      <c r="G34" s="248">
        <f t="shared" si="15"/>
        <v>135.68358665935895</v>
      </c>
      <c r="H34" s="249">
        <f t="shared" si="15"/>
        <v>536.8442264529906</v>
      </c>
      <c r="I34" s="113"/>
      <c r="J34" s="247">
        <f t="shared" ref="J34:L34" si="16">J19*J5*J14*J9*J16/(100*100)</f>
        <v>1657.468051118211</v>
      </c>
      <c r="K34" s="247">
        <f t="shared" si="16"/>
        <v>94.009584664536732</v>
      </c>
      <c r="L34" s="247">
        <f t="shared" si="16"/>
        <v>228.52236421725237</v>
      </c>
      <c r="M34" s="113"/>
      <c r="N34" s="247">
        <f t="shared" ref="N34:R34" si="17">N19*N5*N14*N9*N16/(100*100)</f>
        <v>155.18919686442712</v>
      </c>
      <c r="O34" s="247">
        <f t="shared" si="17"/>
        <v>107.29362456361973</v>
      </c>
      <c r="P34" s="247">
        <f t="shared" si="17"/>
        <v>101.14168343639986</v>
      </c>
      <c r="Q34" s="247">
        <f t="shared" si="17"/>
        <v>56.758138828909551</v>
      </c>
      <c r="R34" s="247">
        <f t="shared" si="17"/>
        <v>1296.3860612915385</v>
      </c>
      <c r="S34" s="122"/>
    </row>
    <row r="35" spans="2:21" x14ac:dyDescent="0.2">
      <c r="B35" s="100" t="s">
        <v>21</v>
      </c>
      <c r="C35" s="91"/>
      <c r="D35" s="247">
        <f>D19*D5*D14*D10*D16/(100*100)</f>
        <v>1489.9193997438451</v>
      </c>
      <c r="E35" s="248">
        <f t="shared" ref="E35:H35" si="18">E19*E5*E14*E10*E16/(100*100)</f>
        <v>103.47422382167207</v>
      </c>
      <c r="F35" s="248">
        <f t="shared" si="18"/>
        <v>2433.5145558240333</v>
      </c>
      <c r="G35" s="248">
        <f t="shared" si="18"/>
        <v>203.52537998903841</v>
      </c>
      <c r="H35" s="249">
        <f t="shared" si="18"/>
        <v>805.2663396794859</v>
      </c>
      <c r="I35" s="113"/>
      <c r="J35" s="247">
        <f t="shared" ref="J35:L35" si="19">J19*J5*J14*J10*J16/(100*100)</f>
        <v>2486.2020766773167</v>
      </c>
      <c r="K35" s="247">
        <f t="shared" si="19"/>
        <v>141.01437699680511</v>
      </c>
      <c r="L35" s="247">
        <f t="shared" si="19"/>
        <v>342.7835463258786</v>
      </c>
      <c r="M35" s="113"/>
      <c r="N35" s="247">
        <f t="shared" ref="N35:R35" si="20">N19*N5*N14*N10*N16/(100*100)</f>
        <v>232.7837952966407</v>
      </c>
      <c r="O35" s="247">
        <f t="shared" si="20"/>
        <v>160.94043684542962</v>
      </c>
      <c r="P35" s="247">
        <f t="shared" si="20"/>
        <v>151.71252515459977</v>
      </c>
      <c r="Q35" s="247">
        <f t="shared" si="20"/>
        <v>85.137208243364299</v>
      </c>
      <c r="R35" s="247">
        <f t="shared" si="20"/>
        <v>1944.579091937308</v>
      </c>
      <c r="S35" s="122"/>
    </row>
    <row r="36" spans="2:21" x14ac:dyDescent="0.2">
      <c r="B36" s="101" t="s">
        <v>22</v>
      </c>
      <c r="C36" s="95"/>
      <c r="D36" s="247">
        <f>D20*D5*D14*D11*D16/(100*100)</f>
        <v>63.569894389070711</v>
      </c>
      <c r="E36" s="248">
        <f t="shared" ref="E36:H36" si="21">E20*E5*E14*E11*E16/(100*100)</f>
        <v>0</v>
      </c>
      <c r="F36" s="248">
        <f t="shared" si="21"/>
        <v>42.197142397988735</v>
      </c>
      <c r="G36" s="248">
        <f t="shared" si="21"/>
        <v>0</v>
      </c>
      <c r="H36" s="249">
        <f t="shared" si="21"/>
        <v>0</v>
      </c>
      <c r="I36" s="113"/>
      <c r="J36" s="247">
        <f t="shared" ref="J36:L36" si="22">J20*J5*J14*J11*J16/(100*100)</f>
        <v>0</v>
      </c>
      <c r="K36" s="247">
        <f t="shared" si="22"/>
        <v>0</v>
      </c>
      <c r="L36" s="247">
        <f t="shared" si="22"/>
        <v>0</v>
      </c>
      <c r="M36" s="113"/>
      <c r="N36" s="247">
        <f t="shared" ref="N36:R36" si="23">N20*N5*N14*N11*N16/(100*100)</f>
        <v>0</v>
      </c>
      <c r="O36" s="247">
        <f t="shared" si="23"/>
        <v>0</v>
      </c>
      <c r="P36" s="247">
        <f t="shared" si="23"/>
        <v>0</v>
      </c>
      <c r="Q36" s="247">
        <f t="shared" si="23"/>
        <v>0</v>
      </c>
      <c r="R36" s="247">
        <f t="shared" si="23"/>
        <v>2592.7721225830769</v>
      </c>
      <c r="S36" s="122"/>
    </row>
    <row r="37" spans="2:21" ht="13.5" thickBot="1" x14ac:dyDescent="0.25">
      <c r="B37" s="269" t="s">
        <v>77</v>
      </c>
      <c r="C37" s="270"/>
      <c r="D37" s="271">
        <f>SUM(D32:D36)</f>
        <v>5526.607693449836</v>
      </c>
      <c r="E37" s="272">
        <f t="shared" ref="E37" si="24">SUM(E32:E36)</f>
        <v>379.40548734613094</v>
      </c>
      <c r="F37" s="272">
        <f>SUM(F32:F36)</f>
        <v>8965.083847086109</v>
      </c>
      <c r="G37" s="272">
        <f t="shared" ref="G37:H37" si="25">SUM(G32:G36)</f>
        <v>746.25972662647428</v>
      </c>
      <c r="H37" s="273">
        <f t="shared" si="25"/>
        <v>2952.6432454914484</v>
      </c>
      <c r="I37" s="113"/>
      <c r="J37" s="274">
        <f t="shared" ref="J37:L37" si="26">SUM(J32:J36)</f>
        <v>9116.0742811501586</v>
      </c>
      <c r="K37" s="272">
        <f t="shared" si="26"/>
        <v>517.05271565495207</v>
      </c>
      <c r="L37" s="273">
        <f t="shared" si="26"/>
        <v>1256.873003194888</v>
      </c>
      <c r="M37" s="113"/>
      <c r="N37" s="274">
        <f t="shared" ref="N37:R37" si="27">SUM(N32:N36)</f>
        <v>853.54058275434932</v>
      </c>
      <c r="O37" s="272">
        <f t="shared" si="27"/>
        <v>590.11493509990851</v>
      </c>
      <c r="P37" s="272">
        <f t="shared" si="27"/>
        <v>556.27925890019924</v>
      </c>
      <c r="Q37" s="272">
        <f t="shared" si="27"/>
        <v>312.16976355900249</v>
      </c>
      <c r="R37" s="273">
        <f t="shared" si="27"/>
        <v>9722.8954596865387</v>
      </c>
      <c r="S37" s="122"/>
    </row>
    <row r="38" spans="2:21" x14ac:dyDescent="0.2">
      <c r="B38" s="280" t="s">
        <v>78</v>
      </c>
      <c r="C38" s="265"/>
      <c r="D38" s="266"/>
      <c r="E38" s="267"/>
      <c r="F38" s="267"/>
      <c r="G38" s="268"/>
      <c r="H38" s="284">
        <f>SUM(D37:H37)</f>
        <v>18570</v>
      </c>
      <c r="I38" s="114"/>
      <c r="J38" s="266"/>
      <c r="K38" s="268"/>
      <c r="L38" s="284">
        <f>SUM(J37:L37)</f>
        <v>10890</v>
      </c>
      <c r="M38" s="123"/>
      <c r="N38" s="275"/>
      <c r="O38" s="267"/>
      <c r="P38" s="267"/>
      <c r="Q38" s="268"/>
      <c r="R38" s="284">
        <f>SUM(N37:R37)</f>
        <v>12034.999999999998</v>
      </c>
      <c r="S38" s="123"/>
    </row>
    <row r="39" spans="2:21" x14ac:dyDescent="0.2">
      <c r="B39" s="87" t="s">
        <v>32</v>
      </c>
      <c r="C39" s="31"/>
      <c r="D39" s="18"/>
      <c r="E39" s="12"/>
      <c r="F39" s="12"/>
      <c r="G39" s="17"/>
      <c r="H39" s="285">
        <f>D77</f>
        <v>1030</v>
      </c>
      <c r="I39" s="123"/>
      <c r="J39" s="263"/>
      <c r="K39" s="17"/>
      <c r="L39" s="285">
        <f>J77</f>
        <v>495</v>
      </c>
      <c r="M39" s="123"/>
      <c r="N39" s="263"/>
      <c r="O39" s="12"/>
      <c r="P39" s="12"/>
      <c r="Q39" s="17"/>
      <c r="R39" s="285">
        <f>N77</f>
        <v>500</v>
      </c>
      <c r="S39" s="123"/>
    </row>
    <row r="40" spans="2:21" ht="13.5" thickBot="1" x14ac:dyDescent="0.25">
      <c r="B40" s="87" t="s">
        <v>54</v>
      </c>
      <c r="C40" s="31"/>
      <c r="D40" s="18"/>
      <c r="E40" s="12"/>
      <c r="F40" s="12"/>
      <c r="G40" s="17"/>
      <c r="H40" s="285">
        <f>D79</f>
        <v>1350</v>
      </c>
      <c r="I40" s="123"/>
      <c r="J40" s="263"/>
      <c r="K40" s="17"/>
      <c r="L40" s="285">
        <f>J79</f>
        <v>845</v>
      </c>
      <c r="M40" s="123"/>
      <c r="N40" s="263"/>
      <c r="O40" s="12"/>
      <c r="P40" s="12"/>
      <c r="Q40" s="17"/>
      <c r="R40" s="285">
        <f>N79</f>
        <v>845</v>
      </c>
      <c r="S40" s="123"/>
    </row>
    <row r="41" spans="2:21" ht="13.5" thickBot="1" x14ac:dyDescent="0.25">
      <c r="B41" s="87" t="s">
        <v>33</v>
      </c>
      <c r="C41" s="31"/>
      <c r="D41" s="18"/>
      <c r="E41" s="12"/>
      <c r="F41" s="12"/>
      <c r="G41" s="17"/>
      <c r="H41" s="286">
        <f>D80</f>
        <v>7050</v>
      </c>
      <c r="I41" s="123"/>
      <c r="J41" s="263"/>
      <c r="K41" s="17"/>
      <c r="L41" s="286">
        <f>J80</f>
        <v>4770</v>
      </c>
      <c r="M41" s="123"/>
      <c r="N41" s="263"/>
      <c r="O41" s="12"/>
      <c r="P41" s="12"/>
      <c r="Q41" s="17"/>
      <c r="R41" s="286">
        <f>N80</f>
        <v>4770</v>
      </c>
      <c r="S41" s="123"/>
      <c r="U41" s="264">
        <f>SUM(D38:R41)</f>
        <v>63150</v>
      </c>
    </row>
    <row r="42" spans="2:21" s="116" customFormat="1" ht="13.5" thickBot="1" x14ac:dyDescent="0.25">
      <c r="B42" s="65"/>
      <c r="C42" s="277"/>
      <c r="D42" s="123"/>
      <c r="E42" s="123"/>
      <c r="F42" s="123"/>
      <c r="G42" s="123"/>
      <c r="H42" s="281">
        <f>SUM(H38:H41)</f>
        <v>28000</v>
      </c>
      <c r="I42" s="123"/>
      <c r="J42" s="123"/>
      <c r="K42" s="123"/>
      <c r="L42" s="281">
        <f>SUM(L38:L41)</f>
        <v>17000</v>
      </c>
      <c r="M42" s="123"/>
      <c r="N42" s="123"/>
      <c r="O42" s="123"/>
      <c r="P42" s="123"/>
      <c r="Q42" s="123"/>
      <c r="R42" s="281">
        <f>SUM(R38:R41)</f>
        <v>18150</v>
      </c>
      <c r="S42" s="123"/>
      <c r="U42" s="278"/>
    </row>
    <row r="43" spans="2:21" x14ac:dyDescent="0.2">
      <c r="I43" s="1"/>
      <c r="M43" s="1"/>
    </row>
    <row r="44" spans="2:21" x14ac:dyDescent="0.2">
      <c r="B44" s="279" t="s">
        <v>73</v>
      </c>
      <c r="C44" s="31"/>
      <c r="H44" s="282">
        <f>D78/H28</f>
        <v>2.673554940640698</v>
      </c>
      <c r="L44" s="282">
        <f>J78/L28</f>
        <v>1.8198496371953892</v>
      </c>
      <c r="R44" s="282">
        <f>N78/R28</f>
        <v>1.4646709510114815</v>
      </c>
    </row>
    <row r="45" spans="2:21" s="116" customFormat="1" x14ac:dyDescent="0.2">
      <c r="B45" s="65"/>
      <c r="C45" s="277"/>
      <c r="H45" s="287"/>
      <c r="L45" s="287"/>
      <c r="R45" s="287"/>
    </row>
    <row r="46" spans="2:21" s="116" customFormat="1" x14ac:dyDescent="0.2">
      <c r="B46" s="65"/>
      <c r="C46" s="277"/>
      <c r="H46" s="287"/>
      <c r="L46" s="287"/>
      <c r="R46" s="287"/>
    </row>
    <row r="47" spans="2:21" s="116" customFormat="1" x14ac:dyDescent="0.2">
      <c r="B47" s="289" t="s">
        <v>80</v>
      </c>
      <c r="C47" s="291"/>
      <c r="D47" s="292">
        <v>75</v>
      </c>
      <c r="E47" s="293">
        <v>75</v>
      </c>
      <c r="F47" s="293">
        <v>286</v>
      </c>
      <c r="G47" s="293">
        <v>33</v>
      </c>
      <c r="H47" s="294">
        <v>210</v>
      </c>
      <c r="I47" s="295"/>
      <c r="J47" s="296">
        <v>248</v>
      </c>
      <c r="K47" s="293">
        <v>39</v>
      </c>
      <c r="L47" s="297">
        <v>53</v>
      </c>
      <c r="M47" s="295"/>
      <c r="N47" s="296">
        <v>105</v>
      </c>
      <c r="O47" s="293">
        <v>132</v>
      </c>
      <c r="P47" s="293">
        <v>190</v>
      </c>
      <c r="Q47" s="293">
        <v>62</v>
      </c>
      <c r="R47" s="294">
        <v>86</v>
      </c>
      <c r="S47" s="295"/>
    </row>
    <row r="48" spans="2:21" s="116" customFormat="1" x14ac:dyDescent="0.2">
      <c r="B48" s="290" t="s">
        <v>81</v>
      </c>
      <c r="C48" s="298"/>
      <c r="D48" s="292">
        <f>8.5*D47</f>
        <v>637.5</v>
      </c>
      <c r="E48" s="293">
        <f t="shared" ref="E48:H48" si="28">8.5*E47</f>
        <v>637.5</v>
      </c>
      <c r="F48" s="293">
        <f t="shared" si="28"/>
        <v>2431</v>
      </c>
      <c r="G48" s="293">
        <f t="shared" si="28"/>
        <v>280.5</v>
      </c>
      <c r="H48" s="297">
        <f t="shared" si="28"/>
        <v>1785</v>
      </c>
      <c r="I48" s="295"/>
      <c r="J48" s="296">
        <f t="shared" ref="J48:L48" si="29">8.5*J47</f>
        <v>2108</v>
      </c>
      <c r="K48" s="293">
        <f t="shared" si="29"/>
        <v>331.5</v>
      </c>
      <c r="L48" s="297">
        <f t="shared" si="29"/>
        <v>450.5</v>
      </c>
      <c r="M48" s="295"/>
      <c r="N48" s="296">
        <f t="shared" ref="N48:R48" si="30">8.5*N47</f>
        <v>892.5</v>
      </c>
      <c r="O48" s="293">
        <f t="shared" si="30"/>
        <v>1122</v>
      </c>
      <c r="P48" s="293">
        <f t="shared" si="30"/>
        <v>1615</v>
      </c>
      <c r="Q48" s="293">
        <f t="shared" si="30"/>
        <v>527</v>
      </c>
      <c r="R48" s="297">
        <f t="shared" si="30"/>
        <v>731</v>
      </c>
      <c r="S48" s="299">
        <f>SUM(D48:R48)</f>
        <v>13549</v>
      </c>
    </row>
    <row r="49" spans="1:21" s="116" customFormat="1" x14ac:dyDescent="0.2">
      <c r="B49" s="65"/>
      <c r="C49" s="277"/>
      <c r="H49" s="287"/>
      <c r="L49" s="287"/>
      <c r="R49" s="287"/>
    </row>
    <row r="50" spans="1:21" s="116" customFormat="1" x14ac:dyDescent="0.2">
      <c r="B50" s="65"/>
      <c r="C50" s="277"/>
      <c r="H50" s="287"/>
      <c r="L50" s="287"/>
      <c r="R50" s="287"/>
    </row>
    <row r="51" spans="1:21" s="116" customFormat="1" x14ac:dyDescent="0.2">
      <c r="B51" s="65"/>
      <c r="C51" s="277"/>
      <c r="H51" s="287"/>
      <c r="L51" s="287"/>
      <c r="R51" s="287"/>
    </row>
    <row r="52" spans="1:21" s="116" customFormat="1" x14ac:dyDescent="0.2">
      <c r="B52" s="65"/>
      <c r="C52" s="277"/>
      <c r="H52" s="287"/>
      <c r="L52" s="287"/>
      <c r="R52" s="287"/>
    </row>
    <row r="53" spans="1:21" s="116" customFormat="1" x14ac:dyDescent="0.2">
      <c r="B53" s="65"/>
      <c r="C53" s="277"/>
      <c r="H53" s="287"/>
      <c r="L53" s="287"/>
      <c r="R53" s="287"/>
    </row>
    <row r="54" spans="1:21" s="116" customFormat="1" x14ac:dyDescent="0.2">
      <c r="B54" s="65"/>
      <c r="C54" s="277"/>
      <c r="H54" s="287"/>
      <c r="L54" s="287"/>
      <c r="R54" s="287"/>
    </row>
    <row r="55" spans="1:21" s="116" customFormat="1" x14ac:dyDescent="0.2">
      <c r="B55" s="65"/>
      <c r="C55" s="277"/>
      <c r="H55" s="287"/>
      <c r="L55" s="287"/>
      <c r="R55" s="287"/>
    </row>
    <row r="56" spans="1:21" s="116" customFormat="1" x14ac:dyDescent="0.2">
      <c r="B56" s="65"/>
      <c r="C56" s="277"/>
      <c r="H56" s="287"/>
      <c r="L56" s="287"/>
      <c r="R56" s="287"/>
    </row>
    <row r="57" spans="1:21" s="116" customFormat="1" x14ac:dyDescent="0.2">
      <c r="B57" s="65"/>
      <c r="C57" s="277"/>
      <c r="H57" s="287"/>
      <c r="L57" s="287"/>
      <c r="R57" s="287"/>
    </row>
    <row r="58" spans="1:21" s="116" customFormat="1" x14ac:dyDescent="0.2">
      <c r="B58" s="65"/>
      <c r="C58" s="277"/>
      <c r="H58" s="287"/>
      <c r="L58" s="287"/>
      <c r="R58" s="287"/>
    </row>
    <row r="59" spans="1:21" s="116" customFormat="1" x14ac:dyDescent="0.2">
      <c r="B59" s="65"/>
      <c r="C59" s="277"/>
      <c r="H59" s="287"/>
      <c r="L59" s="287"/>
      <c r="R59" s="287"/>
    </row>
    <row r="60" spans="1:21" s="116" customFormat="1" x14ac:dyDescent="0.2">
      <c r="B60" s="65"/>
      <c r="C60" s="277"/>
      <c r="H60" s="287"/>
      <c r="L60" s="287"/>
      <c r="R60" s="287"/>
    </row>
    <row r="61" spans="1:21" ht="13.5" thickBot="1" x14ac:dyDescent="0.25">
      <c r="A61" s="28" t="s">
        <v>56</v>
      </c>
      <c r="I61" s="1"/>
      <c r="M61" s="1"/>
    </row>
    <row r="62" spans="1:21" ht="13.5" thickBot="1" x14ac:dyDescent="0.25">
      <c r="B62" s="127" t="s">
        <v>50</v>
      </c>
      <c r="C62" s="128"/>
      <c r="D62" s="318">
        <f>SUM(D63:D76)</f>
        <v>28000</v>
      </c>
      <c r="E62" s="319"/>
      <c r="F62" s="319"/>
      <c r="G62" s="319"/>
      <c r="H62" s="320"/>
      <c r="I62" s="182"/>
      <c r="J62" s="321">
        <f>SUM(J63:J76)</f>
        <v>17000</v>
      </c>
      <c r="K62" s="319"/>
      <c r="L62" s="320"/>
      <c r="M62" s="182"/>
      <c r="N62" s="321">
        <f>SUM(N63:N76)</f>
        <v>18150</v>
      </c>
      <c r="O62" s="319"/>
      <c r="P62" s="319"/>
      <c r="Q62" s="319"/>
      <c r="R62" s="320"/>
      <c r="U62" s="74">
        <f>SUM(D62:R62)</f>
        <v>63150</v>
      </c>
    </row>
    <row r="63" spans="1:21" x14ac:dyDescent="0.2">
      <c r="B63" s="322" t="s">
        <v>51</v>
      </c>
      <c r="C63" s="22" t="s">
        <v>43</v>
      </c>
      <c r="D63" s="324">
        <f>4000-D64</f>
        <v>3720</v>
      </c>
      <c r="E63" s="325"/>
      <c r="F63" s="325"/>
      <c r="G63" s="325"/>
      <c r="H63" s="326"/>
      <c r="I63" s="183"/>
      <c r="J63" s="327">
        <f>2600-J64</f>
        <v>2450</v>
      </c>
      <c r="K63" s="328"/>
      <c r="L63" s="329"/>
      <c r="M63" s="184"/>
      <c r="N63" s="327">
        <f>3000-N64</f>
        <v>2880</v>
      </c>
      <c r="O63" s="328"/>
      <c r="P63" s="328"/>
      <c r="Q63" s="328"/>
      <c r="R63" s="329"/>
      <c r="S63" s="62"/>
    </row>
    <row r="64" spans="1:21" x14ac:dyDescent="0.2">
      <c r="B64" s="322"/>
      <c r="C64" s="16" t="s">
        <v>37</v>
      </c>
      <c r="D64" s="330">
        <v>280</v>
      </c>
      <c r="E64" s="331"/>
      <c r="F64" s="331"/>
      <c r="G64" s="331"/>
      <c r="H64" s="332"/>
      <c r="I64" s="183"/>
      <c r="J64" s="333">
        <v>150</v>
      </c>
      <c r="K64" s="334"/>
      <c r="L64" s="335"/>
      <c r="M64" s="184"/>
      <c r="N64" s="333">
        <v>120</v>
      </c>
      <c r="O64" s="334"/>
      <c r="P64" s="334"/>
      <c r="Q64" s="334"/>
      <c r="R64" s="335"/>
      <c r="S64" s="62"/>
    </row>
    <row r="65" spans="2:19" x14ac:dyDescent="0.2">
      <c r="B65" s="322"/>
      <c r="C65" s="16" t="s">
        <v>23</v>
      </c>
      <c r="D65" s="330">
        <f>4500-D66</f>
        <v>4280</v>
      </c>
      <c r="E65" s="331"/>
      <c r="F65" s="331"/>
      <c r="G65" s="331"/>
      <c r="H65" s="332"/>
      <c r="I65" s="183"/>
      <c r="J65" s="336">
        <f>2800-J66</f>
        <v>2710</v>
      </c>
      <c r="K65" s="331"/>
      <c r="L65" s="332"/>
      <c r="M65" s="183"/>
      <c r="N65" s="336">
        <f>3500-N66</f>
        <v>3380</v>
      </c>
      <c r="O65" s="331"/>
      <c r="P65" s="331"/>
      <c r="Q65" s="331"/>
      <c r="R65" s="332"/>
      <c r="S65" s="62"/>
    </row>
    <row r="66" spans="2:19" x14ac:dyDescent="0.2">
      <c r="B66" s="322"/>
      <c r="C66" s="16" t="s">
        <v>42</v>
      </c>
      <c r="D66" s="330">
        <v>220</v>
      </c>
      <c r="E66" s="331"/>
      <c r="F66" s="331"/>
      <c r="G66" s="331"/>
      <c r="H66" s="332"/>
      <c r="I66" s="183"/>
      <c r="J66" s="336">
        <v>90</v>
      </c>
      <c r="K66" s="331"/>
      <c r="L66" s="332"/>
      <c r="M66" s="183"/>
      <c r="N66" s="336">
        <v>120</v>
      </c>
      <c r="O66" s="331"/>
      <c r="P66" s="331"/>
      <c r="Q66" s="331"/>
      <c r="R66" s="332"/>
      <c r="S66" s="62"/>
    </row>
    <row r="67" spans="2:19" x14ac:dyDescent="0.2">
      <c r="B67" s="322"/>
      <c r="C67" s="16" t="s">
        <v>44</v>
      </c>
      <c r="D67" s="337"/>
      <c r="E67" s="338"/>
      <c r="F67" s="338"/>
      <c r="G67" s="338"/>
      <c r="H67" s="339"/>
      <c r="I67" s="184"/>
      <c r="J67" s="336">
        <f>300-J68</f>
        <v>265</v>
      </c>
      <c r="K67" s="331"/>
      <c r="L67" s="332"/>
      <c r="M67" s="183"/>
      <c r="N67" s="336">
        <f>350-N68</f>
        <v>310</v>
      </c>
      <c r="O67" s="331"/>
      <c r="P67" s="331"/>
      <c r="Q67" s="331"/>
      <c r="R67" s="332"/>
      <c r="S67" s="62"/>
    </row>
    <row r="68" spans="2:19" x14ac:dyDescent="0.2">
      <c r="B68" s="322"/>
      <c r="C68" s="16" t="s">
        <v>45</v>
      </c>
      <c r="D68" s="337"/>
      <c r="E68" s="338"/>
      <c r="F68" s="338"/>
      <c r="G68" s="338"/>
      <c r="H68" s="339"/>
      <c r="I68" s="184"/>
      <c r="J68" s="336">
        <v>35</v>
      </c>
      <c r="K68" s="331"/>
      <c r="L68" s="332"/>
      <c r="M68" s="183"/>
      <c r="N68" s="336">
        <v>40</v>
      </c>
      <c r="O68" s="331"/>
      <c r="P68" s="331"/>
      <c r="Q68" s="331"/>
      <c r="R68" s="332"/>
      <c r="S68" s="62"/>
    </row>
    <row r="69" spans="2:19" x14ac:dyDescent="0.2">
      <c r="B69" s="322"/>
      <c r="C69" s="14" t="s">
        <v>24</v>
      </c>
      <c r="D69" s="330">
        <f>2500-D70</f>
        <v>2420</v>
      </c>
      <c r="E69" s="331"/>
      <c r="F69" s="331"/>
      <c r="G69" s="331"/>
      <c r="H69" s="332"/>
      <c r="I69" s="183"/>
      <c r="J69" s="336">
        <v>1565</v>
      </c>
      <c r="K69" s="331"/>
      <c r="L69" s="332"/>
      <c r="M69" s="183"/>
      <c r="N69" s="340">
        <v>1565</v>
      </c>
      <c r="O69" s="341"/>
      <c r="P69" s="341"/>
      <c r="Q69" s="341"/>
      <c r="R69" s="342"/>
      <c r="S69" s="62"/>
    </row>
    <row r="70" spans="2:19" x14ac:dyDescent="0.2">
      <c r="B70" s="322"/>
      <c r="C70" s="14" t="s">
        <v>38</v>
      </c>
      <c r="D70" s="330">
        <v>80</v>
      </c>
      <c r="E70" s="331"/>
      <c r="F70" s="331"/>
      <c r="G70" s="331"/>
      <c r="H70" s="332"/>
      <c r="I70" s="183"/>
      <c r="J70" s="336">
        <v>35</v>
      </c>
      <c r="K70" s="331"/>
      <c r="L70" s="332"/>
      <c r="M70" s="183"/>
      <c r="N70" s="340">
        <v>35</v>
      </c>
      <c r="O70" s="341"/>
      <c r="P70" s="341"/>
      <c r="Q70" s="341"/>
      <c r="R70" s="342"/>
      <c r="S70" s="62"/>
    </row>
    <row r="71" spans="2:19" x14ac:dyDescent="0.2">
      <c r="B71" s="322"/>
      <c r="C71" s="14" t="s">
        <v>25</v>
      </c>
      <c r="D71" s="330">
        <f>8500-D72</f>
        <v>8150</v>
      </c>
      <c r="E71" s="331"/>
      <c r="F71" s="331"/>
      <c r="G71" s="331"/>
      <c r="H71" s="332"/>
      <c r="I71" s="183"/>
      <c r="J71" s="336">
        <v>3900</v>
      </c>
      <c r="K71" s="331"/>
      <c r="L71" s="332"/>
      <c r="M71" s="183"/>
      <c r="N71" s="340">
        <v>3900</v>
      </c>
      <c r="O71" s="341"/>
      <c r="P71" s="341"/>
      <c r="Q71" s="341"/>
      <c r="R71" s="342"/>
      <c r="S71" s="62"/>
    </row>
    <row r="72" spans="2:19" x14ac:dyDescent="0.2">
      <c r="B72" s="322"/>
      <c r="C72" s="15" t="s">
        <v>39</v>
      </c>
      <c r="D72" s="343">
        <v>350</v>
      </c>
      <c r="E72" s="344"/>
      <c r="F72" s="344"/>
      <c r="G72" s="344"/>
      <c r="H72" s="345"/>
      <c r="I72" s="183"/>
      <c r="J72" s="346">
        <v>100</v>
      </c>
      <c r="K72" s="344"/>
      <c r="L72" s="345"/>
      <c r="M72" s="183"/>
      <c r="N72" s="347">
        <v>100</v>
      </c>
      <c r="O72" s="348"/>
      <c r="P72" s="348"/>
      <c r="Q72" s="348"/>
      <c r="R72" s="349"/>
      <c r="S72" s="62"/>
    </row>
    <row r="73" spans="2:19" x14ac:dyDescent="0.2">
      <c r="B73" s="322"/>
      <c r="C73" s="13" t="s">
        <v>35</v>
      </c>
      <c r="D73" s="350">
        <f>7000-D74</f>
        <v>6920</v>
      </c>
      <c r="E73" s="351"/>
      <c r="F73" s="351"/>
      <c r="G73" s="351"/>
      <c r="H73" s="352"/>
      <c r="I73" s="183"/>
      <c r="J73" s="353">
        <v>4690</v>
      </c>
      <c r="K73" s="351"/>
      <c r="L73" s="352"/>
      <c r="M73" s="183"/>
      <c r="N73" s="354">
        <v>4690</v>
      </c>
      <c r="O73" s="355"/>
      <c r="P73" s="355"/>
      <c r="Q73" s="355"/>
      <c r="R73" s="356"/>
      <c r="S73" s="62"/>
    </row>
    <row r="74" spans="2:19" x14ac:dyDescent="0.2">
      <c r="B74" s="322"/>
      <c r="C74" s="14" t="s">
        <v>40</v>
      </c>
      <c r="D74" s="330">
        <v>80</v>
      </c>
      <c r="E74" s="331"/>
      <c r="F74" s="331"/>
      <c r="G74" s="331"/>
      <c r="H74" s="332"/>
      <c r="I74" s="183"/>
      <c r="J74" s="336">
        <v>60</v>
      </c>
      <c r="K74" s="331"/>
      <c r="L74" s="332"/>
      <c r="M74" s="183"/>
      <c r="N74" s="340">
        <v>60</v>
      </c>
      <c r="O74" s="341"/>
      <c r="P74" s="341"/>
      <c r="Q74" s="341"/>
      <c r="R74" s="342"/>
      <c r="S74" s="62"/>
    </row>
    <row r="75" spans="2:19" x14ac:dyDescent="0.2">
      <c r="B75" s="322"/>
      <c r="C75" s="14" t="s">
        <v>36</v>
      </c>
      <c r="D75" s="330">
        <f>1500-D76</f>
        <v>1480</v>
      </c>
      <c r="E75" s="331"/>
      <c r="F75" s="331"/>
      <c r="G75" s="331"/>
      <c r="H75" s="332"/>
      <c r="I75" s="183"/>
      <c r="J75" s="336">
        <v>925</v>
      </c>
      <c r="K75" s="331"/>
      <c r="L75" s="332"/>
      <c r="M75" s="183"/>
      <c r="N75" s="340">
        <v>925</v>
      </c>
      <c r="O75" s="341"/>
      <c r="P75" s="341"/>
      <c r="Q75" s="341"/>
      <c r="R75" s="342"/>
      <c r="S75" s="62"/>
    </row>
    <row r="76" spans="2:19" ht="13.5" thickBot="1" x14ac:dyDescent="0.25">
      <c r="B76" s="323"/>
      <c r="C76" s="133" t="s">
        <v>41</v>
      </c>
      <c r="D76" s="357">
        <v>20</v>
      </c>
      <c r="E76" s="358"/>
      <c r="F76" s="358"/>
      <c r="G76" s="358"/>
      <c r="H76" s="359"/>
      <c r="I76" s="183"/>
      <c r="J76" s="360">
        <v>25</v>
      </c>
      <c r="K76" s="358"/>
      <c r="L76" s="359"/>
      <c r="M76" s="183"/>
      <c r="N76" s="361">
        <v>25</v>
      </c>
      <c r="O76" s="362"/>
      <c r="P76" s="362"/>
      <c r="Q76" s="362"/>
      <c r="R76" s="363"/>
      <c r="S76" s="62"/>
    </row>
    <row r="77" spans="2:19" x14ac:dyDescent="0.2">
      <c r="C77" s="129" t="s">
        <v>48</v>
      </c>
      <c r="D77" s="364">
        <f>SUM(D64,D66,D68,D70,D72,D74,D76)</f>
        <v>1030</v>
      </c>
      <c r="E77" s="365"/>
      <c r="F77" s="365"/>
      <c r="G77" s="365"/>
      <c r="H77" s="366"/>
      <c r="I77" s="183"/>
      <c r="J77" s="367">
        <f>SUM(J64,J66,J68,J70,J72,J74,J76)</f>
        <v>495</v>
      </c>
      <c r="K77" s="368"/>
      <c r="L77" s="369"/>
      <c r="M77" s="183"/>
      <c r="N77" s="367">
        <f>SUM(N64,N66,N68,N70,N72,N74,N76)</f>
        <v>500</v>
      </c>
      <c r="O77" s="368"/>
      <c r="P77" s="368"/>
      <c r="Q77" s="368"/>
      <c r="R77" s="369"/>
      <c r="S77" s="27"/>
    </row>
    <row r="78" spans="2:19" x14ac:dyDescent="0.2">
      <c r="C78" s="236" t="s">
        <v>49</v>
      </c>
      <c r="D78" s="374">
        <f>SUM(D63,D65,D67,D69,D71)</f>
        <v>18570</v>
      </c>
      <c r="E78" s="375"/>
      <c r="F78" s="375"/>
      <c r="G78" s="375"/>
      <c r="H78" s="376"/>
      <c r="I78" s="183"/>
      <c r="J78" s="377">
        <f>SUM(J63,J65,J67,J69,J71)</f>
        <v>10890</v>
      </c>
      <c r="K78" s="375"/>
      <c r="L78" s="376"/>
      <c r="M78" s="183"/>
      <c r="N78" s="377">
        <f>SUM(N63,N65,N67,N69,N71)</f>
        <v>12035</v>
      </c>
      <c r="O78" s="375"/>
      <c r="P78" s="375"/>
      <c r="Q78" s="375"/>
      <c r="R78" s="376"/>
      <c r="S78" s="27"/>
    </row>
    <row r="79" spans="2:19" x14ac:dyDescent="0.2">
      <c r="C79" s="131" t="s">
        <v>53</v>
      </c>
      <c r="D79" s="378">
        <v>1350</v>
      </c>
      <c r="E79" s="379"/>
      <c r="F79" s="379"/>
      <c r="G79" s="379"/>
      <c r="H79" s="380"/>
      <c r="I79" s="183"/>
      <c r="J79" s="381">
        <v>845</v>
      </c>
      <c r="K79" s="379"/>
      <c r="L79" s="380"/>
      <c r="M79" s="183"/>
      <c r="N79" s="381">
        <v>845</v>
      </c>
      <c r="O79" s="379"/>
      <c r="P79" s="379"/>
      <c r="Q79" s="379"/>
      <c r="R79" s="380"/>
      <c r="S79" s="27"/>
    </row>
    <row r="80" spans="2:19" ht="13.5" thickBot="1" x14ac:dyDescent="0.25">
      <c r="B80" s="1"/>
      <c r="C80" s="132" t="s">
        <v>61</v>
      </c>
      <c r="D80" s="370">
        <f>SUM(D73,D75)-D79</f>
        <v>7050</v>
      </c>
      <c r="E80" s="371"/>
      <c r="F80" s="371"/>
      <c r="G80" s="371"/>
      <c r="H80" s="372"/>
      <c r="I80" s="183"/>
      <c r="J80" s="373">
        <f>SUM(J73,J75)-J79</f>
        <v>4770</v>
      </c>
      <c r="K80" s="371"/>
      <c r="L80" s="372"/>
      <c r="M80" s="183"/>
      <c r="N80" s="373">
        <f>SUM(N73,N75)-N79</f>
        <v>4770</v>
      </c>
      <c r="O80" s="371"/>
      <c r="P80" s="371"/>
      <c r="Q80" s="371"/>
      <c r="R80" s="372"/>
      <c r="S80" s="27"/>
    </row>
    <row r="81" spans="1:20" x14ac:dyDescent="0.2">
      <c r="A81" s="1"/>
      <c r="B81" s="1"/>
      <c r="C81" s="65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1"/>
    </row>
  </sheetData>
  <mergeCells count="61">
    <mergeCell ref="D80:H80"/>
    <mergeCell ref="J80:L80"/>
    <mergeCell ref="N80:R80"/>
    <mergeCell ref="D78:H78"/>
    <mergeCell ref="J78:L78"/>
    <mergeCell ref="N78:R78"/>
    <mergeCell ref="D79:H79"/>
    <mergeCell ref="J79:L79"/>
    <mergeCell ref="N79:R79"/>
    <mergeCell ref="D76:H76"/>
    <mergeCell ref="J76:L76"/>
    <mergeCell ref="N76:R76"/>
    <mergeCell ref="D77:H77"/>
    <mergeCell ref="J77:L77"/>
    <mergeCell ref="N77:R77"/>
    <mergeCell ref="D74:H74"/>
    <mergeCell ref="J74:L74"/>
    <mergeCell ref="N74:R74"/>
    <mergeCell ref="D75:H75"/>
    <mergeCell ref="J75:L75"/>
    <mergeCell ref="N75:R75"/>
    <mergeCell ref="D72:H72"/>
    <mergeCell ref="J72:L72"/>
    <mergeCell ref="N72:R72"/>
    <mergeCell ref="D73:H73"/>
    <mergeCell ref="J73:L73"/>
    <mergeCell ref="N73:R73"/>
    <mergeCell ref="D70:H70"/>
    <mergeCell ref="J70:L70"/>
    <mergeCell ref="N70:R70"/>
    <mergeCell ref="D71:H71"/>
    <mergeCell ref="J71:L71"/>
    <mergeCell ref="N71:R71"/>
    <mergeCell ref="D68:H68"/>
    <mergeCell ref="J68:L68"/>
    <mergeCell ref="N68:R68"/>
    <mergeCell ref="D69:H69"/>
    <mergeCell ref="J69:L69"/>
    <mergeCell ref="N69:R69"/>
    <mergeCell ref="B63:B76"/>
    <mergeCell ref="D63:H63"/>
    <mergeCell ref="J63:L63"/>
    <mergeCell ref="N63:R63"/>
    <mergeCell ref="D64:H64"/>
    <mergeCell ref="J64:L64"/>
    <mergeCell ref="N64:R64"/>
    <mergeCell ref="D65:H65"/>
    <mergeCell ref="J65:L65"/>
    <mergeCell ref="N65:R65"/>
    <mergeCell ref="D66:H66"/>
    <mergeCell ref="J66:L66"/>
    <mergeCell ref="N66:R66"/>
    <mergeCell ref="D67:H67"/>
    <mergeCell ref="J67:L67"/>
    <mergeCell ref="N67:R67"/>
    <mergeCell ref="D2:H2"/>
    <mergeCell ref="J2:L2"/>
    <mergeCell ref="N2:R2"/>
    <mergeCell ref="D62:H62"/>
    <mergeCell ref="J62:L62"/>
    <mergeCell ref="N62:R62"/>
  </mergeCells>
  <pageMargins left="0.70866141732283472" right="0.51181102362204722" top="0.78740157480314965" bottom="0.78740157480314965" header="0.31496062992125984" footer="0.31496062992125984"/>
  <pageSetup paperSize="9" scale="71" orientation="landscape" r:id="rId1"/>
  <headerFooter>
    <oddHeader>&amp;L&amp;11N02 EP Sissach - Eptingen&amp;C&amp;12Honorarkalkulation&amp;R&amp;11INGE EPSI</oddHeader>
    <oddFooter>&amp;L&amp;8Aegerter &amp;&amp; Bosshardt / &amp;D&amp;C&amp;P von &amp;N&amp;R&amp;8&amp;F/&amp;A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4"/>
  <sheetViews>
    <sheetView zoomScaleNormal="100" workbookViewId="0">
      <selection activeCell="D32" sqref="D32"/>
    </sheetView>
  </sheetViews>
  <sheetFormatPr baseColWidth="10" defaultRowHeight="12.75" x14ac:dyDescent="0.2"/>
  <cols>
    <col min="1" max="1" width="3.7109375" customWidth="1"/>
    <col min="3" max="3" width="20.42578125" customWidth="1"/>
    <col min="4" max="4" width="9" customWidth="1"/>
    <col min="5" max="5" width="7.28515625" bestFit="1" customWidth="1"/>
    <col min="6" max="6" width="9.28515625" bestFit="1" customWidth="1"/>
    <col min="7" max="7" width="7.28515625" bestFit="1" customWidth="1"/>
    <col min="8" max="8" width="8.42578125" customWidth="1"/>
    <col min="9" max="9" width="8.5703125" customWidth="1"/>
    <col min="10" max="10" width="9.28515625" bestFit="1" customWidth="1"/>
    <col min="11" max="12" width="8.42578125" bestFit="1" customWidth="1"/>
    <col min="13" max="13" width="7.42578125" bestFit="1" customWidth="1"/>
    <col min="14" max="16" width="8.42578125" bestFit="1" customWidth="1"/>
    <col min="17" max="17" width="7.28515625" bestFit="1" customWidth="1"/>
    <col min="18" max="18" width="9.28515625" bestFit="1" customWidth="1"/>
    <col min="19" max="19" width="7.28515625" customWidth="1"/>
    <col min="20" max="20" width="6.5703125" customWidth="1"/>
    <col min="21" max="21" width="14.42578125" bestFit="1" customWidth="1"/>
  </cols>
  <sheetData>
    <row r="1" spans="1:21" x14ac:dyDescent="0.2">
      <c r="A1" s="28" t="s">
        <v>62</v>
      </c>
      <c r="I1" s="1"/>
      <c r="M1" s="277"/>
      <c r="S1" s="116"/>
    </row>
    <row r="2" spans="1:21" x14ac:dyDescent="0.2">
      <c r="A2" s="28" t="s">
        <v>72</v>
      </c>
      <c r="B2" s="1"/>
      <c r="D2" s="315" t="s">
        <v>13</v>
      </c>
      <c r="E2" s="316"/>
      <c r="F2" s="316"/>
      <c r="G2" s="316"/>
      <c r="H2" s="317"/>
      <c r="I2" s="27"/>
      <c r="J2" s="315" t="s">
        <v>14</v>
      </c>
      <c r="K2" s="316"/>
      <c r="L2" s="317"/>
      <c r="M2" s="62"/>
      <c r="N2" s="315" t="s">
        <v>15</v>
      </c>
      <c r="O2" s="316"/>
      <c r="P2" s="316"/>
      <c r="Q2" s="316"/>
      <c r="R2" s="317"/>
      <c r="S2" s="118"/>
    </row>
    <row r="3" spans="1:21" ht="89.25" x14ac:dyDescent="0.2">
      <c r="B3" s="1"/>
      <c r="D3" s="25" t="s">
        <v>0</v>
      </c>
      <c r="E3" s="26" t="s">
        <v>1</v>
      </c>
      <c r="F3" s="26" t="s">
        <v>2</v>
      </c>
      <c r="G3" s="26" t="s">
        <v>3</v>
      </c>
      <c r="H3" s="34" t="s">
        <v>4</v>
      </c>
      <c r="I3" s="108"/>
      <c r="J3" s="48" t="s">
        <v>11</v>
      </c>
      <c r="K3" s="26" t="s">
        <v>12</v>
      </c>
      <c r="L3" s="34" t="s">
        <v>5</v>
      </c>
      <c r="M3" s="108"/>
      <c r="N3" s="48" t="s">
        <v>6</v>
      </c>
      <c r="O3" s="26" t="s">
        <v>7</v>
      </c>
      <c r="P3" s="26" t="s">
        <v>8</v>
      </c>
      <c r="Q3" s="26" t="s">
        <v>9</v>
      </c>
      <c r="R3" s="34" t="s">
        <v>10</v>
      </c>
      <c r="S3" s="119"/>
    </row>
    <row r="4" spans="1:21" x14ac:dyDescent="0.2">
      <c r="B4" s="88"/>
      <c r="C4" s="89"/>
      <c r="D4" s="49"/>
      <c r="E4" s="2"/>
      <c r="F4" s="2"/>
      <c r="G4" s="2"/>
      <c r="H4" s="35"/>
      <c r="I4" s="109"/>
      <c r="J4" s="49"/>
      <c r="K4" s="2"/>
      <c r="L4" s="35"/>
      <c r="M4" s="109"/>
      <c r="N4" s="49"/>
      <c r="O4" s="2"/>
      <c r="P4" s="2"/>
      <c r="Q4" s="2"/>
      <c r="R4" s="35"/>
      <c r="S4" s="118"/>
    </row>
    <row r="5" spans="1:21" x14ac:dyDescent="0.2">
      <c r="B5" s="90" t="s">
        <v>18</v>
      </c>
      <c r="C5" s="91"/>
      <c r="D5" s="50">
        <v>9.3129625597187876E-2</v>
      </c>
      <c r="E5" s="21">
        <v>9.3129625597187876E-2</v>
      </c>
      <c r="F5" s="21">
        <v>9.3129625597187876E-2</v>
      </c>
      <c r="G5" s="21">
        <v>9.3129625597187876E-2</v>
      </c>
      <c r="H5" s="36">
        <v>9.3129625597187876E-2</v>
      </c>
      <c r="I5" s="110"/>
      <c r="J5" s="50">
        <v>9.3129625597187876E-2</v>
      </c>
      <c r="K5" s="21">
        <v>9.3129625597187876E-2</v>
      </c>
      <c r="L5" s="36">
        <v>9.3129625597187876E-2</v>
      </c>
      <c r="M5" s="110"/>
      <c r="N5" s="50">
        <v>9.3129625597187876E-2</v>
      </c>
      <c r="O5" s="21">
        <v>9.3129625597187876E-2</v>
      </c>
      <c r="P5" s="21">
        <v>9.3129625597187876E-2</v>
      </c>
      <c r="Q5" s="21">
        <v>9.3129625597187876E-2</v>
      </c>
      <c r="R5" s="125">
        <v>9.3129625597187876E-2</v>
      </c>
      <c r="S5" s="1"/>
      <c r="U5" s="126">
        <f>0.075+(7.23/(U19^(1/3)))</f>
        <v>9.3129625597187876E-2</v>
      </c>
    </row>
    <row r="6" spans="1:21" x14ac:dyDescent="0.2">
      <c r="B6" s="90" t="s">
        <v>26</v>
      </c>
      <c r="C6" s="91"/>
      <c r="D6" s="51"/>
      <c r="E6" s="3"/>
      <c r="F6" s="3"/>
      <c r="G6" s="3"/>
      <c r="H6" s="37"/>
      <c r="I6" s="109"/>
      <c r="J6" s="51"/>
      <c r="K6" s="3"/>
      <c r="L6" s="37"/>
      <c r="M6" s="109"/>
      <c r="N6" s="51"/>
      <c r="O6" s="3"/>
      <c r="P6" s="3"/>
      <c r="Q6" s="3"/>
      <c r="R6" s="37"/>
      <c r="S6" s="118"/>
    </row>
    <row r="7" spans="1:21" x14ac:dyDescent="0.2">
      <c r="B7" s="92" t="s">
        <v>34</v>
      </c>
      <c r="C7" s="91"/>
      <c r="D7" s="51">
        <v>6</v>
      </c>
      <c r="E7" s="3">
        <v>6</v>
      </c>
      <c r="F7" s="3">
        <v>6</v>
      </c>
      <c r="G7" s="3">
        <v>6</v>
      </c>
      <c r="H7" s="37">
        <v>6</v>
      </c>
      <c r="I7" s="109"/>
      <c r="J7" s="51">
        <v>6</v>
      </c>
      <c r="K7" s="3">
        <v>6</v>
      </c>
      <c r="L7" s="37">
        <v>6</v>
      </c>
      <c r="M7" s="109"/>
      <c r="N7" s="51">
        <v>6</v>
      </c>
      <c r="O7" s="3">
        <v>6</v>
      </c>
      <c r="P7" s="3">
        <v>6</v>
      </c>
      <c r="Q7" s="3">
        <v>6</v>
      </c>
      <c r="R7" s="37">
        <v>6</v>
      </c>
      <c r="S7" s="118"/>
    </row>
    <row r="8" spans="1:21" x14ac:dyDescent="0.2">
      <c r="B8" s="93" t="s">
        <v>23</v>
      </c>
      <c r="C8" s="91"/>
      <c r="D8" s="52">
        <v>24</v>
      </c>
      <c r="E8" s="5">
        <v>24</v>
      </c>
      <c r="F8" s="5">
        <v>24</v>
      </c>
      <c r="G8" s="5">
        <v>24</v>
      </c>
      <c r="H8" s="38">
        <v>24</v>
      </c>
      <c r="I8" s="111"/>
      <c r="J8" s="52">
        <v>24</v>
      </c>
      <c r="K8" s="5">
        <v>24</v>
      </c>
      <c r="L8" s="38">
        <v>24</v>
      </c>
      <c r="M8" s="111"/>
      <c r="N8" s="52">
        <v>24</v>
      </c>
      <c r="O8" s="5">
        <v>24</v>
      </c>
      <c r="P8" s="5">
        <v>24</v>
      </c>
      <c r="Q8" s="5">
        <v>24</v>
      </c>
      <c r="R8" s="38">
        <v>24</v>
      </c>
      <c r="S8" s="120"/>
    </row>
    <row r="9" spans="1:21" x14ac:dyDescent="0.2">
      <c r="B9" s="93" t="s">
        <v>24</v>
      </c>
      <c r="C9" s="91"/>
      <c r="D9" s="52">
        <v>10</v>
      </c>
      <c r="E9" s="5">
        <v>10</v>
      </c>
      <c r="F9" s="5">
        <v>10</v>
      </c>
      <c r="G9" s="5">
        <v>10</v>
      </c>
      <c r="H9" s="38">
        <v>10</v>
      </c>
      <c r="I9" s="111"/>
      <c r="J9" s="52">
        <v>10</v>
      </c>
      <c r="K9" s="5">
        <v>10</v>
      </c>
      <c r="L9" s="38">
        <v>10</v>
      </c>
      <c r="M9" s="111"/>
      <c r="N9" s="52">
        <v>10</v>
      </c>
      <c r="O9" s="5">
        <v>10</v>
      </c>
      <c r="P9" s="5">
        <v>10</v>
      </c>
      <c r="Q9" s="5">
        <v>10</v>
      </c>
      <c r="R9" s="38">
        <v>10</v>
      </c>
      <c r="S9" s="120"/>
    </row>
    <row r="10" spans="1:21" x14ac:dyDescent="0.2">
      <c r="B10" s="93" t="s">
        <v>25</v>
      </c>
      <c r="C10" s="91"/>
      <c r="D10" s="53">
        <v>15</v>
      </c>
      <c r="E10" s="6">
        <v>15</v>
      </c>
      <c r="F10" s="6">
        <v>15</v>
      </c>
      <c r="G10" s="6">
        <v>15</v>
      </c>
      <c r="H10" s="39">
        <v>15</v>
      </c>
      <c r="I10" s="111"/>
      <c r="J10" s="53">
        <v>15</v>
      </c>
      <c r="K10" s="6">
        <v>15</v>
      </c>
      <c r="L10" s="39">
        <v>15</v>
      </c>
      <c r="M10" s="111"/>
      <c r="N10" s="53">
        <v>15</v>
      </c>
      <c r="O10" s="6">
        <v>15</v>
      </c>
      <c r="P10" s="6">
        <v>15</v>
      </c>
      <c r="Q10" s="6">
        <v>15</v>
      </c>
      <c r="R10" s="39">
        <v>15</v>
      </c>
      <c r="S10" s="120"/>
    </row>
    <row r="11" spans="1:21" x14ac:dyDescent="0.2">
      <c r="B11" s="94" t="s">
        <v>47</v>
      </c>
      <c r="C11" s="95"/>
      <c r="D11" s="54">
        <v>8</v>
      </c>
      <c r="E11" s="7"/>
      <c r="F11" s="7">
        <f>0.17*30</f>
        <v>5.1000000000000005</v>
      </c>
      <c r="G11" s="7"/>
      <c r="H11" s="40"/>
      <c r="I11" s="111"/>
      <c r="J11" s="54"/>
      <c r="K11" s="7"/>
      <c r="L11" s="40"/>
      <c r="M11" s="111"/>
      <c r="N11" s="54"/>
      <c r="O11" s="7"/>
      <c r="P11" s="7"/>
      <c r="Q11" s="7"/>
      <c r="R11" s="40">
        <v>20</v>
      </c>
      <c r="S11" s="120"/>
    </row>
    <row r="12" spans="1:21" x14ac:dyDescent="0.2">
      <c r="B12" s="87" t="s">
        <v>27</v>
      </c>
      <c r="C12" s="31"/>
      <c r="D12" s="55">
        <f>SUM(D7:D11)</f>
        <v>63</v>
      </c>
      <c r="E12" s="8">
        <f t="shared" ref="E12:R12" si="0">SUM(E7:E11)</f>
        <v>55</v>
      </c>
      <c r="F12" s="8">
        <f t="shared" si="0"/>
        <v>60.1</v>
      </c>
      <c r="G12" s="8">
        <f t="shared" si="0"/>
        <v>55</v>
      </c>
      <c r="H12" s="41">
        <f t="shared" si="0"/>
        <v>55</v>
      </c>
      <c r="I12" s="112"/>
      <c r="J12" s="55">
        <f t="shared" si="0"/>
        <v>55</v>
      </c>
      <c r="K12" s="8">
        <f t="shared" si="0"/>
        <v>55</v>
      </c>
      <c r="L12" s="41">
        <f t="shared" si="0"/>
        <v>55</v>
      </c>
      <c r="M12" s="112"/>
      <c r="N12" s="55">
        <f t="shared" si="0"/>
        <v>55</v>
      </c>
      <c r="O12" s="8">
        <f t="shared" si="0"/>
        <v>55</v>
      </c>
      <c r="P12" s="8">
        <f t="shared" si="0"/>
        <v>55</v>
      </c>
      <c r="Q12" s="8">
        <f t="shared" si="0"/>
        <v>55</v>
      </c>
      <c r="R12" s="41">
        <f t="shared" si="0"/>
        <v>75</v>
      </c>
      <c r="S12" s="121"/>
    </row>
    <row r="13" spans="1:21" x14ac:dyDescent="0.2">
      <c r="B13" s="96"/>
      <c r="C13" s="89"/>
      <c r="D13" s="56"/>
      <c r="E13" s="9"/>
      <c r="F13" s="9"/>
      <c r="G13" s="9"/>
      <c r="H13" s="42"/>
      <c r="I13" s="112"/>
      <c r="J13" s="56"/>
      <c r="K13" s="9"/>
      <c r="L13" s="42"/>
      <c r="M13" s="112"/>
      <c r="N13" s="56"/>
      <c r="O13" s="9"/>
      <c r="P13" s="9"/>
      <c r="Q13" s="9"/>
      <c r="R13" s="42"/>
      <c r="S13" s="121"/>
    </row>
    <row r="14" spans="1:21" x14ac:dyDescent="0.2">
      <c r="B14" s="90" t="s">
        <v>16</v>
      </c>
      <c r="C14" s="91"/>
      <c r="D14" s="57">
        <v>1</v>
      </c>
      <c r="E14" s="4">
        <v>0.8</v>
      </c>
      <c r="F14" s="4">
        <v>0.8</v>
      </c>
      <c r="G14" s="4">
        <v>0.8</v>
      </c>
      <c r="H14" s="43">
        <v>0.8</v>
      </c>
      <c r="I14" s="109"/>
      <c r="J14" s="57">
        <v>0.8</v>
      </c>
      <c r="K14" s="4">
        <v>0.8</v>
      </c>
      <c r="L14" s="43">
        <v>0.8</v>
      </c>
      <c r="M14" s="109"/>
      <c r="N14" s="57">
        <v>0.8</v>
      </c>
      <c r="O14" s="4">
        <v>0.8</v>
      </c>
      <c r="P14" s="4">
        <v>0.8</v>
      </c>
      <c r="Q14" s="4">
        <v>0.8</v>
      </c>
      <c r="R14" s="43">
        <v>0.8</v>
      </c>
      <c r="S14" s="118"/>
    </row>
    <row r="15" spans="1:21" x14ac:dyDescent="0.2">
      <c r="B15" s="90" t="s">
        <v>74</v>
      </c>
      <c r="C15" s="91"/>
      <c r="D15" s="250">
        <v>1</v>
      </c>
      <c r="E15" s="251">
        <v>1</v>
      </c>
      <c r="F15" s="251">
        <v>0.6</v>
      </c>
      <c r="G15" s="251">
        <v>1.5</v>
      </c>
      <c r="H15" s="252">
        <v>0.9</v>
      </c>
      <c r="I15" s="109"/>
      <c r="J15" s="250">
        <v>0.6</v>
      </c>
      <c r="K15" s="251">
        <v>0.8</v>
      </c>
      <c r="L15" s="252">
        <v>0.6</v>
      </c>
      <c r="M15" s="109"/>
      <c r="N15" s="250">
        <v>1.5</v>
      </c>
      <c r="O15" s="251">
        <v>1.5</v>
      </c>
      <c r="P15" s="251">
        <v>1.5</v>
      </c>
      <c r="Q15" s="251">
        <v>2</v>
      </c>
      <c r="R15" s="252">
        <v>1</v>
      </c>
      <c r="S15" s="118"/>
    </row>
    <row r="16" spans="1:21" x14ac:dyDescent="0.2">
      <c r="B16" s="237" t="s">
        <v>75</v>
      </c>
      <c r="C16" s="238"/>
      <c r="D16" s="239">
        <f>D15*$H46</f>
        <v>2.5340837645975594</v>
      </c>
      <c r="E16" s="239">
        <f>E15*$H46</f>
        <v>2.5340837645975594</v>
      </c>
      <c r="F16" s="239">
        <f>F15*$H46</f>
        <v>1.5204502587585356</v>
      </c>
      <c r="G16" s="239">
        <f>G15*$H46</f>
        <v>3.801125646896339</v>
      </c>
      <c r="H16" s="240">
        <f>H15*$H46</f>
        <v>2.2806753881378037</v>
      </c>
      <c r="I16" s="109"/>
      <c r="J16" s="239">
        <f>J15*$L46</f>
        <v>1.0748978794214088</v>
      </c>
      <c r="K16" s="239">
        <f>K15*$L46</f>
        <v>1.4331971725618786</v>
      </c>
      <c r="L16" s="239">
        <f>L15*$L46</f>
        <v>1.0748978794214088</v>
      </c>
      <c r="M16" s="109"/>
      <c r="N16" s="239">
        <f>N15*$R46</f>
        <v>1.8217952892298364</v>
      </c>
      <c r="O16" s="239">
        <f>O15*$R46</f>
        <v>1.8217952892298364</v>
      </c>
      <c r="P16" s="239">
        <f>P15*$R46</f>
        <v>1.8217952892298364</v>
      </c>
      <c r="Q16" s="239">
        <f>Q15*$R46</f>
        <v>2.4290603856397817</v>
      </c>
      <c r="R16" s="240">
        <f>R15*$R46</f>
        <v>1.2145301928198908</v>
      </c>
      <c r="S16" s="118"/>
    </row>
    <row r="17" spans="2:21" x14ac:dyDescent="0.2">
      <c r="B17" s="209" t="s">
        <v>64</v>
      </c>
      <c r="C17" s="210"/>
      <c r="D17" s="211">
        <v>1</v>
      </c>
      <c r="E17" s="212">
        <v>1</v>
      </c>
      <c r="F17" s="212">
        <v>15</v>
      </c>
      <c r="G17" s="212">
        <v>15</v>
      </c>
      <c r="H17" s="213">
        <v>23</v>
      </c>
      <c r="I17" s="214"/>
      <c r="J17" s="211"/>
      <c r="K17" s="212"/>
      <c r="L17" s="213"/>
      <c r="M17" s="214"/>
      <c r="N17" s="211">
        <v>8</v>
      </c>
      <c r="O17" s="212">
        <v>7</v>
      </c>
      <c r="P17" s="212">
        <v>9</v>
      </c>
      <c r="Q17" s="212">
        <v>13</v>
      </c>
      <c r="R17" s="213">
        <v>1</v>
      </c>
      <c r="S17" s="118"/>
    </row>
    <row r="18" spans="2:21" x14ac:dyDescent="0.2">
      <c r="B18" s="88"/>
      <c r="C18" s="89"/>
      <c r="D18" s="49"/>
      <c r="E18" s="2"/>
      <c r="F18" s="2"/>
      <c r="G18" s="2"/>
      <c r="H18" s="35"/>
      <c r="I18" s="109"/>
      <c r="J18" s="49"/>
      <c r="K18" s="2"/>
      <c r="L18" s="35"/>
      <c r="M18" s="109"/>
      <c r="N18" s="49"/>
      <c r="O18" s="2"/>
      <c r="P18" s="2"/>
      <c r="Q18" s="2"/>
      <c r="R18" s="35"/>
      <c r="S18" s="118"/>
    </row>
    <row r="19" spans="2:21" x14ac:dyDescent="0.2">
      <c r="B19" s="97" t="s">
        <v>28</v>
      </c>
      <c r="C19" s="91"/>
      <c r="D19" s="190">
        <v>3989280.24</v>
      </c>
      <c r="E19" s="191">
        <v>346317.12</v>
      </c>
      <c r="F19" s="191">
        <v>13574520</v>
      </c>
      <c r="G19" s="191">
        <v>851472</v>
      </c>
      <c r="H19" s="192">
        <v>3368925</v>
      </c>
      <c r="I19" s="193"/>
      <c r="J19" s="190">
        <v>20374200</v>
      </c>
      <c r="K19" s="191">
        <v>1155600</v>
      </c>
      <c r="L19" s="192">
        <v>2809080</v>
      </c>
      <c r="M19" s="193"/>
      <c r="N19" s="190">
        <v>1777680</v>
      </c>
      <c r="O19" s="191">
        <v>1229040</v>
      </c>
      <c r="P19" s="191">
        <v>1324080</v>
      </c>
      <c r="Q19" s="191">
        <v>743040</v>
      </c>
      <c r="R19" s="192">
        <v>11880000</v>
      </c>
      <c r="S19" s="122"/>
      <c r="U19" s="29">
        <f>SUM(D19:R19)</f>
        <v>63423234.359999999</v>
      </c>
    </row>
    <row r="20" spans="2:21" x14ac:dyDescent="0.2">
      <c r="B20" s="97" t="s">
        <v>29</v>
      </c>
      <c r="C20" s="91"/>
      <c r="D20" s="190">
        <f>D11*D19/100</f>
        <v>319142.4192</v>
      </c>
      <c r="E20" s="191"/>
      <c r="F20" s="191">
        <f>F11*F19/100</f>
        <v>692300.52</v>
      </c>
      <c r="G20" s="191"/>
      <c r="H20" s="192"/>
      <c r="I20" s="193"/>
      <c r="J20" s="190"/>
      <c r="K20" s="191"/>
      <c r="L20" s="192"/>
      <c r="M20" s="193"/>
      <c r="N20" s="190"/>
      <c r="O20" s="191"/>
      <c r="P20" s="191"/>
      <c r="Q20" s="191"/>
      <c r="R20" s="192">
        <v>11880000</v>
      </c>
      <c r="S20" s="122"/>
    </row>
    <row r="21" spans="2:21" x14ac:dyDescent="0.2">
      <c r="B21" s="98"/>
      <c r="C21" s="95"/>
      <c r="D21" s="52"/>
      <c r="E21" s="5"/>
      <c r="F21" s="5"/>
      <c r="G21" s="5"/>
      <c r="H21" s="38"/>
      <c r="I21" s="111"/>
      <c r="J21" s="52"/>
      <c r="K21" s="5"/>
      <c r="L21" s="38"/>
      <c r="M21" s="111"/>
      <c r="N21" s="52"/>
      <c r="O21" s="5"/>
      <c r="P21" s="5"/>
      <c r="Q21" s="5"/>
      <c r="R21" s="38"/>
      <c r="S21" s="120"/>
    </row>
    <row r="22" spans="2:21" x14ac:dyDescent="0.2">
      <c r="B22" s="99" t="s">
        <v>79</v>
      </c>
      <c r="C22" s="89"/>
      <c r="D22" s="253">
        <f>D19*D5*D14*D7*D15/(100*100)</f>
        <v>222.91210509207588</v>
      </c>
      <c r="E22" s="254">
        <f t="shared" ref="E22:R22" si="1">E19*E5*E14*E7*E15/(100*100)</f>
        <v>15.481144187278266</v>
      </c>
      <c r="F22" s="254">
        <f t="shared" si="1"/>
        <v>364.08670999532313</v>
      </c>
      <c r="G22" s="254">
        <f t="shared" si="1"/>
        <v>57.094033367871916</v>
      </c>
      <c r="H22" s="255">
        <f t="shared" si="1"/>
        <v>135.53858473128267</v>
      </c>
      <c r="I22" s="113"/>
      <c r="J22" s="253">
        <f t="shared" si="1"/>
        <v>546.46318593856074</v>
      </c>
      <c r="K22" s="254">
        <f t="shared" si="1"/>
        <v>41.326308610602361</v>
      </c>
      <c r="L22" s="255">
        <f t="shared" si="1"/>
        <v>75.343267777693967</v>
      </c>
      <c r="M22" s="113"/>
      <c r="N22" s="253">
        <f t="shared" si="1"/>
        <v>119.19936443875847</v>
      </c>
      <c r="O22" s="254">
        <f t="shared" si="1"/>
        <v>82.411225231656815</v>
      </c>
      <c r="P22" s="254">
        <f t="shared" si="1"/>
        <v>88.783973755721661</v>
      </c>
      <c r="Q22" s="254">
        <f t="shared" si="1"/>
        <v>66.431075523585108</v>
      </c>
      <c r="R22" s="255">
        <f t="shared" si="1"/>
        <v>531.06237700540419</v>
      </c>
      <c r="S22" s="122"/>
    </row>
    <row r="23" spans="2:21" x14ac:dyDescent="0.2">
      <c r="B23" s="100" t="s">
        <v>19</v>
      </c>
      <c r="C23" s="91"/>
      <c r="D23" s="256">
        <f>D19*D5*D14*D8*D15/(100*100)</f>
        <v>891.6484203683035</v>
      </c>
      <c r="E23" s="257">
        <f t="shared" ref="E23:R23" si="2">E19*E5*E14*E8*E15/(100*100)</f>
        <v>61.924576749113065</v>
      </c>
      <c r="F23" s="257">
        <f t="shared" si="2"/>
        <v>1456.3468399812925</v>
      </c>
      <c r="G23" s="257">
        <f t="shared" si="2"/>
        <v>228.37613347148766</v>
      </c>
      <c r="H23" s="258">
        <f t="shared" si="2"/>
        <v>542.15433892513067</v>
      </c>
      <c r="I23" s="113"/>
      <c r="J23" s="256">
        <f t="shared" si="2"/>
        <v>2185.852743754243</v>
      </c>
      <c r="K23" s="257">
        <f t="shared" si="2"/>
        <v>165.30523444240944</v>
      </c>
      <c r="L23" s="258">
        <f t="shared" si="2"/>
        <v>301.37307111077587</v>
      </c>
      <c r="M23" s="113"/>
      <c r="N23" s="256">
        <f t="shared" si="2"/>
        <v>476.79745775503386</v>
      </c>
      <c r="O23" s="257">
        <f t="shared" si="2"/>
        <v>329.64490092662726</v>
      </c>
      <c r="P23" s="257">
        <f t="shared" si="2"/>
        <v>355.13589502288664</v>
      </c>
      <c r="Q23" s="257">
        <f t="shared" si="2"/>
        <v>265.72430209434043</v>
      </c>
      <c r="R23" s="258">
        <f t="shared" si="2"/>
        <v>2124.2495080216167</v>
      </c>
      <c r="S23" s="122"/>
    </row>
    <row r="24" spans="2:21" x14ac:dyDescent="0.2">
      <c r="B24" s="100" t="s">
        <v>20</v>
      </c>
      <c r="C24" s="91"/>
      <c r="D24" s="259">
        <f t="shared" ref="D24:R24" si="3">D19*D5*D14*D9*D15/(100*100)</f>
        <v>371.52017515345983</v>
      </c>
      <c r="E24" s="260">
        <f t="shared" si="3"/>
        <v>25.80190697879711</v>
      </c>
      <c r="F24" s="260">
        <f t="shared" si="3"/>
        <v>606.81118332553865</v>
      </c>
      <c r="G24" s="260">
        <f t="shared" si="3"/>
        <v>95.156722279786507</v>
      </c>
      <c r="H24" s="261">
        <f t="shared" si="3"/>
        <v>225.89764121880444</v>
      </c>
      <c r="I24" s="113"/>
      <c r="J24" s="259">
        <f t="shared" si="3"/>
        <v>910.77197656426824</v>
      </c>
      <c r="K24" s="260">
        <f t="shared" si="3"/>
        <v>68.877181017670594</v>
      </c>
      <c r="L24" s="261">
        <f t="shared" si="3"/>
        <v>125.5721129628233</v>
      </c>
      <c r="M24" s="113"/>
      <c r="N24" s="259">
        <f t="shared" si="3"/>
        <v>198.66560739793076</v>
      </c>
      <c r="O24" s="260">
        <f t="shared" si="3"/>
        <v>137.35204205276136</v>
      </c>
      <c r="P24" s="260">
        <f t="shared" si="3"/>
        <v>147.97328959286943</v>
      </c>
      <c r="Q24" s="260">
        <f t="shared" si="3"/>
        <v>110.71845920597518</v>
      </c>
      <c r="R24" s="261">
        <f t="shared" si="3"/>
        <v>885.10396167567353</v>
      </c>
      <c r="S24" s="122"/>
    </row>
    <row r="25" spans="2:21" x14ac:dyDescent="0.2">
      <c r="B25" s="100" t="s">
        <v>21</v>
      </c>
      <c r="C25" s="91"/>
      <c r="D25" s="259">
        <f t="shared" ref="D25:R25" si="4">D19*D5*D14*D10*D15/(100*100)</f>
        <v>557.28026273018975</v>
      </c>
      <c r="E25" s="260">
        <f t="shared" si="4"/>
        <v>38.702860468195666</v>
      </c>
      <c r="F25" s="260">
        <f t="shared" si="4"/>
        <v>910.21677498830798</v>
      </c>
      <c r="G25" s="260">
        <f t="shared" si="4"/>
        <v>142.73508341967977</v>
      </c>
      <c r="H25" s="261">
        <f t="shared" si="4"/>
        <v>338.84646182820666</v>
      </c>
      <c r="I25" s="113"/>
      <c r="J25" s="259">
        <f t="shared" si="4"/>
        <v>1366.1579648464021</v>
      </c>
      <c r="K25" s="260">
        <f t="shared" si="4"/>
        <v>103.3157715265059</v>
      </c>
      <c r="L25" s="261">
        <f t="shared" si="4"/>
        <v>188.35816944423496</v>
      </c>
      <c r="M25" s="113"/>
      <c r="N25" s="259">
        <f t="shared" si="4"/>
        <v>297.99841109689612</v>
      </c>
      <c r="O25" s="260">
        <f t="shared" si="4"/>
        <v>206.02806307914207</v>
      </c>
      <c r="P25" s="260">
        <f t="shared" si="4"/>
        <v>221.95993438930418</v>
      </c>
      <c r="Q25" s="260">
        <f t="shared" si="4"/>
        <v>166.07768880896276</v>
      </c>
      <c r="R25" s="261">
        <f t="shared" si="4"/>
        <v>1327.6559425135104</v>
      </c>
      <c r="S25" s="122"/>
    </row>
    <row r="26" spans="2:21" x14ac:dyDescent="0.2">
      <c r="B26" s="101" t="s">
        <v>22</v>
      </c>
      <c r="C26" s="95"/>
      <c r="D26" s="259">
        <f>D20*D5*D14*D11*D15/(100*100)</f>
        <v>23.777291209821428</v>
      </c>
      <c r="E26" s="260"/>
      <c r="F26" s="260">
        <f>F20*F5*F14*F11*F15/(100*100)</f>
        <v>15.783158878297259</v>
      </c>
      <c r="G26" s="260"/>
      <c r="H26" s="261"/>
      <c r="I26" s="113"/>
      <c r="J26" s="259"/>
      <c r="K26" s="260"/>
      <c r="L26" s="261"/>
      <c r="M26" s="113"/>
      <c r="N26" s="259"/>
      <c r="O26" s="260"/>
      <c r="P26" s="260"/>
      <c r="Q26" s="260"/>
      <c r="R26" s="262">
        <f>R20*R5*R14*R11*R15/(100*100)</f>
        <v>1770.2079233513471</v>
      </c>
      <c r="S26" s="122"/>
    </row>
    <row r="27" spans="2:21" ht="13.5" thickBot="1" x14ac:dyDescent="0.25">
      <c r="B27" s="86" t="s">
        <v>76</v>
      </c>
      <c r="C27" s="30"/>
      <c r="D27" s="18">
        <f>SUM(D22:D26)</f>
        <v>2067.1382545538499</v>
      </c>
      <c r="E27" s="12">
        <f t="shared" ref="E27:R27" si="5">SUM(E22:E26)</f>
        <v>141.91048838338412</v>
      </c>
      <c r="F27" s="12">
        <f>SUM(F22:F26)</f>
        <v>3353.2446671687599</v>
      </c>
      <c r="G27" s="12">
        <f t="shared" si="5"/>
        <v>523.36197253882585</v>
      </c>
      <c r="H27" s="47">
        <f t="shared" si="5"/>
        <v>1242.4370267034244</v>
      </c>
      <c r="I27" s="113"/>
      <c r="J27" s="18">
        <f t="shared" si="5"/>
        <v>5009.2458711034742</v>
      </c>
      <c r="K27" s="12">
        <f t="shared" si="5"/>
        <v>378.82449559718827</v>
      </c>
      <c r="L27" s="47">
        <f t="shared" si="5"/>
        <v>690.64662129552812</v>
      </c>
      <c r="M27" s="113"/>
      <c r="N27" s="18">
        <f t="shared" si="5"/>
        <v>1092.6608406886194</v>
      </c>
      <c r="O27" s="12">
        <f t="shared" si="5"/>
        <v>755.43623129018749</v>
      </c>
      <c r="P27" s="12">
        <f t="shared" si="5"/>
        <v>813.85309276078192</v>
      </c>
      <c r="Q27" s="12">
        <f t="shared" si="5"/>
        <v>608.95152563286342</v>
      </c>
      <c r="R27" s="47">
        <f t="shared" si="5"/>
        <v>6638.2797125675515</v>
      </c>
      <c r="S27" s="122"/>
      <c r="U27" s="117"/>
    </row>
    <row r="28" spans="2:21" ht="13.5" thickBot="1" x14ac:dyDescent="0.25">
      <c r="B28" s="67"/>
      <c r="C28" s="31"/>
      <c r="D28" s="18"/>
      <c r="E28" s="12"/>
      <c r="F28" s="12"/>
      <c r="G28" s="17"/>
      <c r="H28" s="276">
        <f>SUM(D27:H27)</f>
        <v>7328.0924093482454</v>
      </c>
      <c r="I28" s="114"/>
      <c r="J28" s="18"/>
      <c r="K28" s="17"/>
      <c r="L28" s="276">
        <f>SUM(J27:L27)</f>
        <v>6078.7169879961912</v>
      </c>
      <c r="M28" s="114"/>
      <c r="N28" s="18"/>
      <c r="O28" s="12"/>
      <c r="P28" s="12"/>
      <c r="Q28" s="17"/>
      <c r="R28" s="276">
        <f>SUM(N27:R27)</f>
        <v>9909.1814029400048</v>
      </c>
      <c r="S28" s="123"/>
      <c r="U28" s="117"/>
    </row>
    <row r="29" spans="2:21" ht="13.5" thickBot="1" x14ac:dyDescent="0.25">
      <c r="B29" s="202" t="s">
        <v>63</v>
      </c>
      <c r="C29" s="203"/>
      <c r="D29" s="204">
        <f>D27/$H28</f>
        <v>0.28208408670131652</v>
      </c>
      <c r="E29" s="205">
        <f t="shared" ref="E29:H29" si="6">E27/$H28</f>
        <v>1.9365270039765441E-2</v>
      </c>
      <c r="F29" s="205">
        <f t="shared" si="6"/>
        <v>0.45758766127063549</v>
      </c>
      <c r="G29" s="205">
        <f t="shared" si="6"/>
        <v>7.141858253195435E-2</v>
      </c>
      <c r="H29" s="206">
        <f t="shared" si="6"/>
        <v>0.16954439945632804</v>
      </c>
      <c r="I29" s="115"/>
      <c r="J29" s="204">
        <f>J27/$L28</f>
        <v>0.82406301872506471</v>
      </c>
      <c r="K29" s="205">
        <f t="shared" ref="K29:L29" si="7">K27/$L28</f>
        <v>6.2319811293281686E-2</v>
      </c>
      <c r="L29" s="206">
        <f t="shared" si="7"/>
        <v>0.11361716998165351</v>
      </c>
      <c r="M29" s="115"/>
      <c r="N29" s="204">
        <f>N27/$R28</f>
        <v>0.11026751819927652</v>
      </c>
      <c r="O29" s="205">
        <f t="shared" ref="O29:R29" si="8">O27/$R28</f>
        <v>7.623598767361886E-2</v>
      </c>
      <c r="P29" s="205">
        <f t="shared" si="8"/>
        <v>8.2131213433969008E-2</v>
      </c>
      <c r="Q29" s="205">
        <f t="shared" si="8"/>
        <v>6.1453262471528734E-2</v>
      </c>
      <c r="R29" s="206">
        <f t="shared" si="8"/>
        <v>0.66991201822160673</v>
      </c>
      <c r="S29" s="124"/>
      <c r="U29" s="64"/>
    </row>
    <row r="30" spans="2:21" ht="13.5" thickBot="1" x14ac:dyDescent="0.25">
      <c r="H30" s="20">
        <f>SUM(D29:H29)</f>
        <v>0.99999999999999978</v>
      </c>
      <c r="I30" s="32"/>
      <c r="L30" s="20">
        <f>SUM(J29:L29)</f>
        <v>0.99999999999999989</v>
      </c>
      <c r="M30" s="32"/>
      <c r="R30" s="20">
        <f>SUM(N29:R29)</f>
        <v>0.99999999999999978</v>
      </c>
      <c r="S30" s="32"/>
    </row>
    <row r="31" spans="2:21" x14ac:dyDescent="0.2">
      <c r="I31" s="1"/>
      <c r="M31" s="1"/>
    </row>
    <row r="32" spans="2:21" x14ac:dyDescent="0.2">
      <c r="B32" s="23" t="s">
        <v>79</v>
      </c>
      <c r="C32" s="31"/>
      <c r="D32" s="310">
        <f>D19*D5*D14*D7*D16/(100*100)</f>
        <v>564.87794644609448</v>
      </c>
      <c r="E32" s="311">
        <f t="shared" ref="E32:H32" si="9">E19*E5*E14*E7*E16/(100*100)</f>
        <v>39.230516142375734</v>
      </c>
      <c r="F32" s="311">
        <f t="shared" si="9"/>
        <v>922.6262207048884</v>
      </c>
      <c r="G32" s="311">
        <f t="shared" si="9"/>
        <v>144.6810630129155</v>
      </c>
      <c r="H32" s="312">
        <f t="shared" si="9"/>
        <v>343.46612704407403</v>
      </c>
      <c r="I32" s="113"/>
      <c r="J32" s="313">
        <f t="shared" ref="J32:L32" si="10">J19*J5*J14*J7*J16/(100*100)</f>
        <v>978.98686624537675</v>
      </c>
      <c r="K32" s="310">
        <f t="shared" si="10"/>
        <v>74.035935816418643</v>
      </c>
      <c r="L32" s="314">
        <f t="shared" si="10"/>
        <v>134.97719793820434</v>
      </c>
      <c r="M32" s="113"/>
      <c r="N32" s="313">
        <f t="shared" ref="N32:R32" si="11">N19*N5*N14*N7*N16/(100*100)</f>
        <v>144.77122707581375</v>
      </c>
      <c r="O32" s="310">
        <f t="shared" si="11"/>
        <v>100.09092127112761</v>
      </c>
      <c r="P32" s="310">
        <f t="shared" si="11"/>
        <v>107.83081676485276</v>
      </c>
      <c r="Q32" s="310">
        <f t="shared" si="11"/>
        <v>80.682546964892552</v>
      </c>
      <c r="R32" s="314">
        <f t="shared" si="11"/>
        <v>644.99129114376308</v>
      </c>
      <c r="S32" s="283">
        <f>SUM(D32:R32)</f>
        <v>4281.2486765707981</v>
      </c>
    </row>
    <row r="33" spans="2:21" x14ac:dyDescent="0.2">
      <c r="B33" s="308" t="s">
        <v>19</v>
      </c>
      <c r="C33" s="309"/>
      <c r="D33" s="247">
        <f>D19*D5*D14*D8*D16/(100*100)</f>
        <v>2259.5117857843779</v>
      </c>
      <c r="E33" s="248">
        <f t="shared" ref="E33:H33" si="12">E19*E5*E14*E8*E16/(100*100)</f>
        <v>156.92206456950294</v>
      </c>
      <c r="F33" s="248">
        <f t="shared" si="12"/>
        <v>3690.5048828195536</v>
      </c>
      <c r="G33" s="248">
        <f t="shared" si="12"/>
        <v>578.72425205166201</v>
      </c>
      <c r="H33" s="249">
        <f t="shared" si="12"/>
        <v>1373.8645081762961</v>
      </c>
      <c r="I33" s="113"/>
      <c r="J33" s="247">
        <f t="shared" ref="J33:L33" si="13">J19*J5*J14*J8*J16/(100*100)</f>
        <v>3915.947464981507</v>
      </c>
      <c r="K33" s="247">
        <f t="shared" si="13"/>
        <v>296.14374326567457</v>
      </c>
      <c r="L33" s="247">
        <f t="shared" si="13"/>
        <v>539.90879175281736</v>
      </c>
      <c r="M33" s="113"/>
      <c r="N33" s="247">
        <f t="shared" ref="N33:R33" si="14">N19*N5*N14*N8*N16/(100*100)</f>
        <v>579.08490830325502</v>
      </c>
      <c r="O33" s="247">
        <f t="shared" si="14"/>
        <v>400.36368508451045</v>
      </c>
      <c r="P33" s="247">
        <f t="shared" si="14"/>
        <v>431.32326705941102</v>
      </c>
      <c r="Q33" s="247">
        <f t="shared" si="14"/>
        <v>322.73018785957021</v>
      </c>
      <c r="R33" s="247">
        <f t="shared" si="14"/>
        <v>2579.9651645750523</v>
      </c>
      <c r="S33" s="122"/>
    </row>
    <row r="34" spans="2:21" x14ac:dyDescent="0.2">
      <c r="B34" s="100" t="s">
        <v>20</v>
      </c>
      <c r="C34" s="91"/>
      <c r="D34" s="247">
        <f>D19*D5*D14*D9*D16/(100*100)</f>
        <v>941.46324407682414</v>
      </c>
      <c r="E34" s="248">
        <f t="shared" ref="E34:H34" si="15">E19*E5*E14*E9*E16/(100*100)</f>
        <v>65.384193570626209</v>
      </c>
      <c r="F34" s="248">
        <f t="shared" si="15"/>
        <v>1537.7103678414805</v>
      </c>
      <c r="G34" s="248">
        <f t="shared" si="15"/>
        <v>241.13510502152582</v>
      </c>
      <c r="H34" s="249">
        <f t="shared" si="15"/>
        <v>572.44354507345679</v>
      </c>
      <c r="I34" s="113"/>
      <c r="J34" s="247">
        <f t="shared" ref="J34:L34" si="16">J19*J5*J14*J9*J16/(100*100)</f>
        <v>1631.6447770756281</v>
      </c>
      <c r="K34" s="247">
        <f t="shared" si="16"/>
        <v>123.39322636069774</v>
      </c>
      <c r="L34" s="247">
        <f t="shared" si="16"/>
        <v>224.96199656367395</v>
      </c>
      <c r="M34" s="113"/>
      <c r="N34" s="247">
        <f t="shared" ref="N34:R34" si="17">N19*N5*N14*N9*N16/(100*100)</f>
        <v>241.28537845968953</v>
      </c>
      <c r="O34" s="247">
        <f t="shared" si="17"/>
        <v>166.81820211854603</v>
      </c>
      <c r="P34" s="247">
        <f t="shared" si="17"/>
        <v>179.71802794142127</v>
      </c>
      <c r="Q34" s="247">
        <f t="shared" si="17"/>
        <v>134.47091160815424</v>
      </c>
      <c r="R34" s="247">
        <f t="shared" si="17"/>
        <v>1074.9854852396049</v>
      </c>
      <c r="S34" s="122"/>
    </row>
    <row r="35" spans="2:21" x14ac:dyDescent="0.2">
      <c r="B35" s="100" t="s">
        <v>21</v>
      </c>
      <c r="C35" s="91"/>
      <c r="D35" s="247">
        <f>D19*D5*D14*D10*D16/(100*100)</f>
        <v>1412.1948661152362</v>
      </c>
      <c r="E35" s="248">
        <f t="shared" ref="E35:H35" si="18">E19*E5*E14*E10*E16/(100*100)</f>
        <v>98.076290355939321</v>
      </c>
      <c r="F35" s="248">
        <f t="shared" si="18"/>
        <v>2306.5655517622208</v>
      </c>
      <c r="G35" s="248">
        <f t="shared" si="18"/>
        <v>361.70265753228875</v>
      </c>
      <c r="H35" s="249">
        <f t="shared" si="18"/>
        <v>858.66531761018518</v>
      </c>
      <c r="I35" s="113"/>
      <c r="J35" s="247">
        <f t="shared" ref="J35:L35" si="19">J19*J5*J14*J10*J16/(100*100)</f>
        <v>2447.4671656134424</v>
      </c>
      <c r="K35" s="247">
        <f t="shared" si="19"/>
        <v>185.08983954104659</v>
      </c>
      <c r="L35" s="247">
        <f t="shared" si="19"/>
        <v>337.44299484551095</v>
      </c>
      <c r="M35" s="113"/>
      <c r="N35" s="247">
        <f t="shared" ref="N35:R35" si="20">N19*N5*N14*N10*N16/(100*100)</f>
        <v>361.92806768953437</v>
      </c>
      <c r="O35" s="247">
        <f t="shared" si="20"/>
        <v>250.22730317781904</v>
      </c>
      <c r="P35" s="247">
        <f t="shared" si="20"/>
        <v>269.5770419121319</v>
      </c>
      <c r="Q35" s="247">
        <f t="shared" si="20"/>
        <v>201.70636741223134</v>
      </c>
      <c r="R35" s="247">
        <f t="shared" si="20"/>
        <v>1612.4782278594078</v>
      </c>
      <c r="S35" s="122"/>
    </row>
    <row r="36" spans="2:21" x14ac:dyDescent="0.2">
      <c r="B36" s="101" t="s">
        <v>22</v>
      </c>
      <c r="C36" s="95"/>
      <c r="D36" s="247">
        <f>D20*D5*D14*D11*D16/(100*100)</f>
        <v>60.253647620916738</v>
      </c>
      <c r="E36" s="248">
        <f t="shared" ref="E36:H36" si="21">E20*E5*E14*E11*E16/(100*100)</f>
        <v>0</v>
      </c>
      <c r="F36" s="248">
        <f t="shared" si="21"/>
        <v>39.995846667556911</v>
      </c>
      <c r="G36" s="248">
        <f t="shared" si="21"/>
        <v>0</v>
      </c>
      <c r="H36" s="249">
        <f t="shared" si="21"/>
        <v>0</v>
      </c>
      <c r="I36" s="113"/>
      <c r="J36" s="247">
        <f t="shared" ref="J36:L36" si="22">J20*J5*J14*J11*J16/(100*100)</f>
        <v>0</v>
      </c>
      <c r="K36" s="247">
        <f t="shared" si="22"/>
        <v>0</v>
      </c>
      <c r="L36" s="247">
        <f t="shared" si="22"/>
        <v>0</v>
      </c>
      <c r="M36" s="113"/>
      <c r="N36" s="247">
        <f t="shared" ref="N36:R36" si="23">N20*N5*N14*N11*N16/(100*100)</f>
        <v>0</v>
      </c>
      <c r="O36" s="247">
        <f t="shared" si="23"/>
        <v>0</v>
      </c>
      <c r="P36" s="247">
        <f t="shared" si="23"/>
        <v>0</v>
      </c>
      <c r="Q36" s="247">
        <f t="shared" si="23"/>
        <v>0</v>
      </c>
      <c r="R36" s="247">
        <f t="shared" si="23"/>
        <v>2149.9709704792099</v>
      </c>
      <c r="S36" s="122"/>
    </row>
    <row r="37" spans="2:21" ht="13.5" thickBot="1" x14ac:dyDescent="0.25">
      <c r="B37" s="269" t="s">
        <v>77</v>
      </c>
      <c r="C37" s="270"/>
      <c r="D37" s="271">
        <f>SUM(D32:D36)</f>
        <v>5238.30149004345</v>
      </c>
      <c r="E37" s="272">
        <f t="shared" ref="E37" si="24">SUM(E32:E36)</f>
        <v>359.6130646384442</v>
      </c>
      <c r="F37" s="272">
        <f>SUM(F32:F36)</f>
        <v>8497.4028697957001</v>
      </c>
      <c r="G37" s="272">
        <f t="shared" ref="G37:H37" si="25">SUM(G32:G36)</f>
        <v>1326.2430776183919</v>
      </c>
      <c r="H37" s="273">
        <f t="shared" si="25"/>
        <v>3148.4394979040126</v>
      </c>
      <c r="I37" s="113"/>
      <c r="J37" s="274">
        <f t="shared" ref="J37:L37" si="26">SUM(J32:J36)</f>
        <v>8974.0462739159557</v>
      </c>
      <c r="K37" s="272">
        <f t="shared" si="26"/>
        <v>678.66274498383757</v>
      </c>
      <c r="L37" s="273">
        <f t="shared" si="26"/>
        <v>1237.2909811002064</v>
      </c>
      <c r="M37" s="113"/>
      <c r="N37" s="274">
        <f t="shared" ref="N37:R37" si="27">SUM(N32:N36)</f>
        <v>1327.0695815282927</v>
      </c>
      <c r="O37" s="272">
        <f t="shared" si="27"/>
        <v>917.50011165200317</v>
      </c>
      <c r="P37" s="272">
        <f t="shared" si="27"/>
        <v>988.44915367781698</v>
      </c>
      <c r="Q37" s="272">
        <f t="shared" si="27"/>
        <v>739.59001384484827</v>
      </c>
      <c r="R37" s="273">
        <f t="shared" si="27"/>
        <v>8062.3911392970385</v>
      </c>
      <c r="S37" s="122"/>
    </row>
    <row r="38" spans="2:21" x14ac:dyDescent="0.2">
      <c r="B38" s="280" t="s">
        <v>78</v>
      </c>
      <c r="C38" s="265"/>
      <c r="D38" s="266"/>
      <c r="E38" s="267"/>
      <c r="F38" s="267"/>
      <c r="G38" s="268"/>
      <c r="H38" s="284">
        <f>SUM(D37:H37)</f>
        <v>18570</v>
      </c>
      <c r="I38" s="114"/>
      <c r="J38" s="266"/>
      <c r="K38" s="268"/>
      <c r="L38" s="284">
        <f>SUM(J37:L37)</f>
        <v>10890</v>
      </c>
      <c r="M38" s="123"/>
      <c r="N38" s="275"/>
      <c r="O38" s="267"/>
      <c r="P38" s="267"/>
      <c r="Q38" s="268"/>
      <c r="R38" s="284">
        <f>SUM(N37:R37)</f>
        <v>12035</v>
      </c>
      <c r="S38" s="123"/>
    </row>
    <row r="39" spans="2:21" x14ac:dyDescent="0.2">
      <c r="B39" s="87" t="s">
        <v>32</v>
      </c>
      <c r="C39" s="31"/>
      <c r="D39" s="18"/>
      <c r="E39" s="12"/>
      <c r="F39" s="12"/>
      <c r="G39" s="17"/>
      <c r="H39" s="285">
        <f>D70</f>
        <v>1030</v>
      </c>
      <c r="I39" s="123"/>
      <c r="J39" s="263"/>
      <c r="K39" s="17"/>
      <c r="L39" s="285">
        <f>J70</f>
        <v>495</v>
      </c>
      <c r="M39" s="123"/>
      <c r="N39" s="263"/>
      <c r="O39" s="12"/>
      <c r="P39" s="12"/>
      <c r="Q39" s="17"/>
      <c r="R39" s="285">
        <f>N70</f>
        <v>500</v>
      </c>
      <c r="S39" s="123"/>
    </row>
    <row r="40" spans="2:21" ht="13.5" thickBot="1" x14ac:dyDescent="0.25">
      <c r="B40" s="87" t="s">
        <v>54</v>
      </c>
      <c r="C40" s="31"/>
      <c r="D40" s="18"/>
      <c r="E40" s="12"/>
      <c r="F40" s="12"/>
      <c r="G40" s="17"/>
      <c r="H40" s="285">
        <f>D72</f>
        <v>1350</v>
      </c>
      <c r="I40" s="123"/>
      <c r="J40" s="263"/>
      <c r="K40" s="17"/>
      <c r="L40" s="285">
        <f>J72</f>
        <v>845</v>
      </c>
      <c r="M40" s="123"/>
      <c r="N40" s="263"/>
      <c r="O40" s="12"/>
      <c r="P40" s="12"/>
      <c r="Q40" s="17"/>
      <c r="R40" s="285">
        <f>N72</f>
        <v>845</v>
      </c>
      <c r="S40" s="123"/>
    </row>
    <row r="41" spans="2:21" ht="13.5" thickBot="1" x14ac:dyDescent="0.25">
      <c r="B41" s="87" t="s">
        <v>33</v>
      </c>
      <c r="C41" s="31"/>
      <c r="D41" s="18"/>
      <c r="E41" s="12"/>
      <c r="F41" s="12"/>
      <c r="G41" s="17"/>
      <c r="H41" s="286">
        <f>D73</f>
        <v>7050</v>
      </c>
      <c r="I41" s="123"/>
      <c r="J41" s="263"/>
      <c r="K41" s="17"/>
      <c r="L41" s="286">
        <f>J73</f>
        <v>4770</v>
      </c>
      <c r="M41" s="123"/>
      <c r="N41" s="263"/>
      <c r="O41" s="12"/>
      <c r="P41" s="12"/>
      <c r="Q41" s="17"/>
      <c r="R41" s="286">
        <f>N73</f>
        <v>4770</v>
      </c>
      <c r="S41" s="123"/>
      <c r="U41" s="264">
        <f>SUM(D38:R41)</f>
        <v>63150</v>
      </c>
    </row>
    <row r="42" spans="2:21" s="116" customFormat="1" ht="13.5" thickBot="1" x14ac:dyDescent="0.25">
      <c r="B42" s="65"/>
      <c r="C42" s="277"/>
      <c r="D42" s="123"/>
      <c r="E42" s="123"/>
      <c r="F42" s="123"/>
      <c r="G42" s="123"/>
      <c r="H42" s="414">
        <f>SUM(H38:H41)</f>
        <v>28000</v>
      </c>
      <c r="I42" s="123"/>
      <c r="J42" s="123"/>
      <c r="K42" s="123"/>
      <c r="L42" s="281">
        <f>SUM(L38:L41)</f>
        <v>17000</v>
      </c>
      <c r="M42" s="123"/>
      <c r="N42" s="123"/>
      <c r="O42" s="123"/>
      <c r="P42" s="123"/>
      <c r="Q42" s="123"/>
      <c r="R42" s="281">
        <f>SUM(R38:R41)</f>
        <v>18150</v>
      </c>
      <c r="S42" s="306">
        <f>SUM(H42,L42,R42)</f>
        <v>63150</v>
      </c>
      <c r="U42" s="278"/>
    </row>
    <row r="43" spans="2:21" x14ac:dyDescent="0.2">
      <c r="D43" s="412">
        <f>SUM(D37:E37)</f>
        <v>5597.9145546818945</v>
      </c>
      <c r="E43" s="413"/>
      <c r="F43" s="415">
        <f>SUM(F37:H37)</f>
        <v>12972.085445318105</v>
      </c>
      <c r="G43" s="416"/>
      <c r="H43" s="417"/>
      <c r="I43" s="1"/>
      <c r="M43" s="1"/>
    </row>
    <row r="44" spans="2:21" x14ac:dyDescent="0.2">
      <c r="D44" s="418" t="s">
        <v>82</v>
      </c>
      <c r="E44" s="418"/>
      <c r="F44" s="418" t="s">
        <v>83</v>
      </c>
      <c r="G44" s="418"/>
      <c r="H44" s="418"/>
      <c r="I44" s="1"/>
      <c r="M44" s="1"/>
    </row>
    <row r="45" spans="2:21" x14ac:dyDescent="0.2">
      <c r="I45" s="1"/>
      <c r="M45" s="1"/>
    </row>
    <row r="46" spans="2:21" x14ac:dyDescent="0.2">
      <c r="B46" s="279" t="s">
        <v>73</v>
      </c>
      <c r="C46" s="31"/>
      <c r="H46" s="282">
        <f>D71/H28</f>
        <v>2.5340837645975594</v>
      </c>
      <c r="L46" s="282">
        <f>J71/L28</f>
        <v>1.7914964657023482</v>
      </c>
      <c r="R46" s="282">
        <f>N71/R28</f>
        <v>1.2145301928198908</v>
      </c>
    </row>
    <row r="47" spans="2:21" s="116" customFormat="1" x14ac:dyDescent="0.2">
      <c r="B47" s="65"/>
      <c r="C47" s="277"/>
      <c r="H47" s="287"/>
      <c r="L47" s="287"/>
      <c r="R47" s="287"/>
    </row>
    <row r="48" spans="2:21" s="116" customFormat="1" x14ac:dyDescent="0.2">
      <c r="B48" s="65"/>
      <c r="C48" s="277"/>
      <c r="H48" s="287"/>
      <c r="L48" s="287"/>
      <c r="R48" s="287"/>
    </row>
    <row r="49" spans="1:21" s="288" customFormat="1" x14ac:dyDescent="0.2">
      <c r="B49" s="289" t="s">
        <v>80</v>
      </c>
      <c r="C49" s="291"/>
      <c r="D49" s="292">
        <v>75</v>
      </c>
      <c r="E49" s="293">
        <v>75</v>
      </c>
      <c r="F49" s="293">
        <v>286</v>
      </c>
      <c r="G49" s="293">
        <v>33</v>
      </c>
      <c r="H49" s="294">
        <v>210</v>
      </c>
      <c r="I49" s="295"/>
      <c r="J49" s="296">
        <v>248</v>
      </c>
      <c r="K49" s="293">
        <v>39</v>
      </c>
      <c r="L49" s="297">
        <v>53</v>
      </c>
      <c r="M49" s="295"/>
      <c r="N49" s="296">
        <v>105</v>
      </c>
      <c r="O49" s="293">
        <v>132</v>
      </c>
      <c r="P49" s="293">
        <v>190</v>
      </c>
      <c r="Q49" s="293">
        <v>62</v>
      </c>
      <c r="R49" s="294">
        <v>86</v>
      </c>
      <c r="S49" s="295"/>
    </row>
    <row r="50" spans="1:21" s="116" customFormat="1" x14ac:dyDescent="0.2">
      <c r="B50" s="300" t="s">
        <v>81</v>
      </c>
      <c r="C50" s="301"/>
      <c r="D50" s="302">
        <f>8.5*D49</f>
        <v>637.5</v>
      </c>
      <c r="E50" s="303">
        <f t="shared" ref="E50:H50" si="28">8.5*E49</f>
        <v>637.5</v>
      </c>
      <c r="F50" s="303">
        <f t="shared" si="28"/>
        <v>2431</v>
      </c>
      <c r="G50" s="303">
        <f t="shared" si="28"/>
        <v>280.5</v>
      </c>
      <c r="H50" s="304">
        <f t="shared" si="28"/>
        <v>1785</v>
      </c>
      <c r="I50" s="295"/>
      <c r="J50" s="305">
        <f t="shared" ref="J50:L50" si="29">8.5*J49</f>
        <v>2108</v>
      </c>
      <c r="K50" s="303">
        <f t="shared" si="29"/>
        <v>331.5</v>
      </c>
      <c r="L50" s="304">
        <f t="shared" si="29"/>
        <v>450.5</v>
      </c>
      <c r="M50" s="295"/>
      <c r="N50" s="305">
        <f t="shared" ref="N50:R50" si="30">8.5*N49</f>
        <v>892.5</v>
      </c>
      <c r="O50" s="303">
        <f t="shared" si="30"/>
        <v>1122</v>
      </c>
      <c r="P50" s="303">
        <f t="shared" si="30"/>
        <v>1615</v>
      </c>
      <c r="Q50" s="303">
        <f t="shared" si="30"/>
        <v>527</v>
      </c>
      <c r="R50" s="304">
        <f t="shared" si="30"/>
        <v>731</v>
      </c>
      <c r="S50" s="307">
        <f>SUM(D50:R50)</f>
        <v>13549</v>
      </c>
    </row>
    <row r="51" spans="1:21" s="116" customFormat="1" x14ac:dyDescent="0.2">
      <c r="B51" s="65"/>
      <c r="C51" s="277"/>
      <c r="H51" s="287"/>
      <c r="L51" s="287"/>
      <c r="R51" s="287"/>
    </row>
    <row r="52" spans="1:21" s="116" customFormat="1" x14ac:dyDescent="0.2">
      <c r="B52" s="65"/>
      <c r="C52" s="277"/>
      <c r="H52" s="287"/>
      <c r="L52" s="287"/>
      <c r="R52" s="287"/>
    </row>
    <row r="53" spans="1:21" s="116" customFormat="1" x14ac:dyDescent="0.2">
      <c r="B53" s="65"/>
      <c r="C53" s="277"/>
      <c r="H53" s="287"/>
      <c r="L53" s="287"/>
      <c r="R53" s="287"/>
    </row>
    <row r="54" spans="1:21" ht="13.5" thickBot="1" x14ac:dyDescent="0.25">
      <c r="A54" s="28" t="s">
        <v>56</v>
      </c>
      <c r="I54" s="1"/>
      <c r="M54" s="1"/>
    </row>
    <row r="55" spans="1:21" ht="13.5" thickBot="1" x14ac:dyDescent="0.25">
      <c r="B55" s="127" t="s">
        <v>50</v>
      </c>
      <c r="C55" s="128"/>
      <c r="D55" s="318">
        <f>SUM(D56:D69)</f>
        <v>28000</v>
      </c>
      <c r="E55" s="319"/>
      <c r="F55" s="319"/>
      <c r="G55" s="319"/>
      <c r="H55" s="320"/>
      <c r="I55" s="182"/>
      <c r="J55" s="321">
        <f>SUM(J56:J69)</f>
        <v>17000</v>
      </c>
      <c r="K55" s="319"/>
      <c r="L55" s="320"/>
      <c r="M55" s="182"/>
      <c r="N55" s="321">
        <f>SUM(N56:N69)</f>
        <v>18150</v>
      </c>
      <c r="O55" s="319"/>
      <c r="P55" s="319"/>
      <c r="Q55" s="319"/>
      <c r="R55" s="320"/>
      <c r="U55" s="421">
        <f>SUM(D55:R55)</f>
        <v>63150</v>
      </c>
    </row>
    <row r="56" spans="1:21" ht="13.5" thickBot="1" x14ac:dyDescent="0.25">
      <c r="B56" s="322" t="s">
        <v>51</v>
      </c>
      <c r="C56" s="22" t="s">
        <v>43</v>
      </c>
      <c r="D56" s="324">
        <f>4000-D57</f>
        <v>3720</v>
      </c>
      <c r="E56" s="325"/>
      <c r="F56" s="325"/>
      <c r="G56" s="325"/>
      <c r="H56" s="326"/>
      <c r="I56" s="183"/>
      <c r="J56" s="327">
        <f>2600-J57</f>
        <v>2450</v>
      </c>
      <c r="K56" s="328"/>
      <c r="L56" s="329"/>
      <c r="M56" s="184"/>
      <c r="N56" s="327">
        <f>3000-N57</f>
        <v>2880</v>
      </c>
      <c r="O56" s="328"/>
      <c r="P56" s="328"/>
      <c r="Q56" s="328"/>
      <c r="R56" s="329"/>
      <c r="U56" s="419">
        <f>SUM(D56:R57)</f>
        <v>9600</v>
      </c>
    </row>
    <row r="57" spans="1:21" ht="13.5" thickBot="1" x14ac:dyDescent="0.25">
      <c r="B57" s="322"/>
      <c r="C57" s="16" t="s">
        <v>37</v>
      </c>
      <c r="D57" s="330">
        <v>280</v>
      </c>
      <c r="E57" s="331"/>
      <c r="F57" s="331"/>
      <c r="G57" s="331"/>
      <c r="H57" s="332"/>
      <c r="I57" s="183"/>
      <c r="J57" s="333">
        <v>150</v>
      </c>
      <c r="K57" s="334"/>
      <c r="L57" s="335"/>
      <c r="M57" s="184"/>
      <c r="N57" s="333">
        <v>120</v>
      </c>
      <c r="O57" s="334"/>
      <c r="P57" s="334"/>
      <c r="Q57" s="334"/>
      <c r="R57" s="335"/>
      <c r="U57" s="420"/>
    </row>
    <row r="58" spans="1:21" ht="13.5" thickBot="1" x14ac:dyDescent="0.25">
      <c r="B58" s="322"/>
      <c r="C58" s="16" t="s">
        <v>23</v>
      </c>
      <c r="D58" s="330">
        <f>4500-D59</f>
        <v>4280</v>
      </c>
      <c r="E58" s="331"/>
      <c r="F58" s="331"/>
      <c r="G58" s="331"/>
      <c r="H58" s="332"/>
      <c r="I58" s="183"/>
      <c r="J58" s="336">
        <f>2800-J59</f>
        <v>2710</v>
      </c>
      <c r="K58" s="331"/>
      <c r="L58" s="332"/>
      <c r="M58" s="183"/>
      <c r="N58" s="336">
        <f>3500-N59</f>
        <v>3380</v>
      </c>
      <c r="O58" s="331"/>
      <c r="P58" s="331"/>
      <c r="Q58" s="331"/>
      <c r="R58" s="332"/>
      <c r="U58" s="419">
        <f>SUM(D58:R59)</f>
        <v>10800</v>
      </c>
    </row>
    <row r="59" spans="1:21" ht="13.5" thickBot="1" x14ac:dyDescent="0.25">
      <c r="B59" s="322"/>
      <c r="C59" s="16" t="s">
        <v>42</v>
      </c>
      <c r="D59" s="330">
        <v>220</v>
      </c>
      <c r="E59" s="331"/>
      <c r="F59" s="331"/>
      <c r="G59" s="331"/>
      <c r="H59" s="332"/>
      <c r="I59" s="183"/>
      <c r="J59" s="336">
        <v>90</v>
      </c>
      <c r="K59" s="331"/>
      <c r="L59" s="332"/>
      <c r="M59" s="183"/>
      <c r="N59" s="336">
        <v>120</v>
      </c>
      <c r="O59" s="331"/>
      <c r="P59" s="331"/>
      <c r="Q59" s="331"/>
      <c r="R59" s="332"/>
      <c r="U59" s="420"/>
    </row>
    <row r="60" spans="1:21" ht="13.5" thickBot="1" x14ac:dyDescent="0.25">
      <c r="B60" s="322"/>
      <c r="C60" s="16" t="s">
        <v>44</v>
      </c>
      <c r="D60" s="337"/>
      <c r="E60" s="338"/>
      <c r="F60" s="338"/>
      <c r="G60" s="338"/>
      <c r="H60" s="339"/>
      <c r="I60" s="184"/>
      <c r="J60" s="336">
        <f>300-J61</f>
        <v>265</v>
      </c>
      <c r="K60" s="331"/>
      <c r="L60" s="332"/>
      <c r="M60" s="183"/>
      <c r="N60" s="336">
        <f>350-N61</f>
        <v>310</v>
      </c>
      <c r="O60" s="331"/>
      <c r="P60" s="331"/>
      <c r="Q60" s="331"/>
      <c r="R60" s="332"/>
      <c r="U60" s="419">
        <f>SUM(D60:R61)</f>
        <v>650</v>
      </c>
    </row>
    <row r="61" spans="1:21" ht="13.5" thickBot="1" x14ac:dyDescent="0.25">
      <c r="B61" s="322"/>
      <c r="C61" s="16" t="s">
        <v>45</v>
      </c>
      <c r="D61" s="337"/>
      <c r="E61" s="338"/>
      <c r="F61" s="338"/>
      <c r="G61" s="338"/>
      <c r="H61" s="339"/>
      <c r="I61" s="184"/>
      <c r="J61" s="336">
        <v>35</v>
      </c>
      <c r="K61" s="331"/>
      <c r="L61" s="332"/>
      <c r="M61" s="183"/>
      <c r="N61" s="336">
        <v>40</v>
      </c>
      <c r="O61" s="331"/>
      <c r="P61" s="331"/>
      <c r="Q61" s="331"/>
      <c r="R61" s="332"/>
      <c r="U61" s="420"/>
    </row>
    <row r="62" spans="1:21" ht="13.5" thickBot="1" x14ac:dyDescent="0.25">
      <c r="B62" s="322"/>
      <c r="C62" s="14" t="s">
        <v>24</v>
      </c>
      <c r="D62" s="330">
        <f>2500-D63</f>
        <v>2420</v>
      </c>
      <c r="E62" s="331"/>
      <c r="F62" s="331"/>
      <c r="G62" s="331"/>
      <c r="H62" s="332"/>
      <c r="I62" s="183"/>
      <c r="J62" s="336">
        <v>1565</v>
      </c>
      <c r="K62" s="331"/>
      <c r="L62" s="332"/>
      <c r="M62" s="183"/>
      <c r="N62" s="340">
        <v>1565</v>
      </c>
      <c r="O62" s="341"/>
      <c r="P62" s="341"/>
      <c r="Q62" s="341"/>
      <c r="R62" s="342"/>
      <c r="U62" s="419">
        <f>SUM(D62:R63)</f>
        <v>5700</v>
      </c>
    </row>
    <row r="63" spans="1:21" ht="13.5" thickBot="1" x14ac:dyDescent="0.25">
      <c r="B63" s="322"/>
      <c r="C63" s="14" t="s">
        <v>38</v>
      </c>
      <c r="D63" s="330">
        <v>80</v>
      </c>
      <c r="E63" s="331"/>
      <c r="F63" s="331"/>
      <c r="G63" s="331"/>
      <c r="H63" s="332"/>
      <c r="I63" s="183"/>
      <c r="J63" s="336">
        <v>35</v>
      </c>
      <c r="K63" s="331"/>
      <c r="L63" s="332"/>
      <c r="M63" s="183"/>
      <c r="N63" s="340">
        <v>35</v>
      </c>
      <c r="O63" s="341"/>
      <c r="P63" s="341"/>
      <c r="Q63" s="341"/>
      <c r="R63" s="342"/>
      <c r="U63" s="420"/>
    </row>
    <row r="64" spans="1:21" ht="13.5" thickBot="1" x14ac:dyDescent="0.25">
      <c r="B64" s="322"/>
      <c r="C64" s="14" t="s">
        <v>25</v>
      </c>
      <c r="D64" s="330">
        <f>8500-D65</f>
        <v>8150</v>
      </c>
      <c r="E64" s="331"/>
      <c r="F64" s="331"/>
      <c r="G64" s="331"/>
      <c r="H64" s="332"/>
      <c r="I64" s="183"/>
      <c r="J64" s="336">
        <v>3900</v>
      </c>
      <c r="K64" s="331"/>
      <c r="L64" s="332"/>
      <c r="M64" s="183"/>
      <c r="N64" s="340">
        <v>3900</v>
      </c>
      <c r="O64" s="341"/>
      <c r="P64" s="341"/>
      <c r="Q64" s="341"/>
      <c r="R64" s="342"/>
      <c r="U64" s="419">
        <f>SUM(D64:R65)</f>
        <v>16500</v>
      </c>
    </row>
    <row r="65" spans="1:21" ht="13.5" thickBot="1" x14ac:dyDescent="0.25">
      <c r="B65" s="322"/>
      <c r="C65" s="15" t="s">
        <v>39</v>
      </c>
      <c r="D65" s="343">
        <v>350</v>
      </c>
      <c r="E65" s="344"/>
      <c r="F65" s="344"/>
      <c r="G65" s="344"/>
      <c r="H65" s="345"/>
      <c r="I65" s="183"/>
      <c r="J65" s="346">
        <v>100</v>
      </c>
      <c r="K65" s="344"/>
      <c r="L65" s="345"/>
      <c r="M65" s="183"/>
      <c r="N65" s="347">
        <v>100</v>
      </c>
      <c r="O65" s="348"/>
      <c r="P65" s="348"/>
      <c r="Q65" s="348"/>
      <c r="R65" s="349"/>
      <c r="U65" s="420"/>
    </row>
    <row r="66" spans="1:21" ht="13.5" thickBot="1" x14ac:dyDescent="0.25">
      <c r="B66" s="322"/>
      <c r="C66" s="13" t="s">
        <v>35</v>
      </c>
      <c r="D66" s="350">
        <f>7000-D67</f>
        <v>6920</v>
      </c>
      <c r="E66" s="351"/>
      <c r="F66" s="351"/>
      <c r="G66" s="351"/>
      <c r="H66" s="352"/>
      <c r="I66" s="183"/>
      <c r="J66" s="353">
        <v>4690</v>
      </c>
      <c r="K66" s="351"/>
      <c r="L66" s="352"/>
      <c r="M66" s="183"/>
      <c r="N66" s="354">
        <v>4690</v>
      </c>
      <c r="O66" s="355"/>
      <c r="P66" s="355"/>
      <c r="Q66" s="355"/>
      <c r="R66" s="356"/>
      <c r="U66" s="419">
        <f>SUM(D66:R67)</f>
        <v>16500</v>
      </c>
    </row>
    <row r="67" spans="1:21" ht="13.5" thickBot="1" x14ac:dyDescent="0.25">
      <c r="B67" s="322"/>
      <c r="C67" s="14" t="s">
        <v>40</v>
      </c>
      <c r="D67" s="330">
        <v>80</v>
      </c>
      <c r="E67" s="331"/>
      <c r="F67" s="331"/>
      <c r="G67" s="331"/>
      <c r="H67" s="332"/>
      <c r="I67" s="183"/>
      <c r="J67" s="336">
        <v>60</v>
      </c>
      <c r="K67" s="331"/>
      <c r="L67" s="332"/>
      <c r="M67" s="183"/>
      <c r="N67" s="340">
        <v>60</v>
      </c>
      <c r="O67" s="341"/>
      <c r="P67" s="341"/>
      <c r="Q67" s="341"/>
      <c r="R67" s="342"/>
      <c r="U67" s="420"/>
    </row>
    <row r="68" spans="1:21" ht="13.5" thickBot="1" x14ac:dyDescent="0.25">
      <c r="B68" s="322"/>
      <c r="C68" s="14" t="s">
        <v>36</v>
      </c>
      <c r="D68" s="330">
        <f>1500-D69</f>
        <v>1480</v>
      </c>
      <c r="E68" s="331"/>
      <c r="F68" s="331"/>
      <c r="G68" s="331"/>
      <c r="H68" s="332"/>
      <c r="I68" s="183"/>
      <c r="J68" s="336">
        <v>925</v>
      </c>
      <c r="K68" s="331"/>
      <c r="L68" s="332"/>
      <c r="M68" s="183"/>
      <c r="N68" s="340">
        <v>925</v>
      </c>
      <c r="O68" s="341"/>
      <c r="P68" s="341"/>
      <c r="Q68" s="341"/>
      <c r="R68" s="342"/>
      <c r="U68" s="419">
        <f>SUM(D68:R69)</f>
        <v>3400</v>
      </c>
    </row>
    <row r="69" spans="1:21" ht="13.5" thickBot="1" x14ac:dyDescent="0.25">
      <c r="B69" s="323"/>
      <c r="C69" s="133" t="s">
        <v>41</v>
      </c>
      <c r="D69" s="357">
        <v>20</v>
      </c>
      <c r="E69" s="358"/>
      <c r="F69" s="358"/>
      <c r="G69" s="358"/>
      <c r="H69" s="359"/>
      <c r="I69" s="183"/>
      <c r="J69" s="360">
        <v>25</v>
      </c>
      <c r="K69" s="358"/>
      <c r="L69" s="359"/>
      <c r="M69" s="183"/>
      <c r="N69" s="361">
        <v>25</v>
      </c>
      <c r="O69" s="362"/>
      <c r="P69" s="362"/>
      <c r="Q69" s="362"/>
      <c r="R69" s="363"/>
      <c r="U69" s="420"/>
    </row>
    <row r="70" spans="1:21" x14ac:dyDescent="0.2">
      <c r="C70" s="129" t="s">
        <v>48</v>
      </c>
      <c r="D70" s="364">
        <f>SUM(D57,D59,D61,D63,D65,D67,D69)</f>
        <v>1030</v>
      </c>
      <c r="E70" s="365"/>
      <c r="F70" s="365"/>
      <c r="G70" s="365"/>
      <c r="H70" s="366"/>
      <c r="I70" s="183"/>
      <c r="J70" s="367">
        <f>SUM(J57,J59,J61,J63,J65,J67,J69)</f>
        <v>495</v>
      </c>
      <c r="K70" s="368"/>
      <c r="L70" s="369"/>
      <c r="M70" s="183"/>
      <c r="N70" s="367">
        <f>SUM(N57,N59,N61,N63,N65,N67,N69)</f>
        <v>500</v>
      </c>
      <c r="O70" s="368"/>
      <c r="P70" s="368"/>
      <c r="Q70" s="368"/>
      <c r="R70" s="369"/>
      <c r="S70" s="27"/>
    </row>
    <row r="71" spans="1:21" x14ac:dyDescent="0.2">
      <c r="C71" s="236" t="s">
        <v>49</v>
      </c>
      <c r="D71" s="374">
        <f>SUM(D56,D58,D60,D62,D64)</f>
        <v>18570</v>
      </c>
      <c r="E71" s="375"/>
      <c r="F71" s="375"/>
      <c r="G71" s="375"/>
      <c r="H71" s="376"/>
      <c r="I71" s="183"/>
      <c r="J71" s="377">
        <f>SUM(J56,J58,J60,J62,J64)</f>
        <v>10890</v>
      </c>
      <c r="K71" s="375"/>
      <c r="L71" s="376"/>
      <c r="M71" s="183"/>
      <c r="N71" s="377">
        <f>SUM(N56,N58,N60,N62,N64)</f>
        <v>12035</v>
      </c>
      <c r="O71" s="375"/>
      <c r="P71" s="375"/>
      <c r="Q71" s="375"/>
      <c r="R71" s="376"/>
      <c r="S71" s="27"/>
    </row>
    <row r="72" spans="1:21" x14ac:dyDescent="0.2">
      <c r="C72" s="131" t="s">
        <v>53</v>
      </c>
      <c r="D72" s="378">
        <v>1350</v>
      </c>
      <c r="E72" s="379"/>
      <c r="F72" s="379"/>
      <c r="G72" s="379"/>
      <c r="H72" s="380"/>
      <c r="I72" s="183"/>
      <c r="J72" s="381">
        <v>845</v>
      </c>
      <c r="K72" s="379"/>
      <c r="L72" s="380"/>
      <c r="M72" s="183"/>
      <c r="N72" s="381">
        <v>845</v>
      </c>
      <c r="O72" s="379"/>
      <c r="P72" s="379"/>
      <c r="Q72" s="379"/>
      <c r="R72" s="380"/>
      <c r="S72" s="27"/>
    </row>
    <row r="73" spans="1:21" ht="13.5" thickBot="1" x14ac:dyDescent="0.25">
      <c r="B73" s="1"/>
      <c r="C73" s="132" t="s">
        <v>61</v>
      </c>
      <c r="D73" s="370">
        <f>SUM(D66,D68)-D72</f>
        <v>7050</v>
      </c>
      <c r="E73" s="371"/>
      <c r="F73" s="371"/>
      <c r="G73" s="371"/>
      <c r="H73" s="372"/>
      <c r="I73" s="183"/>
      <c r="J73" s="373">
        <f>SUM(J66,J68)-J72</f>
        <v>4770</v>
      </c>
      <c r="K73" s="371"/>
      <c r="L73" s="372"/>
      <c r="M73" s="183"/>
      <c r="N73" s="373">
        <f>SUM(N66,N68)-N72</f>
        <v>4770</v>
      </c>
      <c r="O73" s="371"/>
      <c r="P73" s="371"/>
      <c r="Q73" s="371"/>
      <c r="R73" s="372"/>
      <c r="S73" s="27"/>
    </row>
    <row r="74" spans="1:21" x14ac:dyDescent="0.2">
      <c r="A74" s="1"/>
      <c r="B74" s="1"/>
      <c r="C74" s="65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1"/>
    </row>
  </sheetData>
  <mergeCells count="72">
    <mergeCell ref="U66:U67"/>
    <mergeCell ref="U68:U69"/>
    <mergeCell ref="U56:U57"/>
    <mergeCell ref="U58:U59"/>
    <mergeCell ref="U60:U61"/>
    <mergeCell ref="U62:U63"/>
    <mergeCell ref="U64:U65"/>
    <mergeCell ref="D73:H73"/>
    <mergeCell ref="J73:L73"/>
    <mergeCell ref="N73:R73"/>
    <mergeCell ref="D71:H71"/>
    <mergeCell ref="J71:L71"/>
    <mergeCell ref="N71:R71"/>
    <mergeCell ref="D72:H72"/>
    <mergeCell ref="J72:L72"/>
    <mergeCell ref="N72:R72"/>
    <mergeCell ref="D69:H69"/>
    <mergeCell ref="J69:L69"/>
    <mergeCell ref="N69:R69"/>
    <mergeCell ref="D70:H70"/>
    <mergeCell ref="J70:L70"/>
    <mergeCell ref="N70:R70"/>
    <mergeCell ref="D67:H67"/>
    <mergeCell ref="J67:L67"/>
    <mergeCell ref="N67:R67"/>
    <mergeCell ref="D68:H68"/>
    <mergeCell ref="J68:L68"/>
    <mergeCell ref="N68:R68"/>
    <mergeCell ref="D65:H65"/>
    <mergeCell ref="J65:L65"/>
    <mergeCell ref="N65:R65"/>
    <mergeCell ref="D66:H66"/>
    <mergeCell ref="J66:L66"/>
    <mergeCell ref="N66:R66"/>
    <mergeCell ref="D63:H63"/>
    <mergeCell ref="J63:L63"/>
    <mergeCell ref="N63:R63"/>
    <mergeCell ref="D64:H64"/>
    <mergeCell ref="J64:L64"/>
    <mergeCell ref="N64:R64"/>
    <mergeCell ref="D61:H61"/>
    <mergeCell ref="J61:L61"/>
    <mergeCell ref="N61:R61"/>
    <mergeCell ref="D62:H62"/>
    <mergeCell ref="J62:L62"/>
    <mergeCell ref="N62:R62"/>
    <mergeCell ref="B56:B69"/>
    <mergeCell ref="D56:H56"/>
    <mergeCell ref="J56:L56"/>
    <mergeCell ref="N56:R56"/>
    <mergeCell ref="D57:H57"/>
    <mergeCell ref="J57:L57"/>
    <mergeCell ref="N57:R57"/>
    <mergeCell ref="D58:H58"/>
    <mergeCell ref="J58:L58"/>
    <mergeCell ref="N58:R58"/>
    <mergeCell ref="D59:H59"/>
    <mergeCell ref="J59:L59"/>
    <mergeCell ref="N59:R59"/>
    <mergeCell ref="D60:H60"/>
    <mergeCell ref="J60:L60"/>
    <mergeCell ref="N60:R60"/>
    <mergeCell ref="D2:H2"/>
    <mergeCell ref="J2:L2"/>
    <mergeCell ref="N2:R2"/>
    <mergeCell ref="D55:H55"/>
    <mergeCell ref="J55:L55"/>
    <mergeCell ref="N55:R55"/>
    <mergeCell ref="D43:E43"/>
    <mergeCell ref="F43:H43"/>
    <mergeCell ref="D44:E44"/>
    <mergeCell ref="F44:H44"/>
  </mergeCells>
  <pageMargins left="0.70866141732283472" right="0.51181102362204722" top="0.78740157480314965" bottom="0.78740157480314965" header="0.31496062992125984" footer="0.31496062992125984"/>
  <pageSetup paperSize="9" scale="71" orientation="landscape" r:id="rId1"/>
  <headerFooter>
    <oddHeader>&amp;L&amp;11N02 EP Sissach - Eptingen&amp;C&amp;12Honorarkalkulation&amp;R&amp;11INGE EPSI</oddHeader>
    <oddFooter>&amp;L&amp;8Aegerter &amp;&amp; Bosshardt / &amp;D&amp;C&amp;P von &amp;N&amp;R&amp;8&amp;F/&amp;A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9"/>
  <sheetViews>
    <sheetView zoomScaleNormal="100" workbookViewId="0">
      <selection activeCell="D33" sqref="D33:R34"/>
    </sheetView>
  </sheetViews>
  <sheetFormatPr baseColWidth="10" defaultRowHeight="12.75" x14ac:dyDescent="0.2"/>
  <cols>
    <col min="1" max="1" width="3.7109375" customWidth="1"/>
    <col min="3" max="3" width="20.42578125" customWidth="1"/>
    <col min="4" max="4" width="9" customWidth="1"/>
    <col min="5" max="5" width="7.28515625" bestFit="1" customWidth="1"/>
    <col min="6" max="6" width="9.28515625" bestFit="1" customWidth="1"/>
    <col min="7" max="7" width="7.28515625" bestFit="1" customWidth="1"/>
    <col min="8" max="8" width="8.42578125" bestFit="1" customWidth="1"/>
    <col min="9" max="9" width="8.5703125" customWidth="1"/>
    <col min="10" max="10" width="9.28515625" bestFit="1" customWidth="1"/>
    <col min="11" max="12" width="8.42578125" bestFit="1" customWidth="1"/>
    <col min="13" max="13" width="7.42578125" bestFit="1" customWidth="1"/>
    <col min="14" max="16" width="8.42578125" bestFit="1" customWidth="1"/>
    <col min="17" max="17" width="7.28515625" bestFit="1" customWidth="1"/>
    <col min="18" max="18" width="9.28515625" bestFit="1" customWidth="1"/>
    <col min="19" max="19" width="7.28515625" customWidth="1"/>
    <col min="20" max="20" width="6.5703125" customWidth="1"/>
  </cols>
  <sheetData>
    <row r="1" spans="1:21" x14ac:dyDescent="0.2">
      <c r="A1" s="28" t="s">
        <v>62</v>
      </c>
      <c r="I1" s="1"/>
      <c r="M1" s="116"/>
      <c r="S1" s="116"/>
    </row>
    <row r="2" spans="1:21" x14ac:dyDescent="0.2">
      <c r="A2" s="28" t="s">
        <v>71</v>
      </c>
      <c r="B2" s="1"/>
      <c r="D2" s="315" t="s">
        <v>13</v>
      </c>
      <c r="E2" s="316"/>
      <c r="F2" s="316"/>
      <c r="G2" s="316"/>
      <c r="H2" s="317"/>
      <c r="I2" s="27"/>
      <c r="J2" s="315" t="s">
        <v>14</v>
      </c>
      <c r="K2" s="316"/>
      <c r="L2" s="317"/>
      <c r="M2" s="63"/>
      <c r="N2" s="315" t="s">
        <v>15</v>
      </c>
      <c r="O2" s="316"/>
      <c r="P2" s="316"/>
      <c r="Q2" s="316"/>
      <c r="R2" s="317"/>
      <c r="S2" s="118"/>
    </row>
    <row r="3" spans="1:21" ht="89.25" x14ac:dyDescent="0.2">
      <c r="B3" s="1"/>
      <c r="D3" s="25" t="s">
        <v>0</v>
      </c>
      <c r="E3" s="26" t="s">
        <v>1</v>
      </c>
      <c r="F3" s="26" t="s">
        <v>2</v>
      </c>
      <c r="G3" s="26" t="s">
        <v>3</v>
      </c>
      <c r="H3" s="34" t="s">
        <v>4</v>
      </c>
      <c r="I3" s="108"/>
      <c r="J3" s="48" t="s">
        <v>11</v>
      </c>
      <c r="K3" s="26" t="s">
        <v>12</v>
      </c>
      <c r="L3" s="34" t="s">
        <v>5</v>
      </c>
      <c r="M3" s="108"/>
      <c r="N3" s="48" t="s">
        <v>6</v>
      </c>
      <c r="O3" s="26" t="s">
        <v>7</v>
      </c>
      <c r="P3" s="26" t="s">
        <v>8</v>
      </c>
      <c r="Q3" s="26" t="s">
        <v>9</v>
      </c>
      <c r="R3" s="34" t="s">
        <v>10</v>
      </c>
      <c r="S3" s="119"/>
    </row>
    <row r="4" spans="1:21" x14ac:dyDescent="0.2">
      <c r="B4" s="88"/>
      <c r="C4" s="89"/>
      <c r="D4" s="49"/>
      <c r="E4" s="2"/>
      <c r="F4" s="2"/>
      <c r="G4" s="2"/>
      <c r="H4" s="35"/>
      <c r="I4" s="109"/>
      <c r="J4" s="49"/>
      <c r="K4" s="2"/>
      <c r="L4" s="35"/>
      <c r="M4" s="109"/>
      <c r="N4" s="49"/>
      <c r="O4" s="2"/>
      <c r="P4" s="2"/>
      <c r="Q4" s="2"/>
      <c r="R4" s="35"/>
      <c r="S4" s="118"/>
    </row>
    <row r="5" spans="1:21" x14ac:dyDescent="0.2">
      <c r="B5" s="90" t="s">
        <v>18</v>
      </c>
      <c r="C5" s="91"/>
      <c r="D5" s="50">
        <v>9.3129625597187876E-2</v>
      </c>
      <c r="E5" s="21">
        <v>9.3129625597187876E-2</v>
      </c>
      <c r="F5" s="21">
        <v>9.3129625597187876E-2</v>
      </c>
      <c r="G5" s="21">
        <v>9.3129625597187876E-2</v>
      </c>
      <c r="H5" s="36">
        <v>9.3129625597187876E-2</v>
      </c>
      <c r="I5" s="110"/>
      <c r="J5" s="50">
        <v>9.3129625597187876E-2</v>
      </c>
      <c r="K5" s="21">
        <v>9.3129625597187876E-2</v>
      </c>
      <c r="L5" s="36">
        <v>9.3129625597187876E-2</v>
      </c>
      <c r="M5" s="110"/>
      <c r="N5" s="50">
        <v>9.3129625597187876E-2</v>
      </c>
      <c r="O5" s="21">
        <v>9.3129625597187876E-2</v>
      </c>
      <c r="P5" s="21">
        <v>9.3129625597187876E-2</v>
      </c>
      <c r="Q5" s="21">
        <v>9.3129625597187876E-2</v>
      </c>
      <c r="R5" s="125">
        <v>9.3129625597187876E-2</v>
      </c>
      <c r="S5" s="1"/>
      <c r="U5" s="126">
        <f>0.075+(7.23/(U18^(1/3)))</f>
        <v>9.3129625597187876E-2</v>
      </c>
    </row>
    <row r="6" spans="1:21" x14ac:dyDescent="0.2">
      <c r="B6" s="90" t="s">
        <v>26</v>
      </c>
      <c r="C6" s="91"/>
      <c r="D6" s="51"/>
      <c r="E6" s="3"/>
      <c r="F6" s="3"/>
      <c r="G6" s="3"/>
      <c r="H6" s="37"/>
      <c r="I6" s="109"/>
      <c r="J6" s="51"/>
      <c r="K6" s="3"/>
      <c r="L6" s="37"/>
      <c r="M6" s="109"/>
      <c r="N6" s="51"/>
      <c r="O6" s="3"/>
      <c r="P6" s="3"/>
      <c r="Q6" s="3"/>
      <c r="R6" s="37"/>
      <c r="S6" s="118"/>
    </row>
    <row r="7" spans="1:21" x14ac:dyDescent="0.2">
      <c r="B7" s="92" t="s">
        <v>34</v>
      </c>
      <c r="C7" s="91"/>
      <c r="D7" s="51">
        <v>6</v>
      </c>
      <c r="E7" s="3">
        <v>6</v>
      </c>
      <c r="F7" s="3">
        <v>6</v>
      </c>
      <c r="G7" s="3">
        <v>6</v>
      </c>
      <c r="H7" s="37">
        <v>6</v>
      </c>
      <c r="I7" s="109"/>
      <c r="J7" s="51">
        <v>6</v>
      </c>
      <c r="K7" s="3">
        <v>6</v>
      </c>
      <c r="L7" s="37">
        <v>6</v>
      </c>
      <c r="M7" s="109"/>
      <c r="N7" s="51">
        <v>6</v>
      </c>
      <c r="O7" s="3">
        <v>6</v>
      </c>
      <c r="P7" s="3">
        <v>6</v>
      </c>
      <c r="Q7" s="3">
        <v>6</v>
      </c>
      <c r="R7" s="37">
        <v>6</v>
      </c>
      <c r="S7" s="118"/>
    </row>
    <row r="8" spans="1:21" x14ac:dyDescent="0.2">
      <c r="B8" s="93" t="s">
        <v>23</v>
      </c>
      <c r="C8" s="91"/>
      <c r="D8" s="52">
        <v>24</v>
      </c>
      <c r="E8" s="5">
        <v>24</v>
      </c>
      <c r="F8" s="5">
        <v>24</v>
      </c>
      <c r="G8" s="5">
        <v>24</v>
      </c>
      <c r="H8" s="38">
        <v>24</v>
      </c>
      <c r="I8" s="111"/>
      <c r="J8" s="52">
        <v>24</v>
      </c>
      <c r="K8" s="5">
        <v>24</v>
      </c>
      <c r="L8" s="38">
        <v>24</v>
      </c>
      <c r="M8" s="111"/>
      <c r="N8" s="52">
        <v>24</v>
      </c>
      <c r="O8" s="5">
        <v>24</v>
      </c>
      <c r="P8" s="5">
        <v>24</v>
      </c>
      <c r="Q8" s="5">
        <v>24</v>
      </c>
      <c r="R8" s="38">
        <v>24</v>
      </c>
      <c r="S8" s="120"/>
    </row>
    <row r="9" spans="1:21" x14ac:dyDescent="0.2">
      <c r="B9" s="93" t="s">
        <v>24</v>
      </c>
      <c r="C9" s="91"/>
      <c r="D9" s="52">
        <v>10</v>
      </c>
      <c r="E9" s="5">
        <v>10</v>
      </c>
      <c r="F9" s="5">
        <v>10</v>
      </c>
      <c r="G9" s="5">
        <v>10</v>
      </c>
      <c r="H9" s="38">
        <v>10</v>
      </c>
      <c r="I9" s="111"/>
      <c r="J9" s="52">
        <v>10</v>
      </c>
      <c r="K9" s="5">
        <v>10</v>
      </c>
      <c r="L9" s="38">
        <v>10</v>
      </c>
      <c r="M9" s="111"/>
      <c r="N9" s="52">
        <v>10</v>
      </c>
      <c r="O9" s="5">
        <v>10</v>
      </c>
      <c r="P9" s="5">
        <v>10</v>
      </c>
      <c r="Q9" s="5">
        <v>10</v>
      </c>
      <c r="R9" s="38">
        <v>10</v>
      </c>
      <c r="S9" s="120"/>
    </row>
    <row r="10" spans="1:21" x14ac:dyDescent="0.2">
      <c r="B10" s="93" t="s">
        <v>25</v>
      </c>
      <c r="C10" s="91"/>
      <c r="D10" s="53">
        <v>15</v>
      </c>
      <c r="E10" s="6">
        <v>15</v>
      </c>
      <c r="F10" s="6">
        <v>15</v>
      </c>
      <c r="G10" s="6">
        <v>15</v>
      </c>
      <c r="H10" s="39">
        <v>15</v>
      </c>
      <c r="I10" s="111"/>
      <c r="J10" s="53">
        <v>15</v>
      </c>
      <c r="K10" s="6">
        <v>15</v>
      </c>
      <c r="L10" s="39">
        <v>15</v>
      </c>
      <c r="M10" s="111"/>
      <c r="N10" s="53">
        <v>15</v>
      </c>
      <c r="O10" s="6">
        <v>15</v>
      </c>
      <c r="P10" s="6">
        <v>15</v>
      </c>
      <c r="Q10" s="6">
        <v>15</v>
      </c>
      <c r="R10" s="39">
        <v>15</v>
      </c>
      <c r="S10" s="120"/>
    </row>
    <row r="11" spans="1:21" x14ac:dyDescent="0.2">
      <c r="B11" s="94" t="s">
        <v>47</v>
      </c>
      <c r="C11" s="95"/>
      <c r="D11" s="54">
        <v>8</v>
      </c>
      <c r="E11" s="7"/>
      <c r="F11" s="7">
        <f>0.17*30</f>
        <v>5.1000000000000005</v>
      </c>
      <c r="G11" s="7"/>
      <c r="H11" s="40"/>
      <c r="I11" s="111"/>
      <c r="J11" s="54"/>
      <c r="K11" s="7"/>
      <c r="L11" s="40"/>
      <c r="M11" s="111"/>
      <c r="N11" s="54"/>
      <c r="O11" s="7"/>
      <c r="P11" s="7"/>
      <c r="Q11" s="7"/>
      <c r="R11" s="40">
        <v>20</v>
      </c>
      <c r="S11" s="120"/>
    </row>
    <row r="12" spans="1:21" x14ac:dyDescent="0.2">
      <c r="B12" s="87" t="s">
        <v>27</v>
      </c>
      <c r="C12" s="31"/>
      <c r="D12" s="55">
        <f>SUM(D7:D11)</f>
        <v>63</v>
      </c>
      <c r="E12" s="8">
        <f t="shared" ref="E12:R12" si="0">SUM(E7:E11)</f>
        <v>55</v>
      </c>
      <c r="F12" s="8">
        <f t="shared" si="0"/>
        <v>60.1</v>
      </c>
      <c r="G12" s="8">
        <f t="shared" si="0"/>
        <v>55</v>
      </c>
      <c r="H12" s="41">
        <f t="shared" si="0"/>
        <v>55</v>
      </c>
      <c r="I12" s="112"/>
      <c r="J12" s="55">
        <f t="shared" si="0"/>
        <v>55</v>
      </c>
      <c r="K12" s="8">
        <f t="shared" si="0"/>
        <v>55</v>
      </c>
      <c r="L12" s="41">
        <f t="shared" si="0"/>
        <v>55</v>
      </c>
      <c r="M12" s="112"/>
      <c r="N12" s="55">
        <f t="shared" si="0"/>
        <v>55</v>
      </c>
      <c r="O12" s="8">
        <f t="shared" si="0"/>
        <v>55</v>
      </c>
      <c r="P12" s="8">
        <f t="shared" si="0"/>
        <v>55</v>
      </c>
      <c r="Q12" s="8">
        <f t="shared" si="0"/>
        <v>55</v>
      </c>
      <c r="R12" s="41">
        <f t="shared" si="0"/>
        <v>75</v>
      </c>
      <c r="S12" s="121"/>
    </row>
    <row r="13" spans="1:21" x14ac:dyDescent="0.2">
      <c r="B13" s="96"/>
      <c r="C13" s="89"/>
      <c r="D13" s="56"/>
      <c r="E13" s="9"/>
      <c r="F13" s="9"/>
      <c r="G13" s="9"/>
      <c r="H13" s="42"/>
      <c r="I13" s="112"/>
      <c r="J13" s="56"/>
      <c r="K13" s="9"/>
      <c r="L13" s="42"/>
      <c r="M13" s="112"/>
      <c r="N13" s="56"/>
      <c r="O13" s="9"/>
      <c r="P13" s="9"/>
      <c r="Q13" s="9"/>
      <c r="R13" s="42"/>
      <c r="S13" s="121"/>
    </row>
    <row r="14" spans="1:21" x14ac:dyDescent="0.2">
      <c r="B14" s="90" t="s">
        <v>16</v>
      </c>
      <c r="C14" s="91"/>
      <c r="D14" s="57">
        <v>1</v>
      </c>
      <c r="E14" s="4">
        <v>0.8</v>
      </c>
      <c r="F14" s="4">
        <v>0.8</v>
      </c>
      <c r="G14" s="4">
        <v>0.8</v>
      </c>
      <c r="H14" s="43">
        <v>0.8</v>
      </c>
      <c r="I14" s="109"/>
      <c r="J14" s="57">
        <v>0.8</v>
      </c>
      <c r="K14" s="4">
        <v>0.8</v>
      </c>
      <c r="L14" s="43">
        <v>0.8</v>
      </c>
      <c r="M14" s="109"/>
      <c r="N14" s="57">
        <v>0.8</v>
      </c>
      <c r="O14" s="4">
        <v>0.8</v>
      </c>
      <c r="P14" s="4">
        <v>0.8</v>
      </c>
      <c r="Q14" s="4">
        <v>0.8</v>
      </c>
      <c r="R14" s="43">
        <v>0.8</v>
      </c>
      <c r="S14" s="118"/>
    </row>
    <row r="15" spans="1:21" x14ac:dyDescent="0.2">
      <c r="B15" s="90" t="s">
        <v>17</v>
      </c>
      <c r="C15" s="91"/>
      <c r="D15" s="57">
        <v>1</v>
      </c>
      <c r="E15" s="4">
        <v>1</v>
      </c>
      <c r="F15" s="4">
        <v>0.6</v>
      </c>
      <c r="G15" s="4">
        <v>0.8</v>
      </c>
      <c r="H15" s="43">
        <v>0.8</v>
      </c>
      <c r="I15" s="109"/>
      <c r="J15" s="57">
        <v>0.6</v>
      </c>
      <c r="K15" s="4">
        <v>0.6</v>
      </c>
      <c r="L15" s="43">
        <v>0.6</v>
      </c>
      <c r="M15" s="109"/>
      <c r="N15" s="57">
        <v>0.8</v>
      </c>
      <c r="O15" s="4">
        <v>0.8</v>
      </c>
      <c r="P15" s="4">
        <v>0.7</v>
      </c>
      <c r="Q15" s="4">
        <v>0.7</v>
      </c>
      <c r="R15" s="43">
        <v>1</v>
      </c>
      <c r="S15" s="118"/>
    </row>
    <row r="16" spans="1:21" x14ac:dyDescent="0.2">
      <c r="B16" s="209" t="s">
        <v>64</v>
      </c>
      <c r="C16" s="210"/>
      <c r="D16" s="211">
        <v>1</v>
      </c>
      <c r="E16" s="212">
        <v>1</v>
      </c>
      <c r="F16" s="212">
        <v>15</v>
      </c>
      <c r="G16" s="212">
        <v>15</v>
      </c>
      <c r="H16" s="213">
        <v>23</v>
      </c>
      <c r="I16" s="214"/>
      <c r="J16" s="211"/>
      <c r="K16" s="212"/>
      <c r="L16" s="213"/>
      <c r="M16" s="214"/>
      <c r="N16" s="211">
        <v>8</v>
      </c>
      <c r="O16" s="212">
        <v>7</v>
      </c>
      <c r="P16" s="212">
        <v>9</v>
      </c>
      <c r="Q16" s="212">
        <v>13</v>
      </c>
      <c r="R16" s="213">
        <v>1</v>
      </c>
      <c r="S16" s="118"/>
    </row>
    <row r="17" spans="1:21" x14ac:dyDescent="0.2">
      <c r="B17" s="88"/>
      <c r="C17" s="89"/>
      <c r="D17" s="49"/>
      <c r="E17" s="2"/>
      <c r="F17" s="2"/>
      <c r="G17" s="2"/>
      <c r="H17" s="35"/>
      <c r="I17" s="109"/>
      <c r="J17" s="49"/>
      <c r="K17" s="2"/>
      <c r="L17" s="35"/>
      <c r="M17" s="109"/>
      <c r="N17" s="49"/>
      <c r="O17" s="2"/>
      <c r="P17" s="2"/>
      <c r="Q17" s="2"/>
      <c r="R17" s="35"/>
      <c r="S17" s="118"/>
    </row>
    <row r="18" spans="1:21" x14ac:dyDescent="0.2">
      <c r="B18" s="97" t="s">
        <v>28</v>
      </c>
      <c r="C18" s="91"/>
      <c r="D18" s="190">
        <v>3989280.24</v>
      </c>
      <c r="E18" s="191">
        <v>346317.12</v>
      </c>
      <c r="F18" s="191">
        <v>13574520</v>
      </c>
      <c r="G18" s="191">
        <v>851472</v>
      </c>
      <c r="H18" s="192">
        <v>3368925</v>
      </c>
      <c r="I18" s="193"/>
      <c r="J18" s="190">
        <v>20374200</v>
      </c>
      <c r="K18" s="191">
        <v>1155600</v>
      </c>
      <c r="L18" s="192">
        <v>2809080</v>
      </c>
      <c r="M18" s="193"/>
      <c r="N18" s="190">
        <v>1777680</v>
      </c>
      <c r="O18" s="191">
        <v>1229040</v>
      </c>
      <c r="P18" s="191">
        <v>1324080</v>
      </c>
      <c r="Q18" s="191">
        <v>743040</v>
      </c>
      <c r="R18" s="192">
        <v>11880000</v>
      </c>
      <c r="S18" s="122"/>
      <c r="U18" s="29">
        <f>SUM(D18:R18)</f>
        <v>63423234.359999999</v>
      </c>
    </row>
    <row r="19" spans="1:21" x14ac:dyDescent="0.2">
      <c r="B19" s="97" t="s">
        <v>29</v>
      </c>
      <c r="C19" s="91"/>
      <c r="D19" s="190">
        <f>D11*D18/100</f>
        <v>319142.4192</v>
      </c>
      <c r="E19" s="191"/>
      <c r="F19" s="191">
        <f>F11*F18/100</f>
        <v>692300.52</v>
      </c>
      <c r="G19" s="191"/>
      <c r="H19" s="192"/>
      <c r="I19" s="193"/>
      <c r="J19" s="190"/>
      <c r="K19" s="191"/>
      <c r="L19" s="192"/>
      <c r="M19" s="193"/>
      <c r="N19" s="190"/>
      <c r="O19" s="191"/>
      <c r="P19" s="191"/>
      <c r="Q19" s="191"/>
      <c r="R19" s="192">
        <v>11880000</v>
      </c>
      <c r="S19" s="122"/>
    </row>
    <row r="20" spans="1:21" x14ac:dyDescent="0.2">
      <c r="B20" s="98"/>
      <c r="C20" s="95"/>
      <c r="D20" s="52"/>
      <c r="E20" s="5"/>
      <c r="F20" s="5"/>
      <c r="G20" s="5"/>
      <c r="H20" s="38"/>
      <c r="I20" s="111"/>
      <c r="J20" s="52"/>
      <c r="K20" s="5"/>
      <c r="L20" s="38"/>
      <c r="M20" s="111"/>
      <c r="N20" s="52"/>
      <c r="O20" s="5"/>
      <c r="P20" s="5"/>
      <c r="Q20" s="5"/>
      <c r="R20" s="38"/>
      <c r="S20" s="120"/>
    </row>
    <row r="21" spans="1:21" x14ac:dyDescent="0.2">
      <c r="B21" s="99" t="s">
        <v>19</v>
      </c>
      <c r="C21" s="89"/>
      <c r="D21" s="59">
        <f>D18*D5*D14*D7*D15/(100*100)</f>
        <v>222.91210509207588</v>
      </c>
      <c r="E21" s="11">
        <f t="shared" ref="E21:R21" si="1">E18*E5*E14*E7*E15/(100*100)</f>
        <v>15.481144187278266</v>
      </c>
      <c r="F21" s="11">
        <f t="shared" si="1"/>
        <v>364.08670999532313</v>
      </c>
      <c r="G21" s="11">
        <f t="shared" si="1"/>
        <v>30.450151129531687</v>
      </c>
      <c r="H21" s="45">
        <f t="shared" si="1"/>
        <v>120.47874198336235</v>
      </c>
      <c r="I21" s="113"/>
      <c r="J21" s="59">
        <f t="shared" si="1"/>
        <v>546.46318593856074</v>
      </c>
      <c r="K21" s="11">
        <f t="shared" si="1"/>
        <v>30.994731457951765</v>
      </c>
      <c r="L21" s="45">
        <f t="shared" si="1"/>
        <v>75.343267777693967</v>
      </c>
      <c r="M21" s="113"/>
      <c r="N21" s="59">
        <f t="shared" si="1"/>
        <v>63.572994367337841</v>
      </c>
      <c r="O21" s="11">
        <f t="shared" si="1"/>
        <v>43.952653456883638</v>
      </c>
      <c r="P21" s="11">
        <f t="shared" si="1"/>
        <v>41.43252108600344</v>
      </c>
      <c r="Q21" s="11">
        <f t="shared" si="1"/>
        <v>23.250876433254785</v>
      </c>
      <c r="R21" s="45">
        <f t="shared" si="1"/>
        <v>531.06237700540419</v>
      </c>
      <c r="S21" s="122"/>
    </row>
    <row r="22" spans="1:21" x14ac:dyDescent="0.2">
      <c r="B22" s="100" t="s">
        <v>19</v>
      </c>
      <c r="C22" s="91"/>
      <c r="D22" s="60">
        <f>D18*D5*D14*D8*D15/(100*100)</f>
        <v>891.6484203683035</v>
      </c>
      <c r="E22" s="24">
        <f t="shared" ref="E22:R22" si="2">E18*E5*E14*E8*E15/(100*100)</f>
        <v>61.924576749113065</v>
      </c>
      <c r="F22" s="24">
        <f t="shared" si="2"/>
        <v>1456.3468399812925</v>
      </c>
      <c r="G22" s="24">
        <f t="shared" si="2"/>
        <v>121.80060451812675</v>
      </c>
      <c r="H22" s="46">
        <f t="shared" si="2"/>
        <v>481.91496793344942</v>
      </c>
      <c r="I22" s="113"/>
      <c r="J22" s="60">
        <f t="shared" si="2"/>
        <v>2185.852743754243</v>
      </c>
      <c r="K22" s="24">
        <f t="shared" si="2"/>
        <v>123.97892583180706</v>
      </c>
      <c r="L22" s="46">
        <f t="shared" si="2"/>
        <v>301.37307111077587</v>
      </c>
      <c r="M22" s="113"/>
      <c r="N22" s="60">
        <f t="shared" si="2"/>
        <v>254.29197746935137</v>
      </c>
      <c r="O22" s="24">
        <f t="shared" si="2"/>
        <v>175.81061382753455</v>
      </c>
      <c r="P22" s="24">
        <f t="shared" si="2"/>
        <v>165.73008434401376</v>
      </c>
      <c r="Q22" s="24">
        <f t="shared" si="2"/>
        <v>93.003505733019139</v>
      </c>
      <c r="R22" s="46">
        <f t="shared" si="2"/>
        <v>2124.2495080216167</v>
      </c>
      <c r="S22" s="122"/>
    </row>
    <row r="23" spans="1:21" x14ac:dyDescent="0.2">
      <c r="B23" s="100" t="s">
        <v>20</v>
      </c>
      <c r="C23" s="91"/>
      <c r="D23" s="58">
        <f t="shared" ref="D23:R23" si="3">D18*D5*D14*D9*D15/(100*100)</f>
        <v>371.52017515345983</v>
      </c>
      <c r="E23" s="10">
        <f t="shared" si="3"/>
        <v>25.80190697879711</v>
      </c>
      <c r="F23" s="10">
        <f t="shared" si="3"/>
        <v>606.81118332553865</v>
      </c>
      <c r="G23" s="10">
        <f t="shared" si="3"/>
        <v>50.750251882552803</v>
      </c>
      <c r="H23" s="44">
        <f t="shared" si="3"/>
        <v>200.79790330560394</v>
      </c>
      <c r="I23" s="113"/>
      <c r="J23" s="58">
        <f t="shared" si="3"/>
        <v>910.77197656426824</v>
      </c>
      <c r="K23" s="10">
        <f t="shared" si="3"/>
        <v>51.657885763252949</v>
      </c>
      <c r="L23" s="44">
        <f t="shared" si="3"/>
        <v>125.5721129628233</v>
      </c>
      <c r="M23" s="113"/>
      <c r="N23" s="58">
        <f t="shared" si="3"/>
        <v>105.95499061222972</v>
      </c>
      <c r="O23" s="10">
        <f t="shared" si="3"/>
        <v>73.254422428139392</v>
      </c>
      <c r="P23" s="10">
        <f t="shared" si="3"/>
        <v>69.054201810005736</v>
      </c>
      <c r="Q23" s="10">
        <f t="shared" si="3"/>
        <v>38.751460722091309</v>
      </c>
      <c r="R23" s="44">
        <f t="shared" si="3"/>
        <v>885.10396167567353</v>
      </c>
      <c r="S23" s="122"/>
    </row>
    <row r="24" spans="1:21" x14ac:dyDescent="0.2">
      <c r="B24" s="100" t="s">
        <v>21</v>
      </c>
      <c r="C24" s="91"/>
      <c r="D24" s="58">
        <f t="shared" ref="D24:R24" si="4">D18*D5*D14*D10*D15/(100*100)</f>
        <v>557.28026273018975</v>
      </c>
      <c r="E24" s="10">
        <f t="shared" si="4"/>
        <v>38.702860468195666</v>
      </c>
      <c r="F24" s="10">
        <f t="shared" si="4"/>
        <v>910.21677498830798</v>
      </c>
      <c r="G24" s="10">
        <f t="shared" si="4"/>
        <v>76.125377823829211</v>
      </c>
      <c r="H24" s="44">
        <f t="shared" si="4"/>
        <v>301.19685495840588</v>
      </c>
      <c r="I24" s="113"/>
      <c r="J24" s="58">
        <f t="shared" si="4"/>
        <v>1366.1579648464021</v>
      </c>
      <c r="K24" s="10">
        <f t="shared" si="4"/>
        <v>77.486828644879424</v>
      </c>
      <c r="L24" s="44">
        <f t="shared" si="4"/>
        <v>188.35816944423496</v>
      </c>
      <c r="M24" s="113"/>
      <c r="N24" s="58">
        <f t="shared" si="4"/>
        <v>158.93248591834461</v>
      </c>
      <c r="O24" s="10">
        <f t="shared" si="4"/>
        <v>109.88163364220911</v>
      </c>
      <c r="P24" s="10">
        <f t="shared" si="4"/>
        <v>103.5813027150086</v>
      </c>
      <c r="Q24" s="10">
        <f t="shared" si="4"/>
        <v>58.127191083136957</v>
      </c>
      <c r="R24" s="44">
        <f t="shared" si="4"/>
        <v>1327.6559425135104</v>
      </c>
      <c r="S24" s="122"/>
    </row>
    <row r="25" spans="1:21" x14ac:dyDescent="0.2">
      <c r="B25" s="101" t="s">
        <v>22</v>
      </c>
      <c r="C25" s="95"/>
      <c r="D25" s="58">
        <f>D19*D5*D14*D11*D15/(100*100)</f>
        <v>23.777291209821428</v>
      </c>
      <c r="E25" s="10"/>
      <c r="F25" s="10">
        <f>F19*F5*F14*F11*F15/(100*100)</f>
        <v>15.783158878297259</v>
      </c>
      <c r="G25" s="10"/>
      <c r="H25" s="44"/>
      <c r="I25" s="113"/>
      <c r="J25" s="58"/>
      <c r="K25" s="10"/>
      <c r="L25" s="44"/>
      <c r="M25" s="113"/>
      <c r="N25" s="58"/>
      <c r="O25" s="10"/>
      <c r="P25" s="10"/>
      <c r="Q25" s="10"/>
      <c r="R25" s="61">
        <f>R19*R5*R14*R11*R15/(100*100)</f>
        <v>1770.2079233513471</v>
      </c>
      <c r="S25" s="122"/>
    </row>
    <row r="26" spans="1:21" ht="13.5" thickBot="1" x14ac:dyDescent="0.25">
      <c r="B26" s="86" t="s">
        <v>52</v>
      </c>
      <c r="C26" s="30"/>
      <c r="D26" s="18">
        <f>SUM(D21:D25)</f>
        <v>2067.1382545538499</v>
      </c>
      <c r="E26" s="12">
        <f t="shared" ref="E26:R26" si="5">SUM(E21:E25)</f>
        <v>141.91048838338412</v>
      </c>
      <c r="F26" s="12">
        <f>SUM(F21:F25)</f>
        <v>3353.2446671687599</v>
      </c>
      <c r="G26" s="12">
        <f t="shared" si="5"/>
        <v>279.12638535404039</v>
      </c>
      <c r="H26" s="47">
        <f t="shared" si="5"/>
        <v>1104.3884681808217</v>
      </c>
      <c r="I26" s="113"/>
      <c r="J26" s="18">
        <f t="shared" si="5"/>
        <v>5009.2458711034742</v>
      </c>
      <c r="K26" s="12">
        <f t="shared" si="5"/>
        <v>284.11837169789118</v>
      </c>
      <c r="L26" s="47">
        <f t="shared" si="5"/>
        <v>690.64662129552812</v>
      </c>
      <c r="M26" s="113"/>
      <c r="N26" s="18">
        <f t="shared" si="5"/>
        <v>582.75244836726358</v>
      </c>
      <c r="O26" s="12">
        <f t="shared" si="5"/>
        <v>402.89932335476669</v>
      </c>
      <c r="P26" s="12">
        <f t="shared" si="5"/>
        <v>379.79810995503158</v>
      </c>
      <c r="Q26" s="12">
        <f t="shared" si="5"/>
        <v>213.13303397150219</v>
      </c>
      <c r="R26" s="47">
        <f t="shared" si="5"/>
        <v>6638.2797125675515</v>
      </c>
      <c r="S26" s="122"/>
      <c r="U26" s="117"/>
    </row>
    <row r="27" spans="1:21" ht="13.5" thickBot="1" x14ac:dyDescent="0.25">
      <c r="B27" s="67"/>
      <c r="C27" s="31"/>
      <c r="D27" s="18"/>
      <c r="E27" s="12"/>
      <c r="F27" s="12"/>
      <c r="G27" s="17"/>
      <c r="H27" s="19">
        <f>SUM(D26:H26)</f>
        <v>6945.8082636408562</v>
      </c>
      <c r="I27" s="114"/>
      <c r="J27" s="18"/>
      <c r="K27" s="17"/>
      <c r="L27" s="19">
        <f>SUM(J26:L26)</f>
        <v>5984.0108640968938</v>
      </c>
      <c r="M27" s="114"/>
      <c r="N27" s="18"/>
      <c r="O27" s="12"/>
      <c r="P27" s="12"/>
      <c r="Q27" s="17"/>
      <c r="R27" s="19">
        <f>SUM(N26:R26)</f>
        <v>8216.8626282161167</v>
      </c>
      <c r="S27" s="123"/>
      <c r="U27" s="117"/>
    </row>
    <row r="28" spans="1:21" ht="13.5" thickBot="1" x14ac:dyDescent="0.25">
      <c r="B28" s="202" t="s">
        <v>63</v>
      </c>
      <c r="C28" s="203"/>
      <c r="D28" s="204">
        <f>D26/$H27</f>
        <v>0.29760946114430992</v>
      </c>
      <c r="E28" s="205">
        <f t="shared" ref="E28:H28" si="6">E26/$H27</f>
        <v>2.043109786462741E-2</v>
      </c>
      <c r="F28" s="205">
        <f t="shared" si="6"/>
        <v>0.48277242041389939</v>
      </c>
      <c r="G28" s="205">
        <f t="shared" si="6"/>
        <v>4.0186307303525799E-2</v>
      </c>
      <c r="H28" s="206">
        <f t="shared" si="6"/>
        <v>0.15900071327363749</v>
      </c>
      <c r="I28" s="115"/>
      <c r="J28" s="204">
        <f>J26/$L27</f>
        <v>0.83710507632232867</v>
      </c>
      <c r="K28" s="205">
        <f t="shared" ref="K28:L28" si="7">K26/$L27</f>
        <v>4.7479588214412491E-2</v>
      </c>
      <c r="L28" s="206">
        <f t="shared" si="7"/>
        <v>0.1154153354632588</v>
      </c>
      <c r="M28" s="115"/>
      <c r="N28" s="204">
        <f>N26/$R27</f>
        <v>7.0921527441159052E-2</v>
      </c>
      <c r="O28" s="205">
        <f t="shared" ref="O28:R28" si="8">O26/$R27</f>
        <v>4.9033231001238763E-2</v>
      </c>
      <c r="P28" s="205">
        <f t="shared" si="8"/>
        <v>4.622179135024506E-2</v>
      </c>
      <c r="Q28" s="205">
        <f t="shared" si="8"/>
        <v>2.5938493025259864E-2</v>
      </c>
      <c r="R28" s="206">
        <f t="shared" si="8"/>
        <v>0.80788495718209707</v>
      </c>
      <c r="S28" s="124"/>
      <c r="U28" s="64"/>
    </row>
    <row r="29" spans="1:21" ht="13.5" thickBot="1" x14ac:dyDescent="0.25">
      <c r="H29" s="20">
        <f>SUM(D28:H28)</f>
        <v>1</v>
      </c>
      <c r="I29" s="32"/>
      <c r="L29" s="20">
        <f>SUM(J28:L28)</f>
        <v>0.99999999999999989</v>
      </c>
      <c r="M29" s="32"/>
      <c r="R29" s="20">
        <f>SUM(N28:R28)</f>
        <v>0.99999999999999978</v>
      </c>
      <c r="S29" s="32"/>
    </row>
    <row r="30" spans="1:21" x14ac:dyDescent="0.2">
      <c r="I30" s="1"/>
      <c r="M30" s="1"/>
    </row>
    <row r="31" spans="1:21" ht="13.5" thickBot="1" x14ac:dyDescent="0.25">
      <c r="A31" s="28" t="s">
        <v>56</v>
      </c>
      <c r="I31" s="1"/>
      <c r="M31" s="1"/>
    </row>
    <row r="32" spans="1:21" ht="13.5" thickBot="1" x14ac:dyDescent="0.25">
      <c r="B32" s="127" t="s">
        <v>50</v>
      </c>
      <c r="C32" s="128"/>
      <c r="D32" s="318">
        <f>SUM(D33:D46)</f>
        <v>28000</v>
      </c>
      <c r="E32" s="319"/>
      <c r="F32" s="319"/>
      <c r="G32" s="319"/>
      <c r="H32" s="320"/>
      <c r="I32" s="182"/>
      <c r="J32" s="321">
        <f>SUM(J33:J46)</f>
        <v>17000</v>
      </c>
      <c r="K32" s="319"/>
      <c r="L32" s="320"/>
      <c r="M32" s="182"/>
      <c r="N32" s="321">
        <f>SUM(N33:N46)</f>
        <v>18150</v>
      </c>
      <c r="O32" s="319"/>
      <c r="P32" s="319"/>
      <c r="Q32" s="319"/>
      <c r="R32" s="320"/>
      <c r="U32" s="74">
        <f>SUM(D32:R32)</f>
        <v>63150</v>
      </c>
    </row>
    <row r="33" spans="2:19" x14ac:dyDescent="0.2">
      <c r="B33" s="322" t="s">
        <v>51</v>
      </c>
      <c r="C33" s="22" t="s">
        <v>43</v>
      </c>
      <c r="D33" s="324">
        <f>4000-D34</f>
        <v>3720</v>
      </c>
      <c r="E33" s="325"/>
      <c r="F33" s="325"/>
      <c r="G33" s="325"/>
      <c r="H33" s="326"/>
      <c r="I33" s="183"/>
      <c r="J33" s="327">
        <f>2600-J34</f>
        <v>2450</v>
      </c>
      <c r="K33" s="328"/>
      <c r="L33" s="329"/>
      <c r="M33" s="184"/>
      <c r="N33" s="327">
        <f>3000-N34</f>
        <v>2880</v>
      </c>
      <c r="O33" s="328"/>
      <c r="P33" s="328"/>
      <c r="Q33" s="328"/>
      <c r="R33" s="329"/>
      <c r="S33" s="410">
        <f>SUM(D33:R34)</f>
        <v>9600</v>
      </c>
    </row>
    <row r="34" spans="2:19" x14ac:dyDescent="0.2">
      <c r="B34" s="322"/>
      <c r="C34" s="16" t="s">
        <v>37</v>
      </c>
      <c r="D34" s="330">
        <v>280</v>
      </c>
      <c r="E34" s="331"/>
      <c r="F34" s="331"/>
      <c r="G34" s="331"/>
      <c r="H34" s="332"/>
      <c r="I34" s="183"/>
      <c r="J34" s="333">
        <v>150</v>
      </c>
      <c r="K34" s="334"/>
      <c r="L34" s="335"/>
      <c r="M34" s="184"/>
      <c r="N34" s="333">
        <v>120</v>
      </c>
      <c r="O34" s="334"/>
      <c r="P34" s="334"/>
      <c r="Q34" s="334"/>
      <c r="R34" s="335"/>
      <c r="S34" s="411"/>
    </row>
    <row r="35" spans="2:19" x14ac:dyDescent="0.2">
      <c r="B35" s="322"/>
      <c r="C35" s="16" t="s">
        <v>23</v>
      </c>
      <c r="D35" s="330">
        <f>4500-D36</f>
        <v>4280</v>
      </c>
      <c r="E35" s="331"/>
      <c r="F35" s="331"/>
      <c r="G35" s="331"/>
      <c r="H35" s="332"/>
      <c r="I35" s="183"/>
      <c r="J35" s="336">
        <f>2800-J36</f>
        <v>2710</v>
      </c>
      <c r="K35" s="331"/>
      <c r="L35" s="332"/>
      <c r="M35" s="183"/>
      <c r="N35" s="336">
        <f>3500-N36</f>
        <v>3380</v>
      </c>
      <c r="O35" s="331"/>
      <c r="P35" s="331"/>
      <c r="Q35" s="331"/>
      <c r="R35" s="332"/>
      <c r="S35" s="62"/>
    </row>
    <row r="36" spans="2:19" x14ac:dyDescent="0.2">
      <c r="B36" s="322"/>
      <c r="C36" s="16" t="s">
        <v>42</v>
      </c>
      <c r="D36" s="330">
        <v>220</v>
      </c>
      <c r="E36" s="331"/>
      <c r="F36" s="331"/>
      <c r="G36" s="331"/>
      <c r="H36" s="332"/>
      <c r="I36" s="183"/>
      <c r="J36" s="336">
        <v>90</v>
      </c>
      <c r="K36" s="331"/>
      <c r="L36" s="332"/>
      <c r="M36" s="183"/>
      <c r="N36" s="336">
        <v>120</v>
      </c>
      <c r="O36" s="331"/>
      <c r="P36" s="331"/>
      <c r="Q36" s="331"/>
      <c r="R36" s="332"/>
      <c r="S36" s="62"/>
    </row>
    <row r="37" spans="2:19" x14ac:dyDescent="0.2">
      <c r="B37" s="322"/>
      <c r="C37" s="16" t="s">
        <v>44</v>
      </c>
      <c r="D37" s="337"/>
      <c r="E37" s="338"/>
      <c r="F37" s="338"/>
      <c r="G37" s="338"/>
      <c r="H37" s="339"/>
      <c r="I37" s="184"/>
      <c r="J37" s="336">
        <f>300-J38</f>
        <v>265</v>
      </c>
      <c r="K37" s="331"/>
      <c r="L37" s="332"/>
      <c r="M37" s="183"/>
      <c r="N37" s="336">
        <f>350-N38</f>
        <v>310</v>
      </c>
      <c r="O37" s="331"/>
      <c r="P37" s="331"/>
      <c r="Q37" s="331"/>
      <c r="R37" s="332"/>
      <c r="S37" s="62"/>
    </row>
    <row r="38" spans="2:19" x14ac:dyDescent="0.2">
      <c r="B38" s="322"/>
      <c r="C38" s="16" t="s">
        <v>45</v>
      </c>
      <c r="D38" s="337"/>
      <c r="E38" s="338"/>
      <c r="F38" s="338"/>
      <c r="G38" s="338"/>
      <c r="H38" s="339"/>
      <c r="I38" s="184"/>
      <c r="J38" s="336">
        <v>35</v>
      </c>
      <c r="K38" s="331"/>
      <c r="L38" s="332"/>
      <c r="M38" s="183"/>
      <c r="N38" s="336">
        <v>40</v>
      </c>
      <c r="O38" s="331"/>
      <c r="P38" s="331"/>
      <c r="Q38" s="331"/>
      <c r="R38" s="332"/>
      <c r="S38" s="62"/>
    </row>
    <row r="39" spans="2:19" x14ac:dyDescent="0.2">
      <c r="B39" s="322"/>
      <c r="C39" s="14" t="s">
        <v>24</v>
      </c>
      <c r="D39" s="330">
        <f>2500-D40</f>
        <v>2420</v>
      </c>
      <c r="E39" s="331"/>
      <c r="F39" s="331"/>
      <c r="G39" s="331"/>
      <c r="H39" s="332"/>
      <c r="I39" s="183"/>
      <c r="J39" s="336">
        <v>1565</v>
      </c>
      <c r="K39" s="331"/>
      <c r="L39" s="332"/>
      <c r="M39" s="183"/>
      <c r="N39" s="340">
        <v>1565</v>
      </c>
      <c r="O39" s="341"/>
      <c r="P39" s="341"/>
      <c r="Q39" s="341"/>
      <c r="R39" s="342"/>
      <c r="S39" s="62"/>
    </row>
    <row r="40" spans="2:19" x14ac:dyDescent="0.2">
      <c r="B40" s="322"/>
      <c r="C40" s="14" t="s">
        <v>38</v>
      </c>
      <c r="D40" s="330">
        <v>80</v>
      </c>
      <c r="E40" s="331"/>
      <c r="F40" s="331"/>
      <c r="G40" s="331"/>
      <c r="H40" s="332"/>
      <c r="I40" s="183"/>
      <c r="J40" s="336">
        <v>35</v>
      </c>
      <c r="K40" s="331"/>
      <c r="L40" s="332"/>
      <c r="M40" s="183"/>
      <c r="N40" s="340">
        <v>35</v>
      </c>
      <c r="O40" s="341"/>
      <c r="P40" s="341"/>
      <c r="Q40" s="341"/>
      <c r="R40" s="342"/>
      <c r="S40" s="62"/>
    </row>
    <row r="41" spans="2:19" x14ac:dyDescent="0.2">
      <c r="B41" s="322"/>
      <c r="C41" s="14" t="s">
        <v>25</v>
      </c>
      <c r="D41" s="330">
        <f>8500-D42</f>
        <v>8150</v>
      </c>
      <c r="E41" s="331"/>
      <c r="F41" s="331"/>
      <c r="G41" s="331"/>
      <c r="H41" s="332"/>
      <c r="I41" s="183"/>
      <c r="J41" s="336">
        <v>3900</v>
      </c>
      <c r="K41" s="331"/>
      <c r="L41" s="332"/>
      <c r="M41" s="183"/>
      <c r="N41" s="340">
        <v>3900</v>
      </c>
      <c r="O41" s="341"/>
      <c r="P41" s="341"/>
      <c r="Q41" s="341"/>
      <c r="R41" s="342"/>
      <c r="S41" s="62"/>
    </row>
    <row r="42" spans="2:19" x14ac:dyDescent="0.2">
      <c r="B42" s="322"/>
      <c r="C42" s="15" t="s">
        <v>39</v>
      </c>
      <c r="D42" s="343">
        <v>350</v>
      </c>
      <c r="E42" s="344"/>
      <c r="F42" s="344"/>
      <c r="G42" s="344"/>
      <c r="H42" s="345"/>
      <c r="I42" s="183"/>
      <c r="J42" s="346">
        <v>100</v>
      </c>
      <c r="K42" s="344"/>
      <c r="L42" s="345"/>
      <c r="M42" s="183"/>
      <c r="N42" s="347">
        <v>100</v>
      </c>
      <c r="O42" s="348"/>
      <c r="P42" s="348"/>
      <c r="Q42" s="348"/>
      <c r="R42" s="349"/>
      <c r="S42" s="62"/>
    </row>
    <row r="43" spans="2:19" x14ac:dyDescent="0.2">
      <c r="B43" s="322"/>
      <c r="C43" s="13" t="s">
        <v>35</v>
      </c>
      <c r="D43" s="350">
        <f>7000-D44</f>
        <v>6920</v>
      </c>
      <c r="E43" s="351"/>
      <c r="F43" s="351"/>
      <c r="G43" s="351"/>
      <c r="H43" s="352"/>
      <c r="I43" s="183"/>
      <c r="J43" s="353">
        <v>4690</v>
      </c>
      <c r="K43" s="351"/>
      <c r="L43" s="352"/>
      <c r="M43" s="183"/>
      <c r="N43" s="354">
        <v>4690</v>
      </c>
      <c r="O43" s="355"/>
      <c r="P43" s="355"/>
      <c r="Q43" s="355"/>
      <c r="R43" s="356"/>
      <c r="S43" s="62"/>
    </row>
    <row r="44" spans="2:19" x14ac:dyDescent="0.2">
      <c r="B44" s="322"/>
      <c r="C44" s="14" t="s">
        <v>40</v>
      </c>
      <c r="D44" s="330">
        <v>80</v>
      </c>
      <c r="E44" s="331"/>
      <c r="F44" s="331"/>
      <c r="G44" s="331"/>
      <c r="H44" s="332"/>
      <c r="I44" s="183"/>
      <c r="J44" s="336">
        <v>60</v>
      </c>
      <c r="K44" s="331"/>
      <c r="L44" s="332"/>
      <c r="M44" s="183"/>
      <c r="N44" s="340">
        <v>60</v>
      </c>
      <c r="O44" s="341"/>
      <c r="P44" s="341"/>
      <c r="Q44" s="341"/>
      <c r="R44" s="342"/>
      <c r="S44" s="62"/>
    </row>
    <row r="45" spans="2:19" x14ac:dyDescent="0.2">
      <c r="B45" s="322"/>
      <c r="C45" s="14" t="s">
        <v>36</v>
      </c>
      <c r="D45" s="330">
        <f>1500-D46</f>
        <v>1480</v>
      </c>
      <c r="E45" s="331"/>
      <c r="F45" s="331"/>
      <c r="G45" s="331"/>
      <c r="H45" s="332"/>
      <c r="I45" s="183"/>
      <c r="J45" s="336">
        <v>925</v>
      </c>
      <c r="K45" s="331"/>
      <c r="L45" s="332"/>
      <c r="M45" s="183"/>
      <c r="N45" s="340">
        <v>925</v>
      </c>
      <c r="O45" s="341"/>
      <c r="P45" s="341"/>
      <c r="Q45" s="341"/>
      <c r="R45" s="342"/>
      <c r="S45" s="62"/>
    </row>
    <row r="46" spans="2:19" ht="13.5" thickBot="1" x14ac:dyDescent="0.25">
      <c r="B46" s="323"/>
      <c r="C46" s="133" t="s">
        <v>41</v>
      </c>
      <c r="D46" s="357">
        <v>20</v>
      </c>
      <c r="E46" s="358"/>
      <c r="F46" s="358"/>
      <c r="G46" s="358"/>
      <c r="H46" s="359"/>
      <c r="I46" s="183"/>
      <c r="J46" s="360">
        <v>25</v>
      </c>
      <c r="K46" s="358"/>
      <c r="L46" s="359"/>
      <c r="M46" s="183"/>
      <c r="N46" s="361">
        <v>25</v>
      </c>
      <c r="O46" s="362"/>
      <c r="P46" s="362"/>
      <c r="Q46" s="362"/>
      <c r="R46" s="363"/>
      <c r="S46" s="62"/>
    </row>
    <row r="47" spans="2:19" x14ac:dyDescent="0.2">
      <c r="C47" s="129" t="s">
        <v>48</v>
      </c>
      <c r="D47" s="364">
        <f>SUM(D34,D36,D38,D40,D42,D44,D46)</f>
        <v>1030</v>
      </c>
      <c r="E47" s="365"/>
      <c r="F47" s="365"/>
      <c r="G47" s="365"/>
      <c r="H47" s="366"/>
      <c r="I47" s="183"/>
      <c r="J47" s="367">
        <f>SUM(J34,J36,J38,J40,J42,J44,J46)</f>
        <v>495</v>
      </c>
      <c r="K47" s="368"/>
      <c r="L47" s="369"/>
      <c r="M47" s="183"/>
      <c r="N47" s="367">
        <f>SUM(N34,N36,N38,N40,N42,N44,N46)</f>
        <v>500</v>
      </c>
      <c r="O47" s="368"/>
      <c r="P47" s="368"/>
      <c r="Q47" s="368"/>
      <c r="R47" s="369"/>
      <c r="S47" s="27"/>
    </row>
    <row r="48" spans="2:19" x14ac:dyDescent="0.2">
      <c r="C48" s="130" t="s">
        <v>49</v>
      </c>
      <c r="D48" s="378">
        <f>SUM(D33,D35,D37,D39,D41)</f>
        <v>18570</v>
      </c>
      <c r="E48" s="379"/>
      <c r="F48" s="379"/>
      <c r="G48" s="379"/>
      <c r="H48" s="380"/>
      <c r="I48" s="183"/>
      <c r="J48" s="381">
        <f>SUM(J33,J35,J37,J39,J41)</f>
        <v>10890</v>
      </c>
      <c r="K48" s="379"/>
      <c r="L48" s="380"/>
      <c r="M48" s="183"/>
      <c r="N48" s="381">
        <f>SUM(N33,N35,N37,N39,N41)</f>
        <v>12035</v>
      </c>
      <c r="O48" s="379"/>
      <c r="P48" s="379"/>
      <c r="Q48" s="379"/>
      <c r="R48" s="380"/>
      <c r="S48" s="27"/>
    </row>
    <row r="49" spans="1:20" x14ac:dyDescent="0.2">
      <c r="C49" s="131" t="s">
        <v>53</v>
      </c>
      <c r="D49" s="378">
        <v>1350</v>
      </c>
      <c r="E49" s="379"/>
      <c r="F49" s="379"/>
      <c r="G49" s="379"/>
      <c r="H49" s="380"/>
      <c r="I49" s="183"/>
      <c r="J49" s="381">
        <v>845</v>
      </c>
      <c r="K49" s="379"/>
      <c r="L49" s="380"/>
      <c r="M49" s="183"/>
      <c r="N49" s="381">
        <v>845</v>
      </c>
      <c r="O49" s="379"/>
      <c r="P49" s="379"/>
      <c r="Q49" s="379"/>
      <c r="R49" s="380"/>
      <c r="S49" s="27"/>
    </row>
    <row r="50" spans="1:20" ht="13.5" thickBot="1" x14ac:dyDescent="0.25">
      <c r="B50" s="1"/>
      <c r="C50" s="132" t="s">
        <v>61</v>
      </c>
      <c r="D50" s="370">
        <f>SUM(D43,D45)-D49</f>
        <v>7050</v>
      </c>
      <c r="E50" s="371"/>
      <c r="F50" s="371"/>
      <c r="G50" s="371"/>
      <c r="H50" s="372"/>
      <c r="I50" s="183"/>
      <c r="J50" s="373">
        <f>SUM(J43,J45)-J49</f>
        <v>4770</v>
      </c>
      <c r="K50" s="371"/>
      <c r="L50" s="372"/>
      <c r="M50" s="183"/>
      <c r="N50" s="373">
        <f>SUM(N43,N45)-N49</f>
        <v>4770</v>
      </c>
      <c r="O50" s="371"/>
      <c r="P50" s="371"/>
      <c r="Q50" s="371"/>
      <c r="R50" s="372"/>
      <c r="S50" s="27"/>
    </row>
    <row r="51" spans="1:20" x14ac:dyDescent="0.2">
      <c r="A51" s="1"/>
      <c r="B51" s="1"/>
      <c r="C51" s="65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1"/>
    </row>
    <row r="52" spans="1:20" x14ac:dyDescent="0.2">
      <c r="A52" s="1" t="s">
        <v>57</v>
      </c>
      <c r="B52" s="1"/>
      <c r="C52" s="65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1"/>
    </row>
    <row r="53" spans="1:20" ht="13.5" thickBot="1" x14ac:dyDescent="0.25">
      <c r="A53" s="71" t="s">
        <v>65</v>
      </c>
      <c r="B53" s="66"/>
      <c r="C53" s="70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1"/>
    </row>
    <row r="54" spans="1:20" ht="13.5" thickBot="1" x14ac:dyDescent="0.25">
      <c r="A54" s="1"/>
      <c r="B54" s="385" t="s">
        <v>32</v>
      </c>
      <c r="C54" s="176" t="s">
        <v>30</v>
      </c>
      <c r="D54" s="382">
        <v>0.1</v>
      </c>
      <c r="E54" s="382"/>
      <c r="F54" s="382"/>
      <c r="G54" s="382"/>
      <c r="H54" s="383"/>
      <c r="I54" s="134">
        <f>D$47*D54</f>
        <v>103</v>
      </c>
      <c r="J54" s="384">
        <v>0.1</v>
      </c>
      <c r="K54" s="382"/>
      <c r="L54" s="382"/>
      <c r="M54" s="135">
        <f>J$47*J54</f>
        <v>49.5</v>
      </c>
      <c r="N54" s="393">
        <v>0.1</v>
      </c>
      <c r="O54" s="393"/>
      <c r="P54" s="393"/>
      <c r="Q54" s="393"/>
      <c r="R54" s="394"/>
      <c r="S54" s="136">
        <f>N47*N54</f>
        <v>50</v>
      </c>
    </row>
    <row r="55" spans="1:20" ht="12.75" customHeight="1" x14ac:dyDescent="0.2">
      <c r="B55" s="386"/>
      <c r="C55" s="177" t="s">
        <v>59</v>
      </c>
      <c r="D55" s="382">
        <v>0.9</v>
      </c>
      <c r="E55" s="382"/>
      <c r="F55" s="382"/>
      <c r="G55" s="382"/>
      <c r="H55" s="383"/>
      <c r="I55" s="137">
        <f>D$47*D55</f>
        <v>927</v>
      </c>
      <c r="J55" s="398">
        <v>0.9</v>
      </c>
      <c r="K55" s="399"/>
      <c r="L55" s="400"/>
      <c r="M55" s="138">
        <f>J$47*J55</f>
        <v>445.5</v>
      </c>
      <c r="N55" s="393">
        <v>0.9</v>
      </c>
      <c r="O55" s="393"/>
      <c r="P55" s="393"/>
      <c r="Q55" s="393"/>
      <c r="R55" s="394"/>
      <c r="S55" s="139">
        <f>N47*N55</f>
        <v>450</v>
      </c>
    </row>
    <row r="56" spans="1:20" ht="12.75" customHeight="1" x14ac:dyDescent="0.2">
      <c r="B56" s="395" t="s">
        <v>46</v>
      </c>
      <c r="C56" s="194" t="s">
        <v>60</v>
      </c>
      <c r="D56" s="195">
        <f>D28*$D48</f>
        <v>5526.6076934498351</v>
      </c>
      <c r="E56" s="196">
        <f t="shared" ref="E56:H56" si="9">E28*$D48</f>
        <v>379.405487346131</v>
      </c>
      <c r="F56" s="196">
        <f t="shared" si="9"/>
        <v>8965.0838470861127</v>
      </c>
      <c r="G56" s="196">
        <f t="shared" si="9"/>
        <v>746.25972662647405</v>
      </c>
      <c r="H56" s="197">
        <f t="shared" si="9"/>
        <v>2952.6432454914484</v>
      </c>
      <c r="I56" s="198">
        <f>SUM(D56:H56)</f>
        <v>18570</v>
      </c>
      <c r="J56" s="195">
        <f>J28*$J48</f>
        <v>9116.0742811501586</v>
      </c>
      <c r="K56" s="196">
        <f t="shared" ref="K56:L56" si="10">K28*$J48</f>
        <v>517.05271565495207</v>
      </c>
      <c r="L56" s="199">
        <f t="shared" si="10"/>
        <v>1256.8730031948883</v>
      </c>
      <c r="M56" s="200">
        <f>SUM(J56:L56)</f>
        <v>10890</v>
      </c>
      <c r="N56" s="195">
        <f>N28*$N48</f>
        <v>853.5405827543492</v>
      </c>
      <c r="O56" s="196">
        <f t="shared" ref="O56:R56" si="11">O28*$N48</f>
        <v>590.11493509990851</v>
      </c>
      <c r="P56" s="196">
        <f t="shared" si="11"/>
        <v>556.27925890019935</v>
      </c>
      <c r="Q56" s="196">
        <f t="shared" si="11"/>
        <v>312.16976355900243</v>
      </c>
      <c r="R56" s="197">
        <f t="shared" si="11"/>
        <v>9722.8954596865387</v>
      </c>
      <c r="S56" s="201">
        <f>SUM(N56:R56)</f>
        <v>12034.999999999998</v>
      </c>
    </row>
    <row r="57" spans="1:20" ht="12.75" customHeight="1" x14ac:dyDescent="0.2">
      <c r="B57" s="396"/>
      <c r="C57" s="178" t="s">
        <v>30</v>
      </c>
      <c r="D57" s="173">
        <v>1</v>
      </c>
      <c r="E57" s="140">
        <v>0</v>
      </c>
      <c r="F57" s="140"/>
      <c r="G57" s="140"/>
      <c r="H57" s="141"/>
      <c r="I57" s="142">
        <f>D$56*D57+E$56*E57+F$56*F57+G$56*G57+H$56*H57</f>
        <v>5526.6076934498351</v>
      </c>
      <c r="J57" s="143">
        <v>0.4</v>
      </c>
      <c r="K57" s="144">
        <v>0</v>
      </c>
      <c r="L57" s="145">
        <v>0.4</v>
      </c>
      <c r="M57" s="146">
        <f>J56*J57+K56*K57+L56*L57</f>
        <v>4149.1789137380183</v>
      </c>
      <c r="N57" s="147">
        <v>0</v>
      </c>
      <c r="O57" s="148">
        <v>0</v>
      </c>
      <c r="P57" s="148">
        <v>0</v>
      </c>
      <c r="Q57" s="148">
        <v>0</v>
      </c>
      <c r="R57" s="149">
        <v>1</v>
      </c>
      <c r="S57" s="150">
        <f>N$56*N57+O$56*O57+P$56*P57+Q$56*Q57+R$56*R57</f>
        <v>9722.8954596865387</v>
      </c>
    </row>
    <row r="58" spans="1:20" ht="12.75" customHeight="1" x14ac:dyDescent="0.2">
      <c r="B58" s="396"/>
      <c r="C58" s="179" t="s">
        <v>59</v>
      </c>
      <c r="D58" s="174"/>
      <c r="E58" s="151">
        <v>1</v>
      </c>
      <c r="F58" s="151">
        <v>1</v>
      </c>
      <c r="G58" s="151"/>
      <c r="H58" s="152"/>
      <c r="I58" s="153">
        <f t="shared" ref="I58:I59" si="12">D$56*D58+E$56*E58+F$56*F58+G$56*G58+H$56*H58</f>
        <v>9344.4893344322445</v>
      </c>
      <c r="J58" s="154">
        <v>0.6</v>
      </c>
      <c r="K58" s="155">
        <v>1</v>
      </c>
      <c r="L58" s="156">
        <v>0.6</v>
      </c>
      <c r="M58" s="157">
        <f>J56*J58+K56*K58+L56*L58</f>
        <v>6740.8210862619808</v>
      </c>
      <c r="N58" s="158">
        <v>1</v>
      </c>
      <c r="O58" s="159">
        <v>1</v>
      </c>
      <c r="P58" s="159">
        <v>1</v>
      </c>
      <c r="Q58" s="159">
        <v>1</v>
      </c>
      <c r="R58" s="160"/>
      <c r="S58" s="161">
        <f t="shared" ref="S58:S59" si="13">N$56*N58+O$56*O58+P$56*P58+Q$56*Q58+R$56*R58</f>
        <v>2312.1045403134594</v>
      </c>
    </row>
    <row r="59" spans="1:20" ht="12.75" customHeight="1" x14ac:dyDescent="0.2">
      <c r="B59" s="397"/>
      <c r="C59" s="177" t="s">
        <v>31</v>
      </c>
      <c r="D59" s="175"/>
      <c r="E59" s="162"/>
      <c r="F59" s="162">
        <v>0</v>
      </c>
      <c r="G59" s="162">
        <v>1</v>
      </c>
      <c r="H59" s="163">
        <v>1</v>
      </c>
      <c r="I59" s="138">
        <f t="shared" si="12"/>
        <v>3698.9029721179222</v>
      </c>
      <c r="J59" s="164"/>
      <c r="K59" s="165"/>
      <c r="L59" s="166"/>
      <c r="M59" s="138">
        <f>J56*J59+K56*K59+L56*L59</f>
        <v>0</v>
      </c>
      <c r="N59" s="167"/>
      <c r="O59" s="168"/>
      <c r="P59" s="168"/>
      <c r="Q59" s="168"/>
      <c r="R59" s="169"/>
      <c r="S59" s="139">
        <f t="shared" si="13"/>
        <v>0</v>
      </c>
    </row>
    <row r="60" spans="1:20" ht="12.75" customHeight="1" x14ac:dyDescent="0.2">
      <c r="B60" s="407" t="s">
        <v>54</v>
      </c>
      <c r="C60" s="180" t="s">
        <v>30</v>
      </c>
      <c r="D60" s="391"/>
      <c r="E60" s="391"/>
      <c r="F60" s="391"/>
      <c r="G60" s="391"/>
      <c r="H60" s="392"/>
      <c r="I60" s="142">
        <f>D$49*D60</f>
        <v>0</v>
      </c>
      <c r="J60" s="404"/>
      <c r="K60" s="391"/>
      <c r="L60" s="391"/>
      <c r="M60" s="146">
        <f>J$49*J60</f>
        <v>0</v>
      </c>
      <c r="N60" s="391"/>
      <c r="O60" s="391"/>
      <c r="P60" s="391"/>
      <c r="Q60" s="391"/>
      <c r="R60" s="392"/>
      <c r="S60" s="150">
        <f>N49*N60</f>
        <v>0</v>
      </c>
    </row>
    <row r="61" spans="1:20" ht="12.75" customHeight="1" x14ac:dyDescent="0.2">
      <c r="B61" s="386"/>
      <c r="C61" s="177" t="s">
        <v>59</v>
      </c>
      <c r="D61" s="382">
        <v>1</v>
      </c>
      <c r="E61" s="382"/>
      <c r="F61" s="382"/>
      <c r="G61" s="382"/>
      <c r="H61" s="383"/>
      <c r="I61" s="137">
        <f>D$49*D61</f>
        <v>1350</v>
      </c>
      <c r="J61" s="384">
        <v>1</v>
      </c>
      <c r="K61" s="382"/>
      <c r="L61" s="382"/>
      <c r="M61" s="138">
        <f>J$49*J61</f>
        <v>845</v>
      </c>
      <c r="N61" s="382">
        <v>1</v>
      </c>
      <c r="O61" s="382"/>
      <c r="P61" s="382"/>
      <c r="Q61" s="382"/>
      <c r="R61" s="383"/>
      <c r="S61" s="139">
        <f>N49*N61</f>
        <v>845</v>
      </c>
    </row>
    <row r="62" spans="1:20" ht="12.75" customHeight="1" x14ac:dyDescent="0.2">
      <c r="B62" s="408" t="s">
        <v>33</v>
      </c>
      <c r="C62" s="178" t="s">
        <v>30</v>
      </c>
      <c r="D62" s="391">
        <v>0.8</v>
      </c>
      <c r="E62" s="391"/>
      <c r="F62" s="391"/>
      <c r="G62" s="391"/>
      <c r="H62" s="392"/>
      <c r="I62" s="142">
        <f>D62*D$50</f>
        <v>5640</v>
      </c>
      <c r="J62" s="404"/>
      <c r="K62" s="391"/>
      <c r="L62" s="391"/>
      <c r="M62" s="146">
        <f>J62*J$50</f>
        <v>0</v>
      </c>
      <c r="N62" s="391">
        <v>1</v>
      </c>
      <c r="O62" s="391"/>
      <c r="P62" s="391"/>
      <c r="Q62" s="391"/>
      <c r="R62" s="392"/>
      <c r="S62" s="150">
        <f>N62*N50</f>
        <v>4770</v>
      </c>
    </row>
    <row r="63" spans="1:20" ht="12.75" customHeight="1" x14ac:dyDescent="0.2">
      <c r="B63" s="407"/>
      <c r="C63" s="179" t="s">
        <v>59</v>
      </c>
      <c r="D63" s="387">
        <v>0</v>
      </c>
      <c r="E63" s="387"/>
      <c r="F63" s="387"/>
      <c r="G63" s="387"/>
      <c r="H63" s="388"/>
      <c r="I63" s="153">
        <f>D$50*D63</f>
        <v>0</v>
      </c>
      <c r="J63" s="406">
        <v>1</v>
      </c>
      <c r="K63" s="387"/>
      <c r="L63" s="387"/>
      <c r="M63" s="157">
        <f>J$50*J63</f>
        <v>4770</v>
      </c>
      <c r="N63" s="387"/>
      <c r="O63" s="387"/>
      <c r="P63" s="387"/>
      <c r="Q63" s="387"/>
      <c r="R63" s="388"/>
      <c r="S63" s="161">
        <f>N50*N63</f>
        <v>0</v>
      </c>
    </row>
    <row r="64" spans="1:20" ht="12.75" customHeight="1" thickBot="1" x14ac:dyDescent="0.25">
      <c r="B64" s="409"/>
      <c r="C64" s="181" t="s">
        <v>31</v>
      </c>
      <c r="D64" s="389">
        <v>0.2</v>
      </c>
      <c r="E64" s="389"/>
      <c r="F64" s="389"/>
      <c r="G64" s="389"/>
      <c r="H64" s="390"/>
      <c r="I64" s="170">
        <f>D$50*D64</f>
        <v>1410</v>
      </c>
      <c r="J64" s="405"/>
      <c r="K64" s="389"/>
      <c r="L64" s="389"/>
      <c r="M64" s="171">
        <f>J$50*J64</f>
        <v>0</v>
      </c>
      <c r="N64" s="389"/>
      <c r="O64" s="389"/>
      <c r="P64" s="389"/>
      <c r="Q64" s="389"/>
      <c r="R64" s="390"/>
      <c r="S64" s="172">
        <f>N50*N64</f>
        <v>0</v>
      </c>
    </row>
    <row r="65" spans="2:20" ht="13.5" thickBot="1" x14ac:dyDescent="0.25">
      <c r="B65" s="77"/>
      <c r="C65" s="1"/>
      <c r="D65" s="1"/>
      <c r="E65" s="1"/>
      <c r="F65" s="1"/>
      <c r="G65" s="1"/>
      <c r="H65" s="1"/>
      <c r="I65" s="75"/>
      <c r="J65" s="1"/>
      <c r="K65" s="1"/>
      <c r="L65" s="1"/>
      <c r="M65" s="75"/>
      <c r="N65" s="1"/>
      <c r="O65" s="1"/>
      <c r="P65" s="1"/>
      <c r="Q65" s="1"/>
      <c r="R65" s="1"/>
      <c r="S65" s="78"/>
    </row>
    <row r="66" spans="2:20" x14ac:dyDescent="0.2">
      <c r="B66" s="401" t="s">
        <v>55</v>
      </c>
      <c r="C66" s="185" t="s">
        <v>30</v>
      </c>
      <c r="D66" s="102"/>
      <c r="E66" s="103"/>
      <c r="F66" s="104">
        <f>I66/D$32</f>
        <v>0.40248598905177979</v>
      </c>
      <c r="G66" s="103"/>
      <c r="H66" s="105"/>
      <c r="I66" s="106">
        <f>I54+I57+I60+I62</f>
        <v>11269.607693449834</v>
      </c>
      <c r="J66" s="102"/>
      <c r="K66" s="104">
        <f>M66/J$32</f>
        <v>0.2469811125728246</v>
      </c>
      <c r="L66" s="103"/>
      <c r="M66" s="106">
        <f>M54+M57+M60+M62</f>
        <v>4198.6789137380183</v>
      </c>
      <c r="N66" s="102"/>
      <c r="O66" s="103"/>
      <c r="P66" s="104">
        <f>S66/N$32</f>
        <v>0.80126145783396907</v>
      </c>
      <c r="Q66" s="103"/>
      <c r="R66" s="103"/>
      <c r="S66" s="107">
        <f>S54+S57+S60+S62</f>
        <v>14542.895459686539</v>
      </c>
      <c r="T66" s="187">
        <f>(I66+M66+S66)/U$32</f>
        <v>0.47523645394892144</v>
      </c>
    </row>
    <row r="67" spans="2:20" x14ac:dyDescent="0.2">
      <c r="B67" s="402"/>
      <c r="C67" s="186" t="s">
        <v>59</v>
      </c>
      <c r="D67" s="23"/>
      <c r="E67" s="68"/>
      <c r="F67" s="73">
        <f t="shared" ref="F67:F68" si="14">I67/D$32</f>
        <v>0.41505319051543732</v>
      </c>
      <c r="G67" s="68"/>
      <c r="H67" s="69"/>
      <c r="I67" s="76">
        <f>I55+I58+I61+I63</f>
        <v>11621.489334432245</v>
      </c>
      <c r="J67" s="23"/>
      <c r="K67" s="73">
        <f t="shared" ref="K67:K68" si="15">M67/J$32</f>
        <v>0.75301888742717538</v>
      </c>
      <c r="L67" s="68"/>
      <c r="M67" s="76">
        <f>M55+M58+M61+M63</f>
        <v>12801.321086261982</v>
      </c>
      <c r="N67" s="23"/>
      <c r="O67" s="68"/>
      <c r="P67" s="73">
        <f t="shared" ref="P67:P68" si="16">S67/N$32</f>
        <v>0.19873854216603082</v>
      </c>
      <c r="Q67" s="68"/>
      <c r="R67" s="68"/>
      <c r="S67" s="79">
        <f>S55+S58+S61+S63</f>
        <v>3607.1045403134594</v>
      </c>
      <c r="T67" s="188">
        <f>(I67+M67+S67)/U$32</f>
        <v>0.44386246969133308</v>
      </c>
    </row>
    <row r="68" spans="2:20" ht="13.5" thickBot="1" x14ac:dyDescent="0.25">
      <c r="B68" s="403"/>
      <c r="C68" s="207" t="s">
        <v>31</v>
      </c>
      <c r="D68" s="80"/>
      <c r="E68" s="81"/>
      <c r="F68" s="82">
        <f t="shared" si="14"/>
        <v>0.18246082043278294</v>
      </c>
      <c r="G68" s="81"/>
      <c r="H68" s="83"/>
      <c r="I68" s="84">
        <f>I59+I64</f>
        <v>5108.9029721179222</v>
      </c>
      <c r="J68" s="80"/>
      <c r="K68" s="82">
        <f t="shared" si="15"/>
        <v>0</v>
      </c>
      <c r="L68" s="81"/>
      <c r="M68" s="84">
        <f>M59+M64</f>
        <v>0</v>
      </c>
      <c r="N68" s="80"/>
      <c r="O68" s="81"/>
      <c r="P68" s="82">
        <f t="shared" si="16"/>
        <v>0</v>
      </c>
      <c r="Q68" s="81"/>
      <c r="R68" s="81"/>
      <c r="S68" s="85">
        <f>S59+S64</f>
        <v>0</v>
      </c>
      <c r="T68" s="208">
        <f>(I68+M68+S68)/U$32</f>
        <v>8.0901076359745402E-2</v>
      </c>
    </row>
    <row r="69" spans="2:20" x14ac:dyDescent="0.2">
      <c r="B69" t="s">
        <v>58</v>
      </c>
      <c r="I69" s="72" t="str">
        <f>IF(SUM(I66:I68)=D$32,"iO","!")</f>
        <v>iO</v>
      </c>
      <c r="M69" s="72" t="str">
        <f>IF(SUM(M66:M68)=J$32,"iO","!")</f>
        <v>iO</v>
      </c>
      <c r="S69" s="72" t="str">
        <f>IF(SUM(S66:S68)=N$32,"iO","!")</f>
        <v>iO</v>
      </c>
      <c r="T69" s="189"/>
    </row>
    <row r="70" spans="2:20" x14ac:dyDescent="0.2">
      <c r="T70" s="189"/>
    </row>
    <row r="72" spans="2:20" x14ac:dyDescent="0.2">
      <c r="B72" s="28" t="s">
        <v>66</v>
      </c>
    </row>
    <row r="74" spans="2:20" x14ac:dyDescent="0.2">
      <c r="B74" s="217" t="s">
        <v>67</v>
      </c>
      <c r="C74" s="217"/>
      <c r="D74" s="218">
        <f t="shared" ref="D74:H76" si="17">D7/D$12*D$56/D$16</f>
        <v>526.3435898523652</v>
      </c>
      <c r="E74" s="232">
        <f t="shared" si="17"/>
        <v>41.389689528668832</v>
      </c>
      <c r="F74" s="232">
        <f t="shared" si="17"/>
        <v>59.667779348326874</v>
      </c>
      <c r="G74" s="232">
        <f t="shared" si="17"/>
        <v>5.4273434663743565</v>
      </c>
      <c r="H74" s="232">
        <f t="shared" si="17"/>
        <v>14.004631994425841</v>
      </c>
      <c r="I74" s="232">
        <f>(D74*D$16)+(E74*E$16)+(F74*F$16)+(G74*G$16)+(H74*H$16)</f>
        <v>1866.2666574733466</v>
      </c>
      <c r="J74" s="116"/>
      <c r="K74" s="116"/>
      <c r="L74" s="116"/>
      <c r="M74" s="116"/>
      <c r="N74" s="235">
        <f t="shared" ref="N74:R76" si="18">N7/N$12*N$56/N$16</f>
        <v>11.639189764832034</v>
      </c>
      <c r="O74" s="235">
        <f t="shared" si="18"/>
        <v>9.1965963911674056</v>
      </c>
      <c r="P74" s="235">
        <f t="shared" si="18"/>
        <v>6.7427788957599919</v>
      </c>
      <c r="Q74" s="235">
        <f t="shared" si="18"/>
        <v>2.6196064074881322</v>
      </c>
      <c r="R74" s="221">
        <f t="shared" si="18"/>
        <v>777.83163677492314</v>
      </c>
      <c r="S74" s="221">
        <f>(N74*N$16)+(O74*O$16)+(P74*P$16)+(Q74*Q$16)+(R74*R$16)</f>
        <v>1030.061222990937</v>
      </c>
    </row>
    <row r="75" spans="2:20" x14ac:dyDescent="0.2">
      <c r="B75" s="217" t="s">
        <v>68</v>
      </c>
      <c r="C75" s="217"/>
      <c r="D75" s="218">
        <f t="shared" si="17"/>
        <v>2105.3743594094608</v>
      </c>
      <c r="E75" s="233">
        <f t="shared" si="17"/>
        <v>165.55875811467533</v>
      </c>
      <c r="F75" s="218">
        <f t="shared" si="17"/>
        <v>238.6711173933075</v>
      </c>
      <c r="G75" s="233">
        <f t="shared" si="17"/>
        <v>21.709373865497426</v>
      </c>
      <c r="H75" s="233">
        <f t="shared" si="17"/>
        <v>56.018527977703364</v>
      </c>
      <c r="I75" s="218">
        <f>(D75*D$16)+(E75*E$16)+(F75*F$16)+(G75*G$16)+(H75*H$16)</f>
        <v>7465.0666298933866</v>
      </c>
      <c r="N75" s="234">
        <f t="shared" si="18"/>
        <v>46.556759059328137</v>
      </c>
      <c r="O75" s="234">
        <f t="shared" si="18"/>
        <v>36.786385564669622</v>
      </c>
      <c r="P75" s="234">
        <f t="shared" si="18"/>
        <v>26.971115583039968</v>
      </c>
      <c r="Q75" s="234">
        <f t="shared" si="18"/>
        <v>10.478425629952529</v>
      </c>
      <c r="R75" s="221">
        <f t="shared" si="18"/>
        <v>3111.3265470996926</v>
      </c>
      <c r="S75" s="221">
        <f t="shared" ref="S75:S77" si="19">(N75*N$16)+(O75*O$16)+(P75*P$16)+(Q75*Q$16)+(R75*R$16)</f>
        <v>4120.2448919637482</v>
      </c>
    </row>
    <row r="76" spans="2:20" x14ac:dyDescent="0.2">
      <c r="B76" s="217" t="s">
        <v>69</v>
      </c>
      <c r="C76" s="217"/>
      <c r="D76" s="218">
        <f t="shared" si="17"/>
        <v>877.2393164206087</v>
      </c>
      <c r="E76" s="218">
        <f t="shared" si="17"/>
        <v>68.982815881114732</v>
      </c>
      <c r="F76" s="218">
        <f t="shared" si="17"/>
        <v>99.44629891387811</v>
      </c>
      <c r="G76" s="218">
        <f t="shared" si="17"/>
        <v>9.045572443957262</v>
      </c>
      <c r="H76" s="218">
        <f t="shared" si="17"/>
        <v>23.34105332404307</v>
      </c>
      <c r="I76" s="218">
        <f t="shared" ref="I76:I77" si="20">(D76*D$16)+(E76*E$16)+(F76*F$16)+(G76*G$16)+(H76*H$16)</f>
        <v>3110.4444291222444</v>
      </c>
      <c r="N76" s="221">
        <f t="shared" si="18"/>
        <v>19.398649608053393</v>
      </c>
      <c r="O76" s="221">
        <f t="shared" si="18"/>
        <v>15.327660651945676</v>
      </c>
      <c r="P76" s="221">
        <f t="shared" si="18"/>
        <v>11.237964826266655</v>
      </c>
      <c r="Q76" s="221">
        <f t="shared" si="18"/>
        <v>4.3660106791468873</v>
      </c>
      <c r="R76" s="221">
        <f t="shared" si="18"/>
        <v>1296.3860612915385</v>
      </c>
      <c r="S76" s="221">
        <f t="shared" si="19"/>
        <v>1716.7687049848946</v>
      </c>
    </row>
    <row r="77" spans="2:20" x14ac:dyDescent="0.2">
      <c r="B77" s="217" t="s">
        <v>70</v>
      </c>
      <c r="C77" s="217"/>
      <c r="D77" s="218">
        <f>(D10+D11)/D$12*D$56/D$16</f>
        <v>2017.6504277674001</v>
      </c>
      <c r="E77" s="233">
        <f>(E10+E11)/E$12*E$56/E$16</f>
        <v>103.47422382167208</v>
      </c>
      <c r="F77" s="218">
        <f>(F10+F11)/F$12*F$56/F$16</f>
        <v>199.88706081689503</v>
      </c>
      <c r="G77" s="233">
        <f>(G10+G11)/G$12*G$56/G$16</f>
        <v>13.568358665935891</v>
      </c>
      <c r="H77" s="233">
        <f>(H10+H11)/H$12*H$56/H$16</f>
        <v>35.011579986064604</v>
      </c>
      <c r="I77" s="218">
        <f t="shared" si="20"/>
        <v>6128.2222835110215</v>
      </c>
      <c r="N77" s="234">
        <f>N10/N$12*N$56/N$16</f>
        <v>29.097974412080085</v>
      </c>
      <c r="O77" s="234">
        <f>O10/O$12*O$56/O$16</f>
        <v>22.991490977918513</v>
      </c>
      <c r="P77" s="234">
        <f>P10/P$12*P$56/P$16</f>
        <v>16.856947239399979</v>
      </c>
      <c r="Q77" s="234">
        <f>Q10/Q$12*Q$56/Q$16</f>
        <v>6.549016018720331</v>
      </c>
      <c r="R77" s="221">
        <f>(R10+R11)/R$12*R$56/R$16</f>
        <v>4537.3512145203849</v>
      </c>
      <c r="S77" s="221">
        <f t="shared" si="19"/>
        <v>5167.9251800604197</v>
      </c>
    </row>
    <row r="78" spans="2:20" x14ac:dyDescent="0.2">
      <c r="D78" s="218">
        <f>SUM(D74:D77)*D$16</f>
        <v>5526.6076934498351</v>
      </c>
      <c r="E78" s="218">
        <f t="shared" ref="E78:H78" si="21">SUM(E74:E77)*E$16</f>
        <v>379.405487346131</v>
      </c>
      <c r="F78" s="218">
        <f t="shared" si="21"/>
        <v>8965.0838470861127</v>
      </c>
      <c r="G78" s="218">
        <f t="shared" si="21"/>
        <v>746.25972662647405</v>
      </c>
      <c r="H78" s="218">
        <f t="shared" si="21"/>
        <v>2952.6432454914484</v>
      </c>
      <c r="I78" s="218">
        <f>SUM(I74:I77)</f>
        <v>18570</v>
      </c>
      <c r="N78" s="218">
        <f>SUM(N74:N77)*N$16</f>
        <v>853.54058275434909</v>
      </c>
      <c r="O78" s="218">
        <f t="shared" ref="O78:R78" si="22">SUM(O74:O77)*O$16</f>
        <v>590.11493509990851</v>
      </c>
      <c r="P78" s="218">
        <f t="shared" si="22"/>
        <v>556.27925890019935</v>
      </c>
      <c r="Q78" s="218">
        <f t="shared" si="22"/>
        <v>312.16976355900243</v>
      </c>
      <c r="R78" s="218">
        <f t="shared" si="22"/>
        <v>9722.8954596865387</v>
      </c>
      <c r="S78" s="221">
        <f>SUM(S74:S77)</f>
        <v>12035</v>
      </c>
    </row>
    <row r="79" spans="2:20" x14ac:dyDescent="0.2">
      <c r="I79" s="72"/>
    </row>
  </sheetData>
  <mergeCells count="88">
    <mergeCell ref="S33:S34"/>
    <mergeCell ref="B56:B59"/>
    <mergeCell ref="J55:L55"/>
    <mergeCell ref="B66:B68"/>
    <mergeCell ref="D60:H60"/>
    <mergeCell ref="J60:L60"/>
    <mergeCell ref="J62:L62"/>
    <mergeCell ref="J64:L64"/>
    <mergeCell ref="D62:H62"/>
    <mergeCell ref="J63:L63"/>
    <mergeCell ref="B60:B61"/>
    <mergeCell ref="B62:B64"/>
    <mergeCell ref="D61:H61"/>
    <mergeCell ref="J61:L61"/>
    <mergeCell ref="D64:H64"/>
    <mergeCell ref="N46:R46"/>
    <mergeCell ref="J44:L44"/>
    <mergeCell ref="D49:H49"/>
    <mergeCell ref="D63:H63"/>
    <mergeCell ref="N64:R64"/>
    <mergeCell ref="N63:R63"/>
    <mergeCell ref="N60:R60"/>
    <mergeCell ref="N54:R54"/>
    <mergeCell ref="N55:R55"/>
    <mergeCell ref="J49:L49"/>
    <mergeCell ref="N49:R49"/>
    <mergeCell ref="N61:R61"/>
    <mergeCell ref="N62:R62"/>
    <mergeCell ref="N47:R47"/>
    <mergeCell ref="D48:H48"/>
    <mergeCell ref="J48:L48"/>
    <mergeCell ref="N48:R48"/>
    <mergeCell ref="D50:H50"/>
    <mergeCell ref="J50:L50"/>
    <mergeCell ref="N50:R50"/>
    <mergeCell ref="D47:H47"/>
    <mergeCell ref="J47:L47"/>
    <mergeCell ref="J34:L34"/>
    <mergeCell ref="J35:L35"/>
    <mergeCell ref="B33:B46"/>
    <mergeCell ref="D55:H55"/>
    <mergeCell ref="D54:H54"/>
    <mergeCell ref="J54:L54"/>
    <mergeCell ref="B54:B55"/>
    <mergeCell ref="D46:H46"/>
    <mergeCell ref="J36:L36"/>
    <mergeCell ref="J37:L37"/>
    <mergeCell ref="J38:L38"/>
    <mergeCell ref="J39:L39"/>
    <mergeCell ref="J40:L40"/>
    <mergeCell ref="J41:L41"/>
    <mergeCell ref="J42:L42"/>
    <mergeCell ref="D45:H45"/>
    <mergeCell ref="D34:H34"/>
    <mergeCell ref="D35:H35"/>
    <mergeCell ref="D36:H36"/>
    <mergeCell ref="D39:H39"/>
    <mergeCell ref="D40:H40"/>
    <mergeCell ref="D41:H41"/>
    <mergeCell ref="D42:H42"/>
    <mergeCell ref="D43:H43"/>
    <mergeCell ref="D44:H44"/>
    <mergeCell ref="D37:H37"/>
    <mergeCell ref="D38:H38"/>
    <mergeCell ref="D2:H2"/>
    <mergeCell ref="J2:L2"/>
    <mergeCell ref="N2:R2"/>
    <mergeCell ref="D32:H32"/>
    <mergeCell ref="D33:H33"/>
    <mergeCell ref="J32:L32"/>
    <mergeCell ref="N32:R32"/>
    <mergeCell ref="J33:L33"/>
    <mergeCell ref="J45:L45"/>
    <mergeCell ref="J46:L46"/>
    <mergeCell ref="N33:R33"/>
    <mergeCell ref="N34:R34"/>
    <mergeCell ref="N35:R35"/>
    <mergeCell ref="N36:R36"/>
    <mergeCell ref="N37:R37"/>
    <mergeCell ref="N38:R38"/>
    <mergeCell ref="N39:R39"/>
    <mergeCell ref="N40:R40"/>
    <mergeCell ref="N41:R41"/>
    <mergeCell ref="N42:R42"/>
    <mergeCell ref="N43:R43"/>
    <mergeCell ref="N44:R44"/>
    <mergeCell ref="J43:L43"/>
    <mergeCell ref="N45:R45"/>
  </mergeCells>
  <conditionalFormatting sqref="I69 M69 S69">
    <cfRule type="cellIs" dxfId="5" priority="19" operator="equal">
      <formula>"!"</formula>
    </cfRule>
    <cfRule type="cellIs" dxfId="4" priority="22" operator="equal">
      <formula>"iO"</formula>
    </cfRule>
  </conditionalFormatting>
  <conditionalFormatting sqref="I79">
    <cfRule type="cellIs" dxfId="3" priority="1" operator="equal">
      <formula>"!"</formula>
    </cfRule>
    <cfRule type="cellIs" dxfId="2" priority="2" operator="equal">
      <formula>"iO"</formula>
    </cfRule>
  </conditionalFormatting>
  <pageMargins left="0.70866141732283472" right="0.51181102362204722" top="0.78740157480314965" bottom="0.78740157480314965" header="0.31496062992125984" footer="0.31496062992125984"/>
  <pageSetup paperSize="8" scale="78" orientation="portrait" r:id="rId1"/>
  <headerFooter>
    <oddHeader>&amp;L&amp;12EP SIEP&amp;C&amp;12Honorarkalkulation &amp;&amp; Stundenaufteilung&amp;R&amp;12INGE EPSI</oddHeader>
    <oddFooter>&amp;L&amp;8Aegerter &amp;&amp; Bosshardt / &amp;D&amp;R&amp;8&amp;F/&amp;A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8"/>
  <sheetViews>
    <sheetView zoomScaleNormal="100" workbookViewId="0">
      <selection activeCell="W21" sqref="W21"/>
    </sheetView>
  </sheetViews>
  <sheetFormatPr baseColWidth="10" defaultRowHeight="12.75" x14ac:dyDescent="0.2"/>
  <cols>
    <col min="1" max="1" width="2.85546875" customWidth="1"/>
    <col min="2" max="2" width="9.85546875" customWidth="1"/>
    <col min="3" max="3" width="19" customWidth="1"/>
    <col min="4" max="5" width="8.5703125" customWidth="1"/>
    <col min="6" max="6" width="9.5703125" customWidth="1"/>
    <col min="7" max="9" width="8.5703125" customWidth="1"/>
    <col min="10" max="10" width="9.7109375" customWidth="1"/>
    <col min="11" max="17" width="8.5703125" customWidth="1"/>
    <col min="18" max="18" width="10.140625" customWidth="1"/>
    <col min="19" max="19" width="8.5703125" customWidth="1"/>
    <col min="20" max="20" width="6.28515625" customWidth="1"/>
    <col min="21" max="21" width="10.42578125" customWidth="1"/>
  </cols>
  <sheetData>
    <row r="1" spans="1:21" x14ac:dyDescent="0.2">
      <c r="A1" s="28" t="s">
        <v>62</v>
      </c>
      <c r="I1" s="1"/>
      <c r="M1" s="116"/>
      <c r="S1" s="116"/>
    </row>
    <row r="2" spans="1:21" x14ac:dyDescent="0.2">
      <c r="A2" s="28" t="s">
        <v>72</v>
      </c>
      <c r="B2" s="1"/>
      <c r="D2" s="315" t="s">
        <v>13</v>
      </c>
      <c r="E2" s="316"/>
      <c r="F2" s="316"/>
      <c r="G2" s="316"/>
      <c r="H2" s="317"/>
      <c r="I2" s="27"/>
      <c r="J2" s="315" t="s">
        <v>14</v>
      </c>
      <c r="K2" s="316"/>
      <c r="L2" s="317"/>
      <c r="M2" s="63"/>
      <c r="N2" s="315" t="s">
        <v>15</v>
      </c>
      <c r="O2" s="316"/>
      <c r="P2" s="316"/>
      <c r="Q2" s="316"/>
      <c r="R2" s="317"/>
      <c r="S2" s="118"/>
    </row>
    <row r="3" spans="1:21" ht="89.25" x14ac:dyDescent="0.2">
      <c r="B3" s="1"/>
      <c r="D3" s="25" t="s">
        <v>0</v>
      </c>
      <c r="E3" s="26" t="s">
        <v>1</v>
      </c>
      <c r="F3" s="26" t="s">
        <v>2</v>
      </c>
      <c r="G3" s="26" t="s">
        <v>3</v>
      </c>
      <c r="H3" s="34" t="s">
        <v>4</v>
      </c>
      <c r="I3" s="108"/>
      <c r="J3" s="48" t="s">
        <v>11</v>
      </c>
      <c r="K3" s="26" t="s">
        <v>12</v>
      </c>
      <c r="L3" s="34" t="s">
        <v>5</v>
      </c>
      <c r="M3" s="108"/>
      <c r="N3" s="48" t="s">
        <v>6</v>
      </c>
      <c r="O3" s="26" t="s">
        <v>7</v>
      </c>
      <c r="P3" s="26" t="s">
        <v>8</v>
      </c>
      <c r="Q3" s="26" t="s">
        <v>9</v>
      </c>
      <c r="R3" s="34" t="s">
        <v>10</v>
      </c>
      <c r="S3" s="119"/>
    </row>
    <row r="4" spans="1:21" x14ac:dyDescent="0.2">
      <c r="B4" s="88"/>
      <c r="C4" s="89"/>
      <c r="D4" s="49"/>
      <c r="E4" s="2"/>
      <c r="F4" s="2"/>
      <c r="G4" s="2"/>
      <c r="H4" s="35"/>
      <c r="I4" s="109"/>
      <c r="J4" s="49"/>
      <c r="K4" s="2"/>
      <c r="L4" s="35"/>
      <c r="M4" s="109"/>
      <c r="N4" s="49"/>
      <c r="O4" s="2"/>
      <c r="P4" s="2"/>
      <c r="Q4" s="2"/>
      <c r="R4" s="35"/>
      <c r="S4" s="118"/>
    </row>
    <row r="5" spans="1:21" x14ac:dyDescent="0.2">
      <c r="B5" s="90" t="s">
        <v>18</v>
      </c>
      <c r="C5" s="91"/>
      <c r="D5" s="50">
        <v>9.3129625597187876E-2</v>
      </c>
      <c r="E5" s="21">
        <v>9.3129625597187876E-2</v>
      </c>
      <c r="F5" s="21">
        <v>9.3129625597187876E-2</v>
      </c>
      <c r="G5" s="21">
        <v>9.3129625597187876E-2</v>
      </c>
      <c r="H5" s="36">
        <v>9.3129625597187876E-2</v>
      </c>
      <c r="I5" s="110"/>
      <c r="J5" s="50">
        <v>9.3129625597187876E-2</v>
      </c>
      <c r="K5" s="21">
        <v>9.3129625597187876E-2</v>
      </c>
      <c r="L5" s="36">
        <v>9.3129625597187876E-2</v>
      </c>
      <c r="M5" s="110"/>
      <c r="N5" s="50">
        <v>9.3129625597187876E-2</v>
      </c>
      <c r="O5" s="21">
        <v>9.3129625597187876E-2</v>
      </c>
      <c r="P5" s="21">
        <v>9.3129625597187876E-2</v>
      </c>
      <c r="Q5" s="21">
        <v>9.3129625597187876E-2</v>
      </c>
      <c r="R5" s="125">
        <v>9.3129625597187876E-2</v>
      </c>
      <c r="S5" s="1"/>
      <c r="U5" s="216">
        <f>0.075+(7.23/(U18^(1/3)))</f>
        <v>9.3129625597187876E-2</v>
      </c>
    </row>
    <row r="6" spans="1:21" x14ac:dyDescent="0.2">
      <c r="B6" s="90" t="s">
        <v>26</v>
      </c>
      <c r="C6" s="91"/>
      <c r="D6" s="51"/>
      <c r="E6" s="3"/>
      <c r="F6" s="3"/>
      <c r="G6" s="3"/>
      <c r="H6" s="37"/>
      <c r="I6" s="109"/>
      <c r="J6" s="51"/>
      <c r="K6" s="3"/>
      <c r="L6" s="37"/>
      <c r="M6" s="109"/>
      <c r="N6" s="51"/>
      <c r="O6" s="3"/>
      <c r="P6" s="3"/>
      <c r="Q6" s="3"/>
      <c r="R6" s="37"/>
      <c r="S6" s="118"/>
    </row>
    <row r="7" spans="1:21" x14ac:dyDescent="0.2">
      <c r="B7" s="92" t="s">
        <v>34</v>
      </c>
      <c r="C7" s="91"/>
      <c r="D7" s="51">
        <v>6</v>
      </c>
      <c r="E7" s="3">
        <v>6</v>
      </c>
      <c r="F7" s="3">
        <v>6</v>
      </c>
      <c r="G7" s="3">
        <v>6</v>
      </c>
      <c r="H7" s="37">
        <v>6</v>
      </c>
      <c r="I7" s="109"/>
      <c r="J7" s="51">
        <v>6</v>
      </c>
      <c r="K7" s="3">
        <v>6</v>
      </c>
      <c r="L7" s="37">
        <v>6</v>
      </c>
      <c r="M7" s="109"/>
      <c r="N7" s="51">
        <v>6</v>
      </c>
      <c r="O7" s="3">
        <v>6</v>
      </c>
      <c r="P7" s="3">
        <v>6</v>
      </c>
      <c r="Q7" s="3">
        <v>6</v>
      </c>
      <c r="R7" s="37">
        <v>6</v>
      </c>
      <c r="S7" s="118"/>
    </row>
    <row r="8" spans="1:21" x14ac:dyDescent="0.2">
      <c r="B8" s="93" t="s">
        <v>23</v>
      </c>
      <c r="C8" s="91"/>
      <c r="D8" s="52">
        <v>24</v>
      </c>
      <c r="E8" s="5">
        <v>24</v>
      </c>
      <c r="F8" s="5">
        <v>24</v>
      </c>
      <c r="G8" s="5">
        <v>24</v>
      </c>
      <c r="H8" s="38">
        <v>24</v>
      </c>
      <c r="I8" s="111"/>
      <c r="J8" s="52">
        <v>24</v>
      </c>
      <c r="K8" s="5">
        <v>24</v>
      </c>
      <c r="L8" s="38">
        <v>24</v>
      </c>
      <c r="M8" s="111"/>
      <c r="N8" s="52">
        <v>24</v>
      </c>
      <c r="O8" s="5">
        <v>24</v>
      </c>
      <c r="P8" s="5">
        <v>24</v>
      </c>
      <c r="Q8" s="5">
        <v>24</v>
      </c>
      <c r="R8" s="38">
        <v>24</v>
      </c>
      <c r="S8" s="120"/>
    </row>
    <row r="9" spans="1:21" x14ac:dyDescent="0.2">
      <c r="B9" s="93" t="s">
        <v>24</v>
      </c>
      <c r="C9" s="91"/>
      <c r="D9" s="52">
        <v>10</v>
      </c>
      <c r="E9" s="5">
        <v>10</v>
      </c>
      <c r="F9" s="5">
        <v>10</v>
      </c>
      <c r="G9" s="5">
        <v>10</v>
      </c>
      <c r="H9" s="38">
        <v>10</v>
      </c>
      <c r="I9" s="111"/>
      <c r="J9" s="52">
        <v>10</v>
      </c>
      <c r="K9" s="5">
        <v>10</v>
      </c>
      <c r="L9" s="38">
        <v>10</v>
      </c>
      <c r="M9" s="111"/>
      <c r="N9" s="52">
        <v>10</v>
      </c>
      <c r="O9" s="5">
        <v>10</v>
      </c>
      <c r="P9" s="5">
        <v>10</v>
      </c>
      <c r="Q9" s="5">
        <v>10</v>
      </c>
      <c r="R9" s="38">
        <v>10</v>
      </c>
      <c r="S9" s="120"/>
    </row>
    <row r="10" spans="1:21" x14ac:dyDescent="0.2">
      <c r="B10" s="93" t="s">
        <v>25</v>
      </c>
      <c r="C10" s="91"/>
      <c r="D10" s="53">
        <v>15</v>
      </c>
      <c r="E10" s="6">
        <v>15</v>
      </c>
      <c r="F10" s="6">
        <v>15</v>
      </c>
      <c r="G10" s="6">
        <v>15</v>
      </c>
      <c r="H10" s="39">
        <v>15</v>
      </c>
      <c r="I10" s="111"/>
      <c r="J10" s="53">
        <v>15</v>
      </c>
      <c r="K10" s="6">
        <v>15</v>
      </c>
      <c r="L10" s="39">
        <v>15</v>
      </c>
      <c r="M10" s="111"/>
      <c r="N10" s="53">
        <v>15</v>
      </c>
      <c r="O10" s="6">
        <v>15</v>
      </c>
      <c r="P10" s="6">
        <v>15</v>
      </c>
      <c r="Q10" s="6">
        <v>15</v>
      </c>
      <c r="R10" s="39">
        <v>15</v>
      </c>
      <c r="S10" s="120"/>
    </row>
    <row r="11" spans="1:21" x14ac:dyDescent="0.2">
      <c r="B11" s="94" t="s">
        <v>47</v>
      </c>
      <c r="C11" s="95"/>
      <c r="D11" s="54">
        <v>8</v>
      </c>
      <c r="E11" s="7"/>
      <c r="F11" s="7">
        <f>0.17*30</f>
        <v>5.1000000000000005</v>
      </c>
      <c r="G11" s="7"/>
      <c r="H11" s="40"/>
      <c r="I11" s="111"/>
      <c r="J11" s="54"/>
      <c r="K11" s="7"/>
      <c r="L11" s="40"/>
      <c r="M11" s="111"/>
      <c r="N11" s="54"/>
      <c r="O11" s="7"/>
      <c r="P11" s="7"/>
      <c r="Q11" s="7"/>
      <c r="R11" s="40">
        <v>20</v>
      </c>
      <c r="S11" s="120"/>
    </row>
    <row r="12" spans="1:21" x14ac:dyDescent="0.2">
      <c r="B12" s="87" t="s">
        <v>27</v>
      </c>
      <c r="C12" s="31"/>
      <c r="D12" s="55">
        <f>SUM(D7:D11)</f>
        <v>63</v>
      </c>
      <c r="E12" s="8">
        <f t="shared" ref="E12:R12" si="0">SUM(E7:E11)</f>
        <v>55</v>
      </c>
      <c r="F12" s="8">
        <f t="shared" si="0"/>
        <v>60.1</v>
      </c>
      <c r="G12" s="8">
        <f t="shared" si="0"/>
        <v>55</v>
      </c>
      <c r="H12" s="41">
        <f t="shared" si="0"/>
        <v>55</v>
      </c>
      <c r="I12" s="112"/>
      <c r="J12" s="55">
        <f t="shared" si="0"/>
        <v>55</v>
      </c>
      <c r="K12" s="8">
        <f t="shared" si="0"/>
        <v>55</v>
      </c>
      <c r="L12" s="41">
        <f t="shared" si="0"/>
        <v>55</v>
      </c>
      <c r="M12" s="112"/>
      <c r="N12" s="55">
        <f t="shared" si="0"/>
        <v>55</v>
      </c>
      <c r="O12" s="8">
        <f t="shared" si="0"/>
        <v>55</v>
      </c>
      <c r="P12" s="8">
        <f t="shared" si="0"/>
        <v>55</v>
      </c>
      <c r="Q12" s="8">
        <f t="shared" si="0"/>
        <v>55</v>
      </c>
      <c r="R12" s="41">
        <f t="shared" si="0"/>
        <v>75</v>
      </c>
      <c r="S12" s="121"/>
    </row>
    <row r="13" spans="1:21" x14ac:dyDescent="0.2">
      <c r="B13" s="96"/>
      <c r="C13" s="89"/>
      <c r="D13" s="56"/>
      <c r="E13" s="9"/>
      <c r="F13" s="9"/>
      <c r="G13" s="9"/>
      <c r="H13" s="42"/>
      <c r="I13" s="112"/>
      <c r="J13" s="56"/>
      <c r="K13" s="9"/>
      <c r="L13" s="42"/>
      <c r="M13" s="112"/>
      <c r="N13" s="56"/>
      <c r="O13" s="9"/>
      <c r="P13" s="9"/>
      <c r="Q13" s="9"/>
      <c r="R13" s="42"/>
      <c r="S13" s="121"/>
    </row>
    <row r="14" spans="1:21" x14ac:dyDescent="0.2">
      <c r="B14" s="90" t="s">
        <v>16</v>
      </c>
      <c r="C14" s="91"/>
      <c r="D14" s="57">
        <v>1</v>
      </c>
      <c r="E14" s="4">
        <v>1</v>
      </c>
      <c r="F14" s="4">
        <v>0.8</v>
      </c>
      <c r="G14" s="4">
        <v>0.8</v>
      </c>
      <c r="H14" s="43">
        <v>0.8</v>
      </c>
      <c r="I14" s="109"/>
      <c r="J14" s="57">
        <v>0.8</v>
      </c>
      <c r="K14" s="4">
        <v>0.8</v>
      </c>
      <c r="L14" s="43">
        <v>0.8</v>
      </c>
      <c r="M14" s="109"/>
      <c r="N14" s="57">
        <v>0.8</v>
      </c>
      <c r="O14" s="4">
        <v>0.8</v>
      </c>
      <c r="P14" s="4">
        <v>0.8</v>
      </c>
      <c r="Q14" s="4">
        <v>0.8</v>
      </c>
      <c r="R14" s="43">
        <v>0.8</v>
      </c>
      <c r="S14" s="118"/>
    </row>
    <row r="15" spans="1:21" x14ac:dyDescent="0.2">
      <c r="B15" s="90" t="s">
        <v>17</v>
      </c>
      <c r="C15" s="91"/>
      <c r="D15" s="57">
        <v>1</v>
      </c>
      <c r="E15" s="4">
        <v>1</v>
      </c>
      <c r="F15" s="4">
        <v>0.6</v>
      </c>
      <c r="G15" s="225">
        <v>1.5</v>
      </c>
      <c r="H15" s="226">
        <v>0.9</v>
      </c>
      <c r="I15" s="109"/>
      <c r="J15" s="57">
        <v>0.6</v>
      </c>
      <c r="K15" s="225">
        <v>0.8</v>
      </c>
      <c r="L15" s="43">
        <v>0.6</v>
      </c>
      <c r="M15" s="109"/>
      <c r="N15" s="224">
        <v>1.5</v>
      </c>
      <c r="O15" s="225">
        <v>1.5</v>
      </c>
      <c r="P15" s="225">
        <v>1.5</v>
      </c>
      <c r="Q15" s="225">
        <v>2</v>
      </c>
      <c r="R15" s="43">
        <v>1</v>
      </c>
      <c r="S15" s="118"/>
    </row>
    <row r="16" spans="1:21" x14ac:dyDescent="0.2">
      <c r="B16" s="209" t="s">
        <v>64</v>
      </c>
      <c r="C16" s="210"/>
      <c r="D16" s="211">
        <v>1</v>
      </c>
      <c r="E16" s="212">
        <v>1</v>
      </c>
      <c r="F16" s="212">
        <v>15</v>
      </c>
      <c r="G16" s="212">
        <v>15</v>
      </c>
      <c r="H16" s="213">
        <v>23</v>
      </c>
      <c r="I16" s="214"/>
      <c r="J16" s="211"/>
      <c r="K16" s="212"/>
      <c r="L16" s="213"/>
      <c r="M16" s="214"/>
      <c r="N16" s="211">
        <v>8</v>
      </c>
      <c r="O16" s="212">
        <v>7</v>
      </c>
      <c r="P16" s="212">
        <v>9</v>
      </c>
      <c r="Q16" s="212">
        <v>13</v>
      </c>
      <c r="R16" s="213">
        <v>1</v>
      </c>
      <c r="S16" s="118"/>
    </row>
    <row r="17" spans="1:21" x14ac:dyDescent="0.2">
      <c r="B17" s="88"/>
      <c r="C17" s="89"/>
      <c r="D17" s="49"/>
      <c r="E17" s="2"/>
      <c r="F17" s="2"/>
      <c r="G17" s="2"/>
      <c r="H17" s="35"/>
      <c r="I17" s="109"/>
      <c r="J17" s="49"/>
      <c r="K17" s="2"/>
      <c r="L17" s="35"/>
      <c r="M17" s="109"/>
      <c r="N17" s="49"/>
      <c r="O17" s="2"/>
      <c r="P17" s="2"/>
      <c r="Q17" s="2"/>
      <c r="R17" s="35"/>
      <c r="S17" s="118"/>
    </row>
    <row r="18" spans="1:21" x14ac:dyDescent="0.2">
      <c r="B18" s="97" t="s">
        <v>28</v>
      </c>
      <c r="C18" s="91"/>
      <c r="D18" s="190">
        <v>3989280.24</v>
      </c>
      <c r="E18" s="191">
        <v>346317.12</v>
      </c>
      <c r="F18" s="191">
        <v>13574520</v>
      </c>
      <c r="G18" s="191">
        <v>851472</v>
      </c>
      <c r="H18" s="192">
        <v>3368925</v>
      </c>
      <c r="I18" s="193"/>
      <c r="J18" s="190">
        <v>20374200</v>
      </c>
      <c r="K18" s="191">
        <v>1155600</v>
      </c>
      <c r="L18" s="192">
        <v>2809080</v>
      </c>
      <c r="M18" s="193"/>
      <c r="N18" s="190">
        <v>1777680</v>
      </c>
      <c r="O18" s="191">
        <v>1229040</v>
      </c>
      <c r="P18" s="191">
        <v>1324080</v>
      </c>
      <c r="Q18" s="191">
        <v>743040</v>
      </c>
      <c r="R18" s="192">
        <v>11880000</v>
      </c>
      <c r="S18" s="122"/>
      <c r="U18" s="227">
        <f>SUM(D18:R18)</f>
        <v>63423234.359999999</v>
      </c>
    </row>
    <row r="19" spans="1:21" x14ac:dyDescent="0.2">
      <c r="B19" s="97" t="s">
        <v>29</v>
      </c>
      <c r="C19" s="91"/>
      <c r="D19" s="190">
        <f>D11*D18/100</f>
        <v>319142.4192</v>
      </c>
      <c r="E19" s="191"/>
      <c r="F19" s="191">
        <f>F11*F18/100</f>
        <v>692300.52</v>
      </c>
      <c r="G19" s="191"/>
      <c r="H19" s="192"/>
      <c r="I19" s="193"/>
      <c r="J19" s="190"/>
      <c r="K19" s="191"/>
      <c r="L19" s="192"/>
      <c r="M19" s="193"/>
      <c r="N19" s="190"/>
      <c r="O19" s="191"/>
      <c r="P19" s="191"/>
      <c r="Q19" s="191"/>
      <c r="R19" s="192">
        <v>11880000</v>
      </c>
      <c r="S19" s="122"/>
    </row>
    <row r="20" spans="1:21" x14ac:dyDescent="0.2">
      <c r="B20" s="98"/>
      <c r="C20" s="95"/>
      <c r="D20" s="52"/>
      <c r="E20" s="5"/>
      <c r="F20" s="5"/>
      <c r="G20" s="5"/>
      <c r="H20" s="38"/>
      <c r="I20" s="111"/>
      <c r="J20" s="52"/>
      <c r="K20" s="5"/>
      <c r="L20" s="38"/>
      <c r="M20" s="111"/>
      <c r="N20" s="52"/>
      <c r="O20" s="5"/>
      <c r="P20" s="5"/>
      <c r="Q20" s="5"/>
      <c r="R20" s="38"/>
      <c r="S20" s="120"/>
    </row>
    <row r="21" spans="1:21" x14ac:dyDescent="0.2">
      <c r="B21" s="99" t="s">
        <v>19</v>
      </c>
      <c r="C21" s="89"/>
      <c r="D21" s="59">
        <f>D18*D5*D14*D7*D15/(100*100)</f>
        <v>222.91210509207588</v>
      </c>
      <c r="E21" s="11">
        <f t="shared" ref="E21:R21" si="1">E18*E5*E14*E7*E15/(100*100)</f>
        <v>19.351430234097833</v>
      </c>
      <c r="F21" s="11">
        <f t="shared" si="1"/>
        <v>364.08670999532313</v>
      </c>
      <c r="G21" s="11">
        <f t="shared" si="1"/>
        <v>57.094033367871916</v>
      </c>
      <c r="H21" s="45">
        <f t="shared" si="1"/>
        <v>135.53858473128267</v>
      </c>
      <c r="I21" s="113"/>
      <c r="J21" s="59">
        <f t="shared" si="1"/>
        <v>546.46318593856074</v>
      </c>
      <c r="K21" s="11">
        <f t="shared" si="1"/>
        <v>41.326308610602361</v>
      </c>
      <c r="L21" s="45">
        <f t="shared" si="1"/>
        <v>75.343267777693967</v>
      </c>
      <c r="M21" s="113"/>
      <c r="N21" s="59">
        <f t="shared" si="1"/>
        <v>119.19936443875847</v>
      </c>
      <c r="O21" s="11">
        <f t="shared" si="1"/>
        <v>82.411225231656815</v>
      </c>
      <c r="P21" s="11">
        <f t="shared" si="1"/>
        <v>88.783973755721661</v>
      </c>
      <c r="Q21" s="11">
        <f t="shared" si="1"/>
        <v>66.431075523585108</v>
      </c>
      <c r="R21" s="45">
        <f t="shared" si="1"/>
        <v>531.06237700540419</v>
      </c>
      <c r="S21" s="122"/>
    </row>
    <row r="22" spans="1:21" x14ac:dyDescent="0.2">
      <c r="B22" s="100" t="s">
        <v>19</v>
      </c>
      <c r="C22" s="91"/>
      <c r="D22" s="60">
        <f>D18*D5*D14*D8*D15/(100*100)</f>
        <v>891.6484203683035</v>
      </c>
      <c r="E22" s="24">
        <f t="shared" ref="E22:R22" si="2">E18*E5*E14*E8*E15/(100*100)</f>
        <v>77.405720936391333</v>
      </c>
      <c r="F22" s="24">
        <f t="shared" si="2"/>
        <v>1456.3468399812925</v>
      </c>
      <c r="G22" s="24">
        <f t="shared" si="2"/>
        <v>228.37613347148766</v>
      </c>
      <c r="H22" s="46">
        <f t="shared" si="2"/>
        <v>542.15433892513067</v>
      </c>
      <c r="I22" s="113"/>
      <c r="J22" s="60">
        <f t="shared" si="2"/>
        <v>2185.852743754243</v>
      </c>
      <c r="K22" s="24">
        <f t="shared" si="2"/>
        <v>165.30523444240944</v>
      </c>
      <c r="L22" s="46">
        <f t="shared" si="2"/>
        <v>301.37307111077587</v>
      </c>
      <c r="M22" s="113"/>
      <c r="N22" s="60">
        <f t="shared" si="2"/>
        <v>476.79745775503386</v>
      </c>
      <c r="O22" s="24">
        <f t="shared" si="2"/>
        <v>329.64490092662726</v>
      </c>
      <c r="P22" s="24">
        <f t="shared" si="2"/>
        <v>355.13589502288664</v>
      </c>
      <c r="Q22" s="24">
        <f t="shared" si="2"/>
        <v>265.72430209434043</v>
      </c>
      <c r="R22" s="46">
        <f t="shared" si="2"/>
        <v>2124.2495080216167</v>
      </c>
      <c r="S22" s="122"/>
    </row>
    <row r="23" spans="1:21" x14ac:dyDescent="0.2">
      <c r="B23" s="100" t="s">
        <v>20</v>
      </c>
      <c r="C23" s="91"/>
      <c r="D23" s="58">
        <f t="shared" ref="D23:R23" si="3">D18*D5*D14*D9*D15/(100*100)</f>
        <v>371.52017515345983</v>
      </c>
      <c r="E23" s="10">
        <f t="shared" si="3"/>
        <v>32.252383723496386</v>
      </c>
      <c r="F23" s="10">
        <f t="shared" si="3"/>
        <v>606.81118332553865</v>
      </c>
      <c r="G23" s="10">
        <f t="shared" si="3"/>
        <v>95.156722279786507</v>
      </c>
      <c r="H23" s="44">
        <f t="shared" si="3"/>
        <v>225.89764121880444</v>
      </c>
      <c r="I23" s="113"/>
      <c r="J23" s="58">
        <f t="shared" si="3"/>
        <v>910.77197656426824</v>
      </c>
      <c r="K23" s="10">
        <f t="shared" si="3"/>
        <v>68.877181017670594</v>
      </c>
      <c r="L23" s="44">
        <f t="shared" si="3"/>
        <v>125.5721129628233</v>
      </c>
      <c r="M23" s="113"/>
      <c r="N23" s="58">
        <f t="shared" si="3"/>
        <v>198.66560739793076</v>
      </c>
      <c r="O23" s="10">
        <f t="shared" si="3"/>
        <v>137.35204205276136</v>
      </c>
      <c r="P23" s="10">
        <f t="shared" si="3"/>
        <v>147.97328959286943</v>
      </c>
      <c r="Q23" s="10">
        <f t="shared" si="3"/>
        <v>110.71845920597518</v>
      </c>
      <c r="R23" s="44">
        <f t="shared" si="3"/>
        <v>885.10396167567353</v>
      </c>
      <c r="S23" s="122"/>
    </row>
    <row r="24" spans="1:21" x14ac:dyDescent="0.2">
      <c r="B24" s="100" t="s">
        <v>21</v>
      </c>
      <c r="C24" s="91"/>
      <c r="D24" s="58">
        <f t="shared" ref="D24:R24" si="4">D18*D5*D14*D10*D15/(100*100)</f>
        <v>557.28026273018975</v>
      </c>
      <c r="E24" s="10">
        <f t="shared" si="4"/>
        <v>48.378575585244576</v>
      </c>
      <c r="F24" s="10">
        <f t="shared" si="4"/>
        <v>910.21677498830798</v>
      </c>
      <c r="G24" s="10">
        <f t="shared" si="4"/>
        <v>142.73508341967977</v>
      </c>
      <c r="H24" s="44">
        <f t="shared" si="4"/>
        <v>338.84646182820666</v>
      </c>
      <c r="I24" s="113"/>
      <c r="J24" s="58">
        <f t="shared" si="4"/>
        <v>1366.1579648464021</v>
      </c>
      <c r="K24" s="10">
        <f t="shared" si="4"/>
        <v>103.3157715265059</v>
      </c>
      <c r="L24" s="44">
        <f t="shared" si="4"/>
        <v>188.35816944423496</v>
      </c>
      <c r="M24" s="113"/>
      <c r="N24" s="58">
        <f t="shared" si="4"/>
        <v>297.99841109689612</v>
      </c>
      <c r="O24" s="10">
        <f t="shared" si="4"/>
        <v>206.02806307914207</v>
      </c>
      <c r="P24" s="10">
        <f t="shared" si="4"/>
        <v>221.95993438930418</v>
      </c>
      <c r="Q24" s="10">
        <f t="shared" si="4"/>
        <v>166.07768880896276</v>
      </c>
      <c r="R24" s="44">
        <f t="shared" si="4"/>
        <v>1327.6559425135104</v>
      </c>
      <c r="S24" s="122"/>
    </row>
    <row r="25" spans="1:21" x14ac:dyDescent="0.2">
      <c r="B25" s="101" t="s">
        <v>22</v>
      </c>
      <c r="C25" s="95"/>
      <c r="D25" s="58">
        <f>D19*D5*D14*D11*D15/(100*100)</f>
        <v>23.777291209821428</v>
      </c>
      <c r="E25" s="10"/>
      <c r="F25" s="10">
        <f>F19*F5*F14*F11*F15/(100*100)</f>
        <v>15.783158878297259</v>
      </c>
      <c r="G25" s="10"/>
      <c r="H25" s="44"/>
      <c r="I25" s="113"/>
      <c r="J25" s="58"/>
      <c r="K25" s="10"/>
      <c r="L25" s="44"/>
      <c r="M25" s="113"/>
      <c r="N25" s="58"/>
      <c r="O25" s="10"/>
      <c r="P25" s="10"/>
      <c r="Q25" s="10"/>
      <c r="R25" s="61">
        <f>R19*R5*R14*R11*R15/(100*100)</f>
        <v>1770.2079233513471</v>
      </c>
      <c r="S25" s="122"/>
    </row>
    <row r="26" spans="1:21" ht="13.5" thickBot="1" x14ac:dyDescent="0.25">
      <c r="B26" s="86" t="s">
        <v>52</v>
      </c>
      <c r="C26" s="30"/>
      <c r="D26" s="18">
        <f>SUM(D21:D25)</f>
        <v>2067.1382545538499</v>
      </c>
      <c r="E26" s="12">
        <f t="shared" ref="E26:R26" si="5">SUM(E21:E25)</f>
        <v>177.38811047923014</v>
      </c>
      <c r="F26" s="12">
        <f>SUM(F21:F25)</f>
        <v>3353.2446671687599</v>
      </c>
      <c r="G26" s="12">
        <f t="shared" si="5"/>
        <v>523.36197253882585</v>
      </c>
      <c r="H26" s="47">
        <f t="shared" si="5"/>
        <v>1242.4370267034244</v>
      </c>
      <c r="I26" s="113"/>
      <c r="J26" s="18">
        <f t="shared" si="5"/>
        <v>5009.2458711034742</v>
      </c>
      <c r="K26" s="12">
        <f t="shared" si="5"/>
        <v>378.82449559718827</v>
      </c>
      <c r="L26" s="47">
        <f t="shared" si="5"/>
        <v>690.64662129552812</v>
      </c>
      <c r="M26" s="113"/>
      <c r="N26" s="18">
        <f t="shared" si="5"/>
        <v>1092.6608406886194</v>
      </c>
      <c r="O26" s="12">
        <f t="shared" si="5"/>
        <v>755.43623129018749</v>
      </c>
      <c r="P26" s="12">
        <f t="shared" si="5"/>
        <v>813.85309276078192</v>
      </c>
      <c r="Q26" s="12">
        <f t="shared" si="5"/>
        <v>608.95152563286342</v>
      </c>
      <c r="R26" s="47">
        <f t="shared" si="5"/>
        <v>6638.2797125675515</v>
      </c>
      <c r="S26" s="122"/>
    </row>
    <row r="27" spans="1:21" ht="13.5" thickBot="1" x14ac:dyDescent="0.25">
      <c r="B27" s="67"/>
      <c r="C27" s="31"/>
      <c r="D27" s="18"/>
      <c r="E27" s="12"/>
      <c r="F27" s="12"/>
      <c r="G27" s="17"/>
      <c r="H27" s="19">
        <f>SUM(D26:H26)</f>
        <v>7363.5700314440901</v>
      </c>
      <c r="I27" s="114"/>
      <c r="J27" s="18"/>
      <c r="K27" s="17"/>
      <c r="L27" s="19">
        <f>SUM(J26:L26)</f>
        <v>6078.7169879961912</v>
      </c>
      <c r="M27" s="114"/>
      <c r="N27" s="18"/>
      <c r="O27" s="12"/>
      <c r="P27" s="12"/>
      <c r="Q27" s="17"/>
      <c r="R27" s="19">
        <f>SUM(N26:R26)</f>
        <v>9909.1814029400048</v>
      </c>
      <c r="S27" s="123"/>
    </row>
    <row r="28" spans="1:21" ht="13.5" thickBot="1" x14ac:dyDescent="0.25">
      <c r="B28" s="202" t="s">
        <v>63</v>
      </c>
      <c r="C28" s="203"/>
      <c r="D28" s="204">
        <f>D26/$H27</f>
        <v>0.28072500780554915</v>
      </c>
      <c r="E28" s="205">
        <f t="shared" ref="E28:H28" si="6">E26/$H27</f>
        <v>2.4089960402595922E-2</v>
      </c>
      <c r="F28" s="205">
        <f t="shared" si="6"/>
        <v>0.45538300754249034</v>
      </c>
      <c r="G28" s="205">
        <f t="shared" si="6"/>
        <v>7.1074488366913505E-2</v>
      </c>
      <c r="H28" s="206">
        <f t="shared" si="6"/>
        <v>0.16872753588245112</v>
      </c>
      <c r="I28" s="115"/>
      <c r="J28" s="204">
        <f>J26/$L27</f>
        <v>0.82406301872506471</v>
      </c>
      <c r="K28" s="205">
        <f t="shared" ref="K28:L28" si="7">K26/$L27</f>
        <v>6.2319811293281686E-2</v>
      </c>
      <c r="L28" s="206">
        <f t="shared" si="7"/>
        <v>0.11361716998165351</v>
      </c>
      <c r="M28" s="115"/>
      <c r="N28" s="204">
        <f>N26/$R27</f>
        <v>0.11026751819927652</v>
      </c>
      <c r="O28" s="205">
        <f t="shared" ref="O28:R28" si="8">O26/$R27</f>
        <v>7.623598767361886E-2</v>
      </c>
      <c r="P28" s="205">
        <f t="shared" si="8"/>
        <v>8.2131213433969008E-2</v>
      </c>
      <c r="Q28" s="205">
        <f t="shared" si="8"/>
        <v>6.1453262471528734E-2</v>
      </c>
      <c r="R28" s="206">
        <f t="shared" si="8"/>
        <v>0.66991201822160673</v>
      </c>
      <c r="S28" s="124"/>
    </row>
    <row r="29" spans="1:21" ht="13.5" thickBot="1" x14ac:dyDescent="0.25">
      <c r="H29" s="20">
        <f>SUM(D28:H28)</f>
        <v>1</v>
      </c>
      <c r="I29" s="32"/>
      <c r="L29" s="20">
        <f>SUM(J28:L28)</f>
        <v>0.99999999999999989</v>
      </c>
      <c r="M29" s="32"/>
      <c r="R29" s="20">
        <f>SUM(N28:R28)</f>
        <v>0.99999999999999978</v>
      </c>
      <c r="S29" s="32"/>
    </row>
    <row r="30" spans="1:21" x14ac:dyDescent="0.2">
      <c r="I30" s="1"/>
      <c r="M30" s="1"/>
    </row>
    <row r="31" spans="1:21" ht="13.5" thickBot="1" x14ac:dyDescent="0.25">
      <c r="A31" s="28" t="s">
        <v>56</v>
      </c>
      <c r="I31" s="1"/>
      <c r="M31" s="1"/>
    </row>
    <row r="32" spans="1:21" ht="13.5" thickBot="1" x14ac:dyDescent="0.25">
      <c r="B32" s="127" t="s">
        <v>50</v>
      </c>
      <c r="C32" s="128"/>
      <c r="D32" s="318">
        <f>SUM(D33:D46)</f>
        <v>28000</v>
      </c>
      <c r="E32" s="319"/>
      <c r="F32" s="319"/>
      <c r="G32" s="319"/>
      <c r="H32" s="320"/>
      <c r="I32" s="182"/>
      <c r="J32" s="321">
        <f>SUM(J33:J46)</f>
        <v>17000</v>
      </c>
      <c r="K32" s="319"/>
      <c r="L32" s="320"/>
      <c r="M32" s="182"/>
      <c r="N32" s="321">
        <f>SUM(N33:N46)</f>
        <v>18150</v>
      </c>
      <c r="O32" s="319"/>
      <c r="P32" s="319"/>
      <c r="Q32" s="319"/>
      <c r="R32" s="320"/>
      <c r="U32">
        <f>SUM(D32:R32)</f>
        <v>63150</v>
      </c>
    </row>
    <row r="33" spans="2:19" x14ac:dyDescent="0.2">
      <c r="B33" s="322" t="s">
        <v>51</v>
      </c>
      <c r="C33" s="22" t="s">
        <v>43</v>
      </c>
      <c r="D33" s="324">
        <f>4000-D34</f>
        <v>3720</v>
      </c>
      <c r="E33" s="325"/>
      <c r="F33" s="325"/>
      <c r="G33" s="325"/>
      <c r="H33" s="326"/>
      <c r="I33" s="183"/>
      <c r="J33" s="327">
        <f>2600-J34</f>
        <v>2450</v>
      </c>
      <c r="K33" s="328"/>
      <c r="L33" s="329"/>
      <c r="M33" s="184"/>
      <c r="N33" s="327">
        <f>3000-N34</f>
        <v>2880</v>
      </c>
      <c r="O33" s="328"/>
      <c r="P33" s="328"/>
      <c r="Q33" s="328"/>
      <c r="R33" s="329"/>
      <c r="S33" s="62"/>
    </row>
    <row r="34" spans="2:19" x14ac:dyDescent="0.2">
      <c r="B34" s="322"/>
      <c r="C34" s="16" t="s">
        <v>37</v>
      </c>
      <c r="D34" s="330">
        <v>280</v>
      </c>
      <c r="E34" s="331"/>
      <c r="F34" s="331"/>
      <c r="G34" s="331"/>
      <c r="H34" s="332"/>
      <c r="I34" s="183"/>
      <c r="J34" s="333">
        <v>150</v>
      </c>
      <c r="K34" s="334"/>
      <c r="L34" s="335"/>
      <c r="M34" s="184"/>
      <c r="N34" s="333">
        <v>120</v>
      </c>
      <c r="O34" s="334"/>
      <c r="P34" s="334"/>
      <c r="Q34" s="334"/>
      <c r="R34" s="335"/>
      <c r="S34" s="62"/>
    </row>
    <row r="35" spans="2:19" x14ac:dyDescent="0.2">
      <c r="B35" s="322"/>
      <c r="C35" s="16" t="s">
        <v>23</v>
      </c>
      <c r="D35" s="330">
        <f>4500-D36</f>
        <v>4280</v>
      </c>
      <c r="E35" s="331"/>
      <c r="F35" s="331"/>
      <c r="G35" s="331"/>
      <c r="H35" s="332"/>
      <c r="I35" s="183"/>
      <c r="J35" s="336">
        <f>2800-J36</f>
        <v>2710</v>
      </c>
      <c r="K35" s="331"/>
      <c r="L35" s="332"/>
      <c r="M35" s="183"/>
      <c r="N35" s="336">
        <f>3500-N36</f>
        <v>3380</v>
      </c>
      <c r="O35" s="331"/>
      <c r="P35" s="331"/>
      <c r="Q35" s="331"/>
      <c r="R35" s="332"/>
      <c r="S35" s="62"/>
    </row>
    <row r="36" spans="2:19" x14ac:dyDescent="0.2">
      <c r="B36" s="322"/>
      <c r="C36" s="16" t="s">
        <v>42</v>
      </c>
      <c r="D36" s="330">
        <v>220</v>
      </c>
      <c r="E36" s="331"/>
      <c r="F36" s="331"/>
      <c r="G36" s="331"/>
      <c r="H36" s="332"/>
      <c r="I36" s="183"/>
      <c r="J36" s="336">
        <v>90</v>
      </c>
      <c r="K36" s="331"/>
      <c r="L36" s="332"/>
      <c r="M36" s="183"/>
      <c r="N36" s="336">
        <v>120</v>
      </c>
      <c r="O36" s="331"/>
      <c r="P36" s="331"/>
      <c r="Q36" s="331"/>
      <c r="R36" s="332"/>
      <c r="S36" s="62"/>
    </row>
    <row r="37" spans="2:19" x14ac:dyDescent="0.2">
      <c r="B37" s="322"/>
      <c r="C37" s="16" t="s">
        <v>44</v>
      </c>
      <c r="D37" s="337"/>
      <c r="E37" s="338"/>
      <c r="F37" s="338"/>
      <c r="G37" s="338"/>
      <c r="H37" s="339"/>
      <c r="I37" s="184"/>
      <c r="J37" s="336">
        <f>300-J38</f>
        <v>265</v>
      </c>
      <c r="K37" s="331"/>
      <c r="L37" s="332"/>
      <c r="M37" s="183"/>
      <c r="N37" s="336">
        <f>350-N38</f>
        <v>310</v>
      </c>
      <c r="O37" s="331"/>
      <c r="P37" s="331"/>
      <c r="Q37" s="331"/>
      <c r="R37" s="332"/>
      <c r="S37" s="62"/>
    </row>
    <row r="38" spans="2:19" x14ac:dyDescent="0.2">
      <c r="B38" s="322"/>
      <c r="C38" s="16" t="s">
        <v>45</v>
      </c>
      <c r="D38" s="337"/>
      <c r="E38" s="338"/>
      <c r="F38" s="338"/>
      <c r="G38" s="338"/>
      <c r="H38" s="339"/>
      <c r="I38" s="184"/>
      <c r="J38" s="336">
        <v>35</v>
      </c>
      <c r="K38" s="331"/>
      <c r="L38" s="332"/>
      <c r="M38" s="183"/>
      <c r="N38" s="336">
        <v>40</v>
      </c>
      <c r="O38" s="331"/>
      <c r="P38" s="331"/>
      <c r="Q38" s="331"/>
      <c r="R38" s="332"/>
      <c r="S38" s="62"/>
    </row>
    <row r="39" spans="2:19" x14ac:dyDescent="0.2">
      <c r="B39" s="322"/>
      <c r="C39" s="14" t="s">
        <v>24</v>
      </c>
      <c r="D39" s="330">
        <f>2500-D40</f>
        <v>2420</v>
      </c>
      <c r="E39" s="331"/>
      <c r="F39" s="331"/>
      <c r="G39" s="331"/>
      <c r="H39" s="332"/>
      <c r="I39" s="183"/>
      <c r="J39" s="336">
        <v>1565</v>
      </c>
      <c r="K39" s="331"/>
      <c r="L39" s="332"/>
      <c r="M39" s="183"/>
      <c r="N39" s="340">
        <v>1565</v>
      </c>
      <c r="O39" s="341"/>
      <c r="P39" s="341"/>
      <c r="Q39" s="341"/>
      <c r="R39" s="342"/>
      <c r="S39" s="62"/>
    </row>
    <row r="40" spans="2:19" x14ac:dyDescent="0.2">
      <c r="B40" s="322"/>
      <c r="C40" s="14" t="s">
        <v>38</v>
      </c>
      <c r="D40" s="330">
        <v>80</v>
      </c>
      <c r="E40" s="331"/>
      <c r="F40" s="331"/>
      <c r="G40" s="331"/>
      <c r="H40" s="332"/>
      <c r="I40" s="183"/>
      <c r="J40" s="336">
        <v>35</v>
      </c>
      <c r="K40" s="331"/>
      <c r="L40" s="332"/>
      <c r="M40" s="183"/>
      <c r="N40" s="340">
        <v>35</v>
      </c>
      <c r="O40" s="341"/>
      <c r="P40" s="341"/>
      <c r="Q40" s="341"/>
      <c r="R40" s="342"/>
      <c r="S40" s="62"/>
    </row>
    <row r="41" spans="2:19" x14ac:dyDescent="0.2">
      <c r="B41" s="322"/>
      <c r="C41" s="14" t="s">
        <v>25</v>
      </c>
      <c r="D41" s="330">
        <f>8500-D42</f>
        <v>8150</v>
      </c>
      <c r="E41" s="331"/>
      <c r="F41" s="331"/>
      <c r="G41" s="331"/>
      <c r="H41" s="332"/>
      <c r="I41" s="183"/>
      <c r="J41" s="336">
        <v>3900</v>
      </c>
      <c r="K41" s="331"/>
      <c r="L41" s="332"/>
      <c r="M41" s="183"/>
      <c r="N41" s="340">
        <v>3900</v>
      </c>
      <c r="O41" s="341"/>
      <c r="P41" s="341"/>
      <c r="Q41" s="341"/>
      <c r="R41" s="342"/>
      <c r="S41" s="62"/>
    </row>
    <row r="42" spans="2:19" x14ac:dyDescent="0.2">
      <c r="B42" s="322"/>
      <c r="C42" s="15" t="s">
        <v>39</v>
      </c>
      <c r="D42" s="343">
        <v>350</v>
      </c>
      <c r="E42" s="344"/>
      <c r="F42" s="344"/>
      <c r="G42" s="344"/>
      <c r="H42" s="345"/>
      <c r="I42" s="183"/>
      <c r="J42" s="346">
        <v>100</v>
      </c>
      <c r="K42" s="344"/>
      <c r="L42" s="345"/>
      <c r="M42" s="183"/>
      <c r="N42" s="347">
        <v>100</v>
      </c>
      <c r="O42" s="348"/>
      <c r="P42" s="348"/>
      <c r="Q42" s="348"/>
      <c r="R42" s="349"/>
      <c r="S42" s="62"/>
    </row>
    <row r="43" spans="2:19" x14ac:dyDescent="0.2">
      <c r="B43" s="322"/>
      <c r="C43" s="13" t="s">
        <v>35</v>
      </c>
      <c r="D43" s="350">
        <f>7000-D44</f>
        <v>6920</v>
      </c>
      <c r="E43" s="351"/>
      <c r="F43" s="351"/>
      <c r="G43" s="351"/>
      <c r="H43" s="352"/>
      <c r="I43" s="183"/>
      <c r="J43" s="353">
        <v>4690</v>
      </c>
      <c r="K43" s="351"/>
      <c r="L43" s="352"/>
      <c r="M43" s="183"/>
      <c r="N43" s="354">
        <v>4690</v>
      </c>
      <c r="O43" s="355"/>
      <c r="P43" s="355"/>
      <c r="Q43" s="355"/>
      <c r="R43" s="356"/>
      <c r="S43" s="62"/>
    </row>
    <row r="44" spans="2:19" x14ac:dyDescent="0.2">
      <c r="B44" s="322"/>
      <c r="C44" s="14" t="s">
        <v>40</v>
      </c>
      <c r="D44" s="330">
        <v>80</v>
      </c>
      <c r="E44" s="331"/>
      <c r="F44" s="331"/>
      <c r="G44" s="331"/>
      <c r="H44" s="332"/>
      <c r="I44" s="183"/>
      <c r="J44" s="336">
        <v>60</v>
      </c>
      <c r="K44" s="331"/>
      <c r="L44" s="332"/>
      <c r="M44" s="183"/>
      <c r="N44" s="340">
        <v>60</v>
      </c>
      <c r="O44" s="341"/>
      <c r="P44" s="341"/>
      <c r="Q44" s="341"/>
      <c r="R44" s="342"/>
      <c r="S44" s="62"/>
    </row>
    <row r="45" spans="2:19" x14ac:dyDescent="0.2">
      <c r="B45" s="322"/>
      <c r="C45" s="14" t="s">
        <v>36</v>
      </c>
      <c r="D45" s="330">
        <f>1500-D46</f>
        <v>1480</v>
      </c>
      <c r="E45" s="331"/>
      <c r="F45" s="331"/>
      <c r="G45" s="331"/>
      <c r="H45" s="332"/>
      <c r="I45" s="183"/>
      <c r="J45" s="336">
        <v>925</v>
      </c>
      <c r="K45" s="331"/>
      <c r="L45" s="332"/>
      <c r="M45" s="183"/>
      <c r="N45" s="340">
        <v>925</v>
      </c>
      <c r="O45" s="341"/>
      <c r="P45" s="341"/>
      <c r="Q45" s="341"/>
      <c r="R45" s="342"/>
      <c r="S45" s="62"/>
    </row>
    <row r="46" spans="2:19" ht="13.5" thickBot="1" x14ac:dyDescent="0.25">
      <c r="B46" s="323"/>
      <c r="C46" s="133" t="s">
        <v>41</v>
      </c>
      <c r="D46" s="357">
        <v>20</v>
      </c>
      <c r="E46" s="358"/>
      <c r="F46" s="358"/>
      <c r="G46" s="358"/>
      <c r="H46" s="359"/>
      <c r="I46" s="183"/>
      <c r="J46" s="360">
        <v>25</v>
      </c>
      <c r="K46" s="358"/>
      <c r="L46" s="359"/>
      <c r="M46" s="183"/>
      <c r="N46" s="361">
        <v>25</v>
      </c>
      <c r="O46" s="362"/>
      <c r="P46" s="362"/>
      <c r="Q46" s="362"/>
      <c r="R46" s="363"/>
      <c r="S46" s="62"/>
    </row>
    <row r="47" spans="2:19" x14ac:dyDescent="0.2">
      <c r="C47" s="129" t="s">
        <v>48</v>
      </c>
      <c r="D47" s="364">
        <f>SUM(D34,D36,D38,D40,D42,D44,D46)</f>
        <v>1030</v>
      </c>
      <c r="E47" s="365"/>
      <c r="F47" s="365"/>
      <c r="G47" s="365"/>
      <c r="H47" s="366"/>
      <c r="I47" s="183"/>
      <c r="J47" s="367">
        <f>SUM(J34,J36,J38,J40,J42,J44,J46)</f>
        <v>495</v>
      </c>
      <c r="K47" s="368"/>
      <c r="L47" s="369"/>
      <c r="M47" s="183"/>
      <c r="N47" s="367">
        <f>SUM(N34,N36,N38,N40,N42,N44,N46)</f>
        <v>500</v>
      </c>
      <c r="O47" s="368"/>
      <c r="P47" s="368"/>
      <c r="Q47" s="368"/>
      <c r="R47" s="369"/>
      <c r="S47" s="27"/>
    </row>
    <row r="48" spans="2:19" x14ac:dyDescent="0.2">
      <c r="C48" s="130" t="s">
        <v>49</v>
      </c>
      <c r="D48" s="378">
        <f>SUM(D33,D35,D37,D39,D41)</f>
        <v>18570</v>
      </c>
      <c r="E48" s="379"/>
      <c r="F48" s="379"/>
      <c r="G48" s="379"/>
      <c r="H48" s="380"/>
      <c r="I48" s="183"/>
      <c r="J48" s="381">
        <f>SUM(J33,J35,J37,J39,J41)</f>
        <v>10890</v>
      </c>
      <c r="K48" s="379"/>
      <c r="L48" s="380"/>
      <c r="M48" s="183"/>
      <c r="N48" s="381">
        <f>SUM(N33,N35,N37,N39,N41)</f>
        <v>12035</v>
      </c>
      <c r="O48" s="379"/>
      <c r="P48" s="379"/>
      <c r="Q48" s="379"/>
      <c r="R48" s="380"/>
      <c r="S48" s="27"/>
    </row>
    <row r="49" spans="1:20" x14ac:dyDescent="0.2">
      <c r="C49" s="131" t="s">
        <v>53</v>
      </c>
      <c r="D49" s="378">
        <v>1350</v>
      </c>
      <c r="E49" s="379"/>
      <c r="F49" s="379"/>
      <c r="G49" s="379"/>
      <c r="H49" s="380"/>
      <c r="I49" s="183"/>
      <c r="J49" s="381">
        <v>845</v>
      </c>
      <c r="K49" s="379"/>
      <c r="L49" s="380"/>
      <c r="M49" s="183"/>
      <c r="N49" s="381">
        <v>845</v>
      </c>
      <c r="O49" s="379"/>
      <c r="P49" s="379"/>
      <c r="Q49" s="379"/>
      <c r="R49" s="380"/>
      <c r="S49" s="27"/>
    </row>
    <row r="50" spans="1:20" ht="13.5" thickBot="1" x14ac:dyDescent="0.25">
      <c r="B50" s="1"/>
      <c r="C50" s="132" t="s">
        <v>61</v>
      </c>
      <c r="D50" s="370">
        <f>SUM(D43,D45)-D49</f>
        <v>7050</v>
      </c>
      <c r="E50" s="371"/>
      <c r="F50" s="371"/>
      <c r="G50" s="371"/>
      <c r="H50" s="372"/>
      <c r="I50" s="183"/>
      <c r="J50" s="373">
        <f>SUM(J43,J45)-J49</f>
        <v>4770</v>
      </c>
      <c r="K50" s="371"/>
      <c r="L50" s="372"/>
      <c r="M50" s="183"/>
      <c r="N50" s="373">
        <f>SUM(N43,N45)-N49</f>
        <v>4770</v>
      </c>
      <c r="O50" s="371"/>
      <c r="P50" s="371"/>
      <c r="Q50" s="371"/>
      <c r="R50" s="372"/>
      <c r="S50" s="27"/>
    </row>
    <row r="51" spans="1:20" x14ac:dyDescent="0.2">
      <c r="A51" s="1"/>
      <c r="B51" s="1"/>
      <c r="C51" s="65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1"/>
    </row>
    <row r="52" spans="1:20" x14ac:dyDescent="0.2">
      <c r="A52" s="1" t="s">
        <v>57</v>
      </c>
      <c r="B52" s="1"/>
      <c r="C52" s="65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1"/>
    </row>
    <row r="53" spans="1:20" ht="13.5" thickBot="1" x14ac:dyDescent="0.25">
      <c r="A53" s="71" t="s">
        <v>65</v>
      </c>
      <c r="B53" s="66"/>
      <c r="C53" s="70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1"/>
    </row>
    <row r="54" spans="1:20" ht="13.5" thickBot="1" x14ac:dyDescent="0.25">
      <c r="A54" s="1"/>
      <c r="B54" s="385" t="s">
        <v>32</v>
      </c>
      <c r="C54" s="176" t="s">
        <v>30</v>
      </c>
      <c r="D54" s="382">
        <v>0.1</v>
      </c>
      <c r="E54" s="382"/>
      <c r="F54" s="382"/>
      <c r="G54" s="382"/>
      <c r="H54" s="383"/>
      <c r="I54" s="134">
        <f>D$47*D54</f>
        <v>103</v>
      </c>
      <c r="J54" s="384">
        <v>0.1</v>
      </c>
      <c r="K54" s="382"/>
      <c r="L54" s="382"/>
      <c r="M54" s="135">
        <f>J$47*J54</f>
        <v>49.5</v>
      </c>
      <c r="N54" s="393">
        <v>0.1</v>
      </c>
      <c r="O54" s="393"/>
      <c r="P54" s="393"/>
      <c r="Q54" s="393"/>
      <c r="R54" s="394"/>
      <c r="S54" s="136">
        <f>N47*N54</f>
        <v>50</v>
      </c>
    </row>
    <row r="55" spans="1:20" x14ac:dyDescent="0.2">
      <c r="B55" s="386"/>
      <c r="C55" s="177" t="s">
        <v>59</v>
      </c>
      <c r="D55" s="382">
        <v>0.9</v>
      </c>
      <c r="E55" s="382"/>
      <c r="F55" s="382"/>
      <c r="G55" s="382"/>
      <c r="H55" s="383"/>
      <c r="I55" s="137">
        <f>D$47*D55</f>
        <v>927</v>
      </c>
      <c r="J55" s="398">
        <v>0.9</v>
      </c>
      <c r="K55" s="399"/>
      <c r="L55" s="400"/>
      <c r="M55" s="138">
        <f>J$47*J55</f>
        <v>445.5</v>
      </c>
      <c r="N55" s="393">
        <v>0.9</v>
      </c>
      <c r="O55" s="393"/>
      <c r="P55" s="393"/>
      <c r="Q55" s="393"/>
      <c r="R55" s="394"/>
      <c r="S55" s="139">
        <f>N47*N55</f>
        <v>450</v>
      </c>
    </row>
    <row r="56" spans="1:20" x14ac:dyDescent="0.2">
      <c r="B56" s="395" t="s">
        <v>46</v>
      </c>
      <c r="C56" s="194" t="s">
        <v>60</v>
      </c>
      <c r="D56" s="195">
        <f>D28*$D48</f>
        <v>5213.0633949490475</v>
      </c>
      <c r="E56" s="196">
        <f t="shared" ref="E56:H56" si="9">E28*$D48</f>
        <v>447.35056467620626</v>
      </c>
      <c r="F56" s="196">
        <f t="shared" si="9"/>
        <v>8456.4624500640457</v>
      </c>
      <c r="G56" s="196">
        <f t="shared" si="9"/>
        <v>1319.8532489735837</v>
      </c>
      <c r="H56" s="197">
        <f t="shared" si="9"/>
        <v>3133.2703413371173</v>
      </c>
      <c r="I56" s="198">
        <f>SUM(D56:H56)</f>
        <v>18570</v>
      </c>
      <c r="J56" s="195">
        <f>J28*$J48</f>
        <v>8974.0462739159539</v>
      </c>
      <c r="K56" s="196">
        <f t="shared" ref="K56:L56" si="10">K28*$J48</f>
        <v>678.66274498383757</v>
      </c>
      <c r="L56" s="199">
        <f t="shared" si="10"/>
        <v>1237.2909811002069</v>
      </c>
      <c r="M56" s="200">
        <f>SUM(J56:L56)</f>
        <v>10889.999999999998</v>
      </c>
      <c r="N56" s="195">
        <f>N28*$N48</f>
        <v>1327.0695815282929</v>
      </c>
      <c r="O56" s="196">
        <f t="shared" ref="O56:R56" si="11">O28*$N48</f>
        <v>917.50011165200294</v>
      </c>
      <c r="P56" s="196">
        <f t="shared" si="11"/>
        <v>988.44915367781698</v>
      </c>
      <c r="Q56" s="196">
        <f t="shared" si="11"/>
        <v>739.59001384484827</v>
      </c>
      <c r="R56" s="197">
        <f t="shared" si="11"/>
        <v>8062.3911392970367</v>
      </c>
      <c r="S56" s="201">
        <f>SUM(N56:R56)</f>
        <v>12034.999999999998</v>
      </c>
    </row>
    <row r="57" spans="1:20" x14ac:dyDescent="0.2">
      <c r="B57" s="396"/>
      <c r="C57" s="178" t="s">
        <v>30</v>
      </c>
      <c r="D57" s="173">
        <v>1</v>
      </c>
      <c r="E57" s="228">
        <v>1</v>
      </c>
      <c r="F57" s="140"/>
      <c r="G57" s="140"/>
      <c r="H57" s="141"/>
      <c r="I57" s="142">
        <f>D$56*D57+E$56*E57+F$56*F57+G$56*G57+H$56*H57</f>
        <v>5660.4139596252535</v>
      </c>
      <c r="J57" s="222">
        <v>0.5</v>
      </c>
      <c r="K57" s="148">
        <v>0</v>
      </c>
      <c r="L57" s="230">
        <v>0.5</v>
      </c>
      <c r="M57" s="146">
        <f>J56*J57+K56*K57+L56*L57</f>
        <v>5105.6686275080801</v>
      </c>
      <c r="N57" s="147">
        <v>0</v>
      </c>
      <c r="O57" s="148">
        <v>0</v>
      </c>
      <c r="P57" s="148">
        <v>0</v>
      </c>
      <c r="Q57" s="148">
        <v>0</v>
      </c>
      <c r="R57" s="149">
        <v>1</v>
      </c>
      <c r="S57" s="150">
        <f>N$56*N57+O$56*O57+P$56*P57+Q$56*Q57+R$56*R57</f>
        <v>8062.3911392970367</v>
      </c>
    </row>
    <row r="58" spans="1:20" x14ac:dyDescent="0.2">
      <c r="B58" s="396"/>
      <c r="C58" s="179" t="s">
        <v>59</v>
      </c>
      <c r="D58" s="174"/>
      <c r="E58" s="229">
        <v>0</v>
      </c>
      <c r="F58" s="151">
        <v>1</v>
      </c>
      <c r="G58" s="151"/>
      <c r="H58" s="152"/>
      <c r="I58" s="153">
        <f t="shared" ref="I58:I59" si="12">D$56*D58+E$56*E58+F$56*F58+G$56*G58+H$56*H58</f>
        <v>8456.4624500640457</v>
      </c>
      <c r="J58" s="223">
        <v>0.5</v>
      </c>
      <c r="K58" s="159">
        <v>1</v>
      </c>
      <c r="L58" s="231">
        <v>0.5</v>
      </c>
      <c r="M58" s="157">
        <f>J56*J58+K56*K58+L56*L58</f>
        <v>5784.331372491918</v>
      </c>
      <c r="N58" s="158">
        <v>1</v>
      </c>
      <c r="O58" s="159">
        <v>1</v>
      </c>
      <c r="P58" s="159">
        <v>1</v>
      </c>
      <c r="Q58" s="159">
        <v>1</v>
      </c>
      <c r="R58" s="160"/>
      <c r="S58" s="161">
        <f t="shared" ref="S58:S59" si="13">N$56*N58+O$56*O58+P$56*P58+Q$56*Q58+R$56*R58</f>
        <v>3972.608860702961</v>
      </c>
    </row>
    <row r="59" spans="1:20" x14ac:dyDescent="0.2">
      <c r="B59" s="397"/>
      <c r="C59" s="177" t="s">
        <v>31</v>
      </c>
      <c r="D59" s="175"/>
      <c r="E59" s="162"/>
      <c r="F59" s="162">
        <v>0</v>
      </c>
      <c r="G59" s="162">
        <v>1</v>
      </c>
      <c r="H59" s="163">
        <v>1</v>
      </c>
      <c r="I59" s="138">
        <f t="shared" si="12"/>
        <v>4453.1235903107008</v>
      </c>
      <c r="J59" s="164"/>
      <c r="K59" s="165"/>
      <c r="L59" s="166"/>
      <c r="M59" s="138">
        <f>J56*J59+K56*K59+L56*L59</f>
        <v>0</v>
      </c>
      <c r="N59" s="167"/>
      <c r="O59" s="168"/>
      <c r="P59" s="168"/>
      <c r="Q59" s="168"/>
      <c r="R59" s="169"/>
      <c r="S59" s="139">
        <f t="shared" si="13"/>
        <v>0</v>
      </c>
    </row>
    <row r="60" spans="1:20" x14ac:dyDescent="0.2">
      <c r="B60" s="407" t="s">
        <v>54</v>
      </c>
      <c r="C60" s="180" t="s">
        <v>30</v>
      </c>
      <c r="D60" s="391"/>
      <c r="E60" s="391"/>
      <c r="F60" s="391"/>
      <c r="G60" s="391"/>
      <c r="H60" s="392"/>
      <c r="I60" s="142">
        <f>D$49*D60</f>
        <v>0</v>
      </c>
      <c r="J60" s="404"/>
      <c r="K60" s="391"/>
      <c r="L60" s="391"/>
      <c r="M60" s="146">
        <f>J$49*J60</f>
        <v>0</v>
      </c>
      <c r="N60" s="391"/>
      <c r="O60" s="391"/>
      <c r="P60" s="391"/>
      <c r="Q60" s="391"/>
      <c r="R60" s="392"/>
      <c r="S60" s="150">
        <f>N49*N60</f>
        <v>0</v>
      </c>
    </row>
    <row r="61" spans="1:20" x14ac:dyDescent="0.2">
      <c r="B61" s="386"/>
      <c r="C61" s="177" t="s">
        <v>59</v>
      </c>
      <c r="D61" s="382">
        <v>1</v>
      </c>
      <c r="E61" s="382"/>
      <c r="F61" s="382"/>
      <c r="G61" s="382"/>
      <c r="H61" s="383"/>
      <c r="I61" s="137">
        <f>D$49*D61</f>
        <v>1350</v>
      </c>
      <c r="J61" s="384">
        <v>1</v>
      </c>
      <c r="K61" s="382"/>
      <c r="L61" s="382"/>
      <c r="M61" s="138">
        <f>J$49*J61</f>
        <v>845</v>
      </c>
      <c r="N61" s="382">
        <v>1</v>
      </c>
      <c r="O61" s="382"/>
      <c r="P61" s="382"/>
      <c r="Q61" s="382"/>
      <c r="R61" s="383"/>
      <c r="S61" s="139">
        <f>N49*N61</f>
        <v>845</v>
      </c>
    </row>
    <row r="62" spans="1:20" x14ac:dyDescent="0.2">
      <c r="B62" s="408" t="s">
        <v>33</v>
      </c>
      <c r="C62" s="178" t="s">
        <v>30</v>
      </c>
      <c r="D62" s="391">
        <v>0.8</v>
      </c>
      <c r="E62" s="391"/>
      <c r="F62" s="391"/>
      <c r="G62" s="391"/>
      <c r="H62" s="392"/>
      <c r="I62" s="142">
        <f>D62*D$50</f>
        <v>5640</v>
      </c>
      <c r="J62" s="404"/>
      <c r="K62" s="391"/>
      <c r="L62" s="391"/>
      <c r="M62" s="146">
        <f>J62*J$50</f>
        <v>0</v>
      </c>
      <c r="N62" s="391">
        <v>1</v>
      </c>
      <c r="O62" s="391"/>
      <c r="P62" s="391"/>
      <c r="Q62" s="391"/>
      <c r="R62" s="392"/>
      <c r="S62" s="150">
        <f>N62*N50</f>
        <v>4770</v>
      </c>
    </row>
    <row r="63" spans="1:20" x14ac:dyDescent="0.2">
      <c r="B63" s="407"/>
      <c r="C63" s="179" t="s">
        <v>59</v>
      </c>
      <c r="D63" s="387">
        <v>0</v>
      </c>
      <c r="E63" s="387"/>
      <c r="F63" s="387"/>
      <c r="G63" s="387"/>
      <c r="H63" s="388"/>
      <c r="I63" s="153">
        <f>D$50*D63</f>
        <v>0</v>
      </c>
      <c r="J63" s="406">
        <v>1</v>
      </c>
      <c r="K63" s="387"/>
      <c r="L63" s="387"/>
      <c r="M63" s="157">
        <f>J$50*J63</f>
        <v>4770</v>
      </c>
      <c r="N63" s="387"/>
      <c r="O63" s="387"/>
      <c r="P63" s="387"/>
      <c r="Q63" s="387"/>
      <c r="R63" s="388"/>
      <c r="S63" s="161">
        <f>N50*N63</f>
        <v>0</v>
      </c>
    </row>
    <row r="64" spans="1:20" ht="13.5" thickBot="1" x14ac:dyDescent="0.25">
      <c r="B64" s="409"/>
      <c r="C64" s="181" t="s">
        <v>31</v>
      </c>
      <c r="D64" s="389">
        <v>0.2</v>
      </c>
      <c r="E64" s="389"/>
      <c r="F64" s="389"/>
      <c r="G64" s="389"/>
      <c r="H64" s="390"/>
      <c r="I64" s="170">
        <f>D$50*D64</f>
        <v>1410</v>
      </c>
      <c r="J64" s="405"/>
      <c r="K64" s="389"/>
      <c r="L64" s="389"/>
      <c r="M64" s="171">
        <f>J$50*J64</f>
        <v>0</v>
      </c>
      <c r="N64" s="389"/>
      <c r="O64" s="389"/>
      <c r="P64" s="389"/>
      <c r="Q64" s="389"/>
      <c r="R64" s="390"/>
      <c r="S64" s="172">
        <f>N50*N64</f>
        <v>0</v>
      </c>
    </row>
    <row r="65" spans="2:20" ht="13.5" thickBot="1" x14ac:dyDescent="0.25">
      <c r="B65" s="77"/>
      <c r="C65" s="1"/>
      <c r="D65" s="1"/>
      <c r="E65" s="1"/>
      <c r="F65" s="1"/>
      <c r="G65" s="1"/>
      <c r="H65" s="1"/>
      <c r="I65" s="75"/>
      <c r="J65" s="1"/>
      <c r="K65" s="1"/>
      <c r="L65" s="1"/>
      <c r="M65" s="75"/>
      <c r="N65" s="1"/>
      <c r="O65" s="1"/>
      <c r="P65" s="1"/>
      <c r="Q65" s="1"/>
      <c r="R65" s="1"/>
      <c r="S65" s="78"/>
    </row>
    <row r="66" spans="2:20" x14ac:dyDescent="0.2">
      <c r="B66" s="401" t="s">
        <v>55</v>
      </c>
      <c r="C66" s="185" t="s">
        <v>30</v>
      </c>
      <c r="D66" s="102"/>
      <c r="E66" s="103"/>
      <c r="F66" s="104">
        <f>I66/D$32</f>
        <v>0.40726478427233048</v>
      </c>
      <c r="G66" s="103"/>
      <c r="H66" s="105"/>
      <c r="I66" s="106">
        <f>I54+I57+I60+I62</f>
        <v>11403.413959625253</v>
      </c>
      <c r="J66" s="102"/>
      <c r="K66" s="104">
        <f>M66/J$32</f>
        <v>0.30324521338282823</v>
      </c>
      <c r="L66" s="103"/>
      <c r="M66" s="106">
        <f>M54+M57+M60+M62</f>
        <v>5155.1686275080801</v>
      </c>
      <c r="N66" s="102"/>
      <c r="O66" s="103"/>
      <c r="P66" s="104">
        <f>S66/N$32</f>
        <v>0.70977361649019488</v>
      </c>
      <c r="Q66" s="103"/>
      <c r="R66" s="103"/>
      <c r="S66" s="107">
        <f>S54+S57+S60+S62</f>
        <v>12882.391139297037</v>
      </c>
      <c r="T66" s="187">
        <f>(I66+M66+S66)/U$32</f>
        <v>0.46620702654679919</v>
      </c>
    </row>
    <row r="67" spans="2:20" x14ac:dyDescent="0.2">
      <c r="B67" s="402"/>
      <c r="C67" s="186" t="s">
        <v>59</v>
      </c>
      <c r="D67" s="23"/>
      <c r="E67" s="68"/>
      <c r="F67" s="215">
        <f t="shared" ref="F67:F68" si="14">I67/D$32</f>
        <v>0.38333794464514448</v>
      </c>
      <c r="G67" s="68"/>
      <c r="H67" s="69"/>
      <c r="I67" s="76">
        <f>I55+I58+I61+I63</f>
        <v>10733.462450064046</v>
      </c>
      <c r="J67" s="23"/>
      <c r="K67" s="215">
        <f t="shared" ref="K67:K68" si="15">M67/J$32</f>
        <v>0.69675478661717161</v>
      </c>
      <c r="L67" s="68"/>
      <c r="M67" s="76">
        <f>M55+M58+M61+M63</f>
        <v>11844.831372491917</v>
      </c>
      <c r="N67" s="23"/>
      <c r="O67" s="68"/>
      <c r="P67" s="215">
        <f t="shared" ref="P67:P68" si="16">S67/N$32</f>
        <v>0.29022638350980506</v>
      </c>
      <c r="Q67" s="68"/>
      <c r="R67" s="68"/>
      <c r="S67" s="79">
        <f>S55+S58+S61+S63</f>
        <v>5267.6088607029615</v>
      </c>
      <c r="T67" s="188">
        <f>(I67+M67+S67)/U$32</f>
        <v>0.44094857772381507</v>
      </c>
    </row>
    <row r="68" spans="2:20" ht="13.5" thickBot="1" x14ac:dyDescent="0.25">
      <c r="B68" s="403"/>
      <c r="C68" s="207" t="s">
        <v>31</v>
      </c>
      <c r="D68" s="80"/>
      <c r="E68" s="81"/>
      <c r="F68" s="82">
        <f t="shared" si="14"/>
        <v>0.20939727108252504</v>
      </c>
      <c r="G68" s="81"/>
      <c r="H68" s="83"/>
      <c r="I68" s="84">
        <f>I59+I64</f>
        <v>5863.1235903107008</v>
      </c>
      <c r="J68" s="80"/>
      <c r="K68" s="82">
        <f t="shared" si="15"/>
        <v>0</v>
      </c>
      <c r="L68" s="81"/>
      <c r="M68" s="84">
        <f>M59+M64</f>
        <v>0</v>
      </c>
      <c r="N68" s="80"/>
      <c r="O68" s="81"/>
      <c r="P68" s="82">
        <f t="shared" si="16"/>
        <v>0</v>
      </c>
      <c r="Q68" s="81"/>
      <c r="R68" s="81"/>
      <c r="S68" s="85">
        <f>S59+S64</f>
        <v>0</v>
      </c>
      <c r="T68" s="208">
        <f>(I68+M68+S68)/U$32</f>
        <v>9.2844395729385604E-2</v>
      </c>
    </row>
    <row r="69" spans="2:20" x14ac:dyDescent="0.2">
      <c r="B69" t="s">
        <v>58</v>
      </c>
      <c r="I69" s="72" t="str">
        <f>IF(SUM(I66:I68)=D$32,"iO","!")</f>
        <v>iO</v>
      </c>
      <c r="M69" s="72" t="str">
        <f>IF(SUM(M66:M68)=J$32,"iO","!")</f>
        <v>iO</v>
      </c>
      <c r="S69" s="72" t="str">
        <f>IF(SUM(S66:S68)=N$32,"iO","!")</f>
        <v>iO</v>
      </c>
      <c r="T69" s="189"/>
    </row>
    <row r="70" spans="2:20" x14ac:dyDescent="0.2">
      <c r="T70" s="189"/>
    </row>
    <row r="72" spans="2:20" x14ac:dyDescent="0.2">
      <c r="B72" s="28" t="s">
        <v>66</v>
      </c>
    </row>
    <row r="74" spans="2:20" x14ac:dyDescent="0.2">
      <c r="B74" s="217" t="s">
        <v>67</v>
      </c>
      <c r="C74" s="217"/>
      <c r="D74" s="218">
        <f t="shared" ref="D74:H76" si="17">D7/D$12*D$56/D$16</f>
        <v>496.48222809038543</v>
      </c>
      <c r="E74" s="232">
        <f t="shared" si="17"/>
        <v>48.801879782858862</v>
      </c>
      <c r="F74" s="232">
        <f t="shared" si="17"/>
        <v>56.282611980459542</v>
      </c>
      <c r="G74" s="232">
        <f t="shared" si="17"/>
        <v>9.5989327198078822</v>
      </c>
      <c r="H74" s="232">
        <f t="shared" si="17"/>
        <v>14.861361302784745</v>
      </c>
      <c r="I74" s="218">
        <f>(D74*D$16)+(E74*E$16)+(F74*F$16)+(G74*G$16)+(H74*H$16)</f>
        <v>1875.3185883413046</v>
      </c>
      <c r="N74" s="235">
        <f t="shared" ref="N74:R76" si="18">N7/N$12*N$56/N$16</f>
        <v>18.096403384476719</v>
      </c>
      <c r="O74" s="235">
        <f t="shared" si="18"/>
        <v>14.298703038732512</v>
      </c>
      <c r="P74" s="235">
        <f t="shared" si="18"/>
        <v>11.981201862761417</v>
      </c>
      <c r="Q74" s="235">
        <f t="shared" si="18"/>
        <v>6.2063497665301952</v>
      </c>
      <c r="R74" s="221">
        <f t="shared" si="18"/>
        <v>644.99129114376296</v>
      </c>
      <c r="S74" s="221">
        <f>(N74*N$16)+(O74*O$16)+(P74*P$16)+(Q74*Q$16)+(R74*R$16)</f>
        <v>1078.3668032204496</v>
      </c>
    </row>
    <row r="75" spans="2:20" x14ac:dyDescent="0.2">
      <c r="B75" s="217" t="s">
        <v>68</v>
      </c>
      <c r="C75" s="217"/>
      <c r="D75" s="218">
        <f t="shared" si="17"/>
        <v>1985.9289123615417</v>
      </c>
      <c r="E75" s="219">
        <f t="shared" si="17"/>
        <v>195.20751913143545</v>
      </c>
      <c r="F75" s="218">
        <f t="shared" si="17"/>
        <v>225.13044792183817</v>
      </c>
      <c r="G75" s="219">
        <f t="shared" si="17"/>
        <v>38.395730879231529</v>
      </c>
      <c r="H75" s="219">
        <f t="shared" si="17"/>
        <v>59.445445211138981</v>
      </c>
      <c r="I75" s="218">
        <f>(D75*D$16)+(E75*E$16)+(F75*F$16)+(G75*G$16)+(H75*H$16)</f>
        <v>7501.2743533652183</v>
      </c>
      <c r="N75" s="220">
        <f t="shared" si="18"/>
        <v>72.385613537906877</v>
      </c>
      <c r="O75" s="220">
        <f t="shared" si="18"/>
        <v>57.194812154930048</v>
      </c>
      <c r="P75" s="220">
        <f t="shared" si="18"/>
        <v>47.924807451045666</v>
      </c>
      <c r="Q75" s="220">
        <f t="shared" si="18"/>
        <v>24.825399066120781</v>
      </c>
      <c r="R75" s="221">
        <f t="shared" si="18"/>
        <v>2579.9651645750519</v>
      </c>
      <c r="S75" s="221">
        <f t="shared" ref="S75:S77" si="19">(N75*N$16)+(O75*O$16)+(P75*P$16)+(Q75*Q$16)+(R75*R$16)</f>
        <v>4313.4672128817983</v>
      </c>
    </row>
    <row r="76" spans="2:20" x14ac:dyDescent="0.2">
      <c r="B76" s="217" t="s">
        <v>69</v>
      </c>
      <c r="C76" s="217"/>
      <c r="D76" s="218">
        <f t="shared" si="17"/>
        <v>827.47038015064243</v>
      </c>
      <c r="E76" s="218">
        <f t="shared" si="17"/>
        <v>81.336466304764784</v>
      </c>
      <c r="F76" s="218">
        <f t="shared" si="17"/>
        <v>93.804353300765882</v>
      </c>
      <c r="G76" s="218">
        <f t="shared" si="17"/>
        <v>15.998221199679802</v>
      </c>
      <c r="H76" s="218">
        <f t="shared" si="17"/>
        <v>24.768935504641242</v>
      </c>
      <c r="I76" s="218">
        <f t="shared" ref="I76:I77" si="20">(D76*D$16)+(E76*E$16)+(F76*F$16)+(G76*G$16)+(H76*H$16)</f>
        <v>3125.5309805688412</v>
      </c>
      <c r="N76" s="221">
        <f t="shared" si="18"/>
        <v>30.160672307461205</v>
      </c>
      <c r="O76" s="221">
        <f t="shared" si="18"/>
        <v>23.831171731220856</v>
      </c>
      <c r="P76" s="221">
        <f t="shared" si="18"/>
        <v>19.968669771269031</v>
      </c>
      <c r="Q76" s="221">
        <f t="shared" si="18"/>
        <v>10.343916277550326</v>
      </c>
      <c r="R76" s="221">
        <f t="shared" si="18"/>
        <v>1074.9854852396049</v>
      </c>
      <c r="S76" s="221">
        <f t="shared" si="19"/>
        <v>1797.278005367416</v>
      </c>
    </row>
    <row r="77" spans="2:20" x14ac:dyDescent="0.2">
      <c r="B77" s="217" t="s">
        <v>70</v>
      </c>
      <c r="C77" s="217"/>
      <c r="D77" s="218">
        <f>(D10+D11)/D$12*D$56/D$16</f>
        <v>1903.1818743464776</v>
      </c>
      <c r="E77" s="219">
        <f>(E10+E11)/E$12*E$56/E$16</f>
        <v>122.00469945714715</v>
      </c>
      <c r="F77" s="218">
        <f>(F10+F11)/F$12*F$56/F$16</f>
        <v>188.54675013453945</v>
      </c>
      <c r="G77" s="219">
        <f>(G10+G11)/G$12*G$56/G$16</f>
        <v>23.997331799519703</v>
      </c>
      <c r="H77" s="219">
        <f>(H10+H11)/H$12*H$56/H$16</f>
        <v>37.153403256961859</v>
      </c>
      <c r="I77" s="218">
        <f t="shared" si="20"/>
        <v>6067.8760777246343</v>
      </c>
      <c r="N77" s="220">
        <f>N10/N$12*N$56/N$16</f>
        <v>45.241008461191804</v>
      </c>
      <c r="O77" s="220">
        <f>O10/O$12*O$56/O$16</f>
        <v>35.74675759683128</v>
      </c>
      <c r="P77" s="220">
        <f>P10/P$12*P$56/P$16</f>
        <v>29.953004656903545</v>
      </c>
      <c r="Q77" s="220">
        <f>Q10/Q$12*Q$56/Q$16</f>
        <v>15.515874416325488</v>
      </c>
      <c r="R77" s="221">
        <f>(R10+R11)/R$12*R$56/R$16</f>
        <v>3762.4491983386174</v>
      </c>
      <c r="S77" s="221">
        <f t="shared" si="19"/>
        <v>4845.8879785303343</v>
      </c>
    </row>
    <row r="78" spans="2:20" x14ac:dyDescent="0.2">
      <c r="D78" s="218">
        <f>SUM(D74:D77)*D$16</f>
        <v>5213.0633949490475</v>
      </c>
      <c r="E78" s="218">
        <f t="shared" ref="E78:H78" si="21">SUM(E74:E77)*E$16</f>
        <v>447.3505646762062</v>
      </c>
      <c r="F78" s="218">
        <f t="shared" si="21"/>
        <v>8456.4624500640475</v>
      </c>
      <c r="G78" s="218">
        <f t="shared" si="21"/>
        <v>1319.8532489735837</v>
      </c>
      <c r="H78" s="218">
        <f t="shared" si="21"/>
        <v>3133.2703413371173</v>
      </c>
      <c r="I78" s="218">
        <f>SUM(I74:I77)</f>
        <v>18570</v>
      </c>
      <c r="N78" s="218">
        <f>SUM(N74:N77)*N$16</f>
        <v>1327.0695815282927</v>
      </c>
      <c r="O78" s="218">
        <f t="shared" ref="O78:R78" si="22">SUM(O74:O77)*O$16</f>
        <v>917.50011165200294</v>
      </c>
      <c r="P78" s="218">
        <f t="shared" si="22"/>
        <v>988.44915367781687</v>
      </c>
      <c r="Q78" s="218">
        <f t="shared" si="22"/>
        <v>739.59001384484827</v>
      </c>
      <c r="R78" s="218">
        <f t="shared" si="22"/>
        <v>8062.3911392970367</v>
      </c>
      <c r="S78" s="221">
        <f>SUM(S74:S77)</f>
        <v>12034.999999999998</v>
      </c>
    </row>
  </sheetData>
  <mergeCells count="87">
    <mergeCell ref="D2:H2"/>
    <mergeCell ref="J2:L2"/>
    <mergeCell ref="N2:R2"/>
    <mergeCell ref="D32:H32"/>
    <mergeCell ref="J32:L32"/>
    <mergeCell ref="N32:R32"/>
    <mergeCell ref="B33:B46"/>
    <mergeCell ref="D33:H33"/>
    <mergeCell ref="J33:L33"/>
    <mergeCell ref="N33:R33"/>
    <mergeCell ref="D34:H34"/>
    <mergeCell ref="J34:L34"/>
    <mergeCell ref="N34:R34"/>
    <mergeCell ref="D35:H35"/>
    <mergeCell ref="J35:L35"/>
    <mergeCell ref="N35:R35"/>
    <mergeCell ref="D36:H36"/>
    <mergeCell ref="J36:L36"/>
    <mergeCell ref="N36:R36"/>
    <mergeCell ref="D37:H37"/>
    <mergeCell ref="J37:L37"/>
    <mergeCell ref="N37:R37"/>
    <mergeCell ref="D38:H38"/>
    <mergeCell ref="J38:L38"/>
    <mergeCell ref="N38:R38"/>
    <mergeCell ref="D39:H39"/>
    <mergeCell ref="J39:L39"/>
    <mergeCell ref="N39:R39"/>
    <mergeCell ref="D40:H40"/>
    <mergeCell ref="J40:L40"/>
    <mergeCell ref="N40:R40"/>
    <mergeCell ref="D41:H41"/>
    <mergeCell ref="J41:L41"/>
    <mergeCell ref="N41:R41"/>
    <mergeCell ref="D42:H42"/>
    <mergeCell ref="J42:L42"/>
    <mergeCell ref="N42:R42"/>
    <mergeCell ref="D43:H43"/>
    <mergeCell ref="J43:L43"/>
    <mergeCell ref="N43:R43"/>
    <mergeCell ref="D44:H44"/>
    <mergeCell ref="J44:L44"/>
    <mergeCell ref="N44:R44"/>
    <mergeCell ref="D45:H45"/>
    <mergeCell ref="J45:L45"/>
    <mergeCell ref="N45:R45"/>
    <mergeCell ref="D46:H46"/>
    <mergeCell ref="J46:L46"/>
    <mergeCell ref="N46:R46"/>
    <mergeCell ref="D47:H47"/>
    <mergeCell ref="J47:L47"/>
    <mergeCell ref="N47:R47"/>
    <mergeCell ref="D48:H48"/>
    <mergeCell ref="J48:L48"/>
    <mergeCell ref="N48:R48"/>
    <mergeCell ref="D49:H49"/>
    <mergeCell ref="J49:L49"/>
    <mergeCell ref="N49:R49"/>
    <mergeCell ref="D50:H50"/>
    <mergeCell ref="J50:L50"/>
    <mergeCell ref="N50:R50"/>
    <mergeCell ref="B54:B55"/>
    <mergeCell ref="D54:H54"/>
    <mergeCell ref="J54:L54"/>
    <mergeCell ref="N54:R54"/>
    <mergeCell ref="D55:H55"/>
    <mergeCell ref="J55:L55"/>
    <mergeCell ref="N55:R55"/>
    <mergeCell ref="B56:B59"/>
    <mergeCell ref="B60:B61"/>
    <mergeCell ref="D60:H60"/>
    <mergeCell ref="J60:L60"/>
    <mergeCell ref="N60:R60"/>
    <mergeCell ref="D61:H61"/>
    <mergeCell ref="J61:L61"/>
    <mergeCell ref="N61:R61"/>
    <mergeCell ref="B66:B68"/>
    <mergeCell ref="B62:B64"/>
    <mergeCell ref="D62:H62"/>
    <mergeCell ref="J62:L62"/>
    <mergeCell ref="N62:R62"/>
    <mergeCell ref="D63:H63"/>
    <mergeCell ref="J63:L63"/>
    <mergeCell ref="N63:R63"/>
    <mergeCell ref="D64:H64"/>
    <mergeCell ref="J64:L64"/>
    <mergeCell ref="N64:R64"/>
  </mergeCells>
  <conditionalFormatting sqref="I69 M69 S69">
    <cfRule type="cellIs" dxfId="1" priority="1" operator="equal">
      <formula>"!"</formula>
    </cfRule>
    <cfRule type="cellIs" dxfId="0" priority="2" operator="equal">
      <formula>"iO"</formula>
    </cfRule>
  </conditionalFormatting>
  <pageMargins left="0.7" right="0.7" top="0.78740157499999996" bottom="0.78740157499999996" header="0.3" footer="0.3"/>
  <pageSetup paperSize="8" scale="74" orientation="portrait" r:id="rId1"/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Variante A1 Vorgabe</vt:lpstr>
      <vt:lpstr>Variante A</vt:lpstr>
      <vt:lpstr>Variante A1</vt:lpstr>
      <vt:lpstr>Variante A mit Auft</vt:lpstr>
      <vt:lpstr>Variante A1 mit Auft</vt:lpstr>
      <vt:lpstr>'Variante A'!Druckbereich</vt:lpstr>
      <vt:lpstr>'Variante A mit Auft'!Druckbereich</vt:lpstr>
      <vt:lpstr>'Variante A1'!Druckbereich</vt:lpstr>
      <vt:lpstr>'Variante A1 mit Auft'!Druckbereich</vt:lpstr>
      <vt:lpstr>'Variante A1 Vorgabe'!Druckbereich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Lüthi Tobias</dc:creator>
  <cp:lastModifiedBy>Fuchs Christian</cp:lastModifiedBy>
  <cp:lastPrinted>2013-03-12T14:07:27Z</cp:lastPrinted>
  <dcterms:created xsi:type="dcterms:W3CDTF">2012-12-06T15:05:01Z</dcterms:created>
  <dcterms:modified xsi:type="dcterms:W3CDTF">2013-03-12T15:47:11Z</dcterms:modified>
</cp:coreProperties>
</file>