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28830" windowHeight="6585"/>
  </bookViews>
  <sheets>
    <sheet name="Endkostenprognose" sheetId="3" r:id="rId1"/>
  </sheets>
  <definedNames>
    <definedName name="_xlnm.Print_Area" localSheetId="0">Endkostenprognose!$A$1:$F$38</definedName>
  </definedNames>
  <calcPr calcId="145621" concurrentCalc="0"/>
</workbook>
</file>

<file path=xl/calcChain.xml><?xml version="1.0" encoding="utf-8"?>
<calcChain xmlns="http://schemas.openxmlformats.org/spreadsheetml/2006/main">
  <c r="D25" i="3" l="1"/>
  <c r="B26" i="3"/>
  <c r="B18" i="3"/>
  <c r="B24" i="3"/>
  <c r="B29" i="3"/>
  <c r="C24" i="3"/>
  <c r="C29" i="3"/>
  <c r="B8" i="3"/>
  <c r="B9" i="3"/>
  <c r="B10" i="3"/>
  <c r="B11" i="3"/>
  <c r="B12" i="3"/>
  <c r="B13" i="3"/>
  <c r="B14" i="3"/>
  <c r="B15" i="3"/>
  <c r="B7" i="3"/>
  <c r="B31" i="3"/>
  <c r="C9" i="3"/>
  <c r="D9" i="3"/>
  <c r="C15" i="3"/>
  <c r="D19" i="3"/>
  <c r="D20" i="3"/>
  <c r="D21" i="3"/>
  <c r="C14" i="3"/>
  <c r="C12" i="3"/>
  <c r="C11" i="3"/>
  <c r="C10" i="3"/>
  <c r="C8" i="3"/>
  <c r="D11" i="3"/>
  <c r="D15" i="3"/>
  <c r="C7" i="3"/>
  <c r="D12" i="3"/>
  <c r="D26" i="3"/>
  <c r="D10" i="3"/>
  <c r="D14" i="3"/>
  <c r="D8" i="3"/>
  <c r="E7" i="3"/>
  <c r="C18" i="3"/>
  <c r="E18" i="3"/>
  <c r="E24" i="3"/>
  <c r="E29" i="3"/>
  <c r="B33" i="3"/>
</calcChain>
</file>

<file path=xl/sharedStrings.xml><?xml version="1.0" encoding="utf-8"?>
<sst xmlns="http://schemas.openxmlformats.org/spreadsheetml/2006/main" count="49" uniqueCount="44">
  <si>
    <t>EP SiEp</t>
  </si>
  <si>
    <t>Fachbereich</t>
  </si>
  <si>
    <t>[h]</t>
  </si>
  <si>
    <t>---</t>
  </si>
  <si>
    <t>CHF</t>
  </si>
  <si>
    <t>Grundauftrag</t>
  </si>
  <si>
    <t>MK / AP</t>
  </si>
  <si>
    <t>MP / DP</t>
  </si>
  <si>
    <t>Ausschreibung, Offertvergleich, Vergabeantrag</t>
  </si>
  <si>
    <t>Unterlagen für die Ausführung</t>
  </si>
  <si>
    <t>Bau / Massnahmenausführung</t>
  </si>
  <si>
    <t>Zusatzleistungen</t>
  </si>
  <si>
    <t>Verlängerung der Bauleitung</t>
  </si>
  <si>
    <t>NO 6 - Organisatorische Zusatzleistungen</t>
  </si>
  <si>
    <t>NO 7 - Wildtierquerung</t>
  </si>
  <si>
    <t>Honorar</t>
  </si>
  <si>
    <t>Bemerkungen</t>
  </si>
  <si>
    <t>[CHF]</t>
  </si>
  <si>
    <t>Inbetriebnahme, Abschluss</t>
  </si>
  <si>
    <t>NO 1 - 6 - Objekt- und fachspezifische Zusatzleistungen</t>
  </si>
  <si>
    <t>-</t>
  </si>
  <si>
    <t>Prognose der möglichen Veränderungen</t>
  </si>
  <si>
    <t>Derzeit keine Veränderung zu erwarten.</t>
  </si>
  <si>
    <t>Siehe Abschnitt "Prognose der möglichen Veränderungen" und separat eingereichtes Blatt "Erste Kalkulationsabschätzung Phase MP / DP".</t>
  </si>
  <si>
    <t>Honorarzuschläge (T/G für Nacht und Wochenende)</t>
  </si>
  <si>
    <t>Diese können noch freigegeben werden.</t>
  </si>
  <si>
    <t>Siehe sep. NO</t>
  </si>
  <si>
    <t>Als Folge der Bauzeitverlängerung von ca. 2 Jahren auf  ca. 4 Jahre, ergibt sich eine Veränderung. Siehe Abschnitt "Prognose der möglichen Veränderungen".</t>
  </si>
  <si>
    <t>Erste Endkostenprognose</t>
  </si>
  <si>
    <t>(Grundauftrag + 50%)</t>
  </si>
  <si>
    <t>Derzeitiges Delta zur "50%-Regel"</t>
  </si>
  <si>
    <t>"50%-Regel"</t>
  </si>
  <si>
    <t>("+" unter dem Kostendach der "50%-Regel" / 
"-" über dem Kostendach der "50%-Regel")</t>
  </si>
  <si>
    <t>Eingereichte und genehmigte Nachträge</t>
  </si>
  <si>
    <t>Bemerkungen:</t>
  </si>
  <si>
    <t>Aus heutiger Sicht keine Veränderungen zu erwarten, je nach Auslegung der Phase MP/DP könnten hier Leistungen vorbezogen werden.</t>
  </si>
  <si>
    <t>NO 8 - Massnhamen Phase MK/AP</t>
  </si>
  <si>
    <t>Die Sackung Zunzgen (ca. 120 Stunden) wären als separater Auftrag denkbar.</t>
  </si>
  <si>
    <t>Es existieren hierfür die NO 1-8.</t>
  </si>
  <si>
    <t xml:space="preserve">Endkostenprognose            </t>
  </si>
  <si>
    <t>Entwurf NO 9 - Mehraufwendungen für die Phase MP/DP</t>
  </si>
  <si>
    <t>NO-Entwurf wurde im Februar 2016 eingereicht (255'172 CHF / 2'913 Std). NO wird nach Phasenabschluss neu eingereicht.</t>
  </si>
  <si>
    <r>
      <t xml:space="preserve">Als Folge der Bauzeitverlängerung von ca. 2 Jahren auf  ca. 4 1/2 Jahre, ergibt sich eine Veränderung. Wir haben dabei basierend auf dem Grundauftrag eine Hochrechnung und Ausblickprognose gemacht. Anstelle der 16'500 Stunden gehen wir von Total </t>
    </r>
    <r>
      <rPr>
        <b/>
        <u/>
        <sz val="10"/>
        <color rgb="FFFF0000"/>
        <rFont val="Arial"/>
        <family val="2"/>
      </rPr>
      <t>28'125</t>
    </r>
    <r>
      <rPr>
        <sz val="10"/>
        <rFont val="Arial"/>
        <family val="2"/>
      </rPr>
      <t xml:space="preserve"> Stunden aus.</t>
    </r>
  </si>
  <si>
    <t>Stand 03.02.17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</si>
</sst>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color rgb="FFFF0000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3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3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164" fontId="5" fillId="0" borderId="6" xfId="1" applyNumberFormat="1" applyFont="1" applyFill="1" applyBorder="1" applyAlignment="1">
      <alignment horizontal="center" vertical="center"/>
    </xf>
    <xf numFmtId="0" fontId="0" fillId="0" borderId="6" xfId="0" quotePrefix="1" applyFont="1" applyFill="1" applyBorder="1" applyAlignment="1">
      <alignment vertical="center"/>
    </xf>
    <xf numFmtId="164" fontId="0" fillId="0" borderId="6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43" fontId="0" fillId="0" borderId="3" xfId="0" applyNumberFormat="1" applyFill="1" applyBorder="1" applyAlignment="1">
      <alignment vertical="center"/>
    </xf>
    <xf numFmtId="43" fontId="0" fillId="0" borderId="6" xfId="0" applyNumberFormat="1" applyFill="1" applyBorder="1" applyAlignment="1">
      <alignment vertical="center"/>
    </xf>
    <xf numFmtId="0" fontId="0" fillId="0" borderId="6" xfId="0" applyFill="1" applyBorder="1"/>
    <xf numFmtId="164" fontId="0" fillId="0" borderId="0" xfId="1" applyNumberFormat="1" applyFont="1"/>
    <xf numFmtId="164" fontId="0" fillId="3" borderId="4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0" fillId="0" borderId="3" xfId="1" applyNumberFormat="1" applyFont="1" applyFill="1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164" fontId="0" fillId="0" borderId="7" xfId="1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/>
    <xf numFmtId="0" fontId="8" fillId="0" borderId="6" xfId="0" applyFont="1" applyFill="1" applyBorder="1" applyAlignment="1">
      <alignment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6" xfId="0" quotePrefix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164" fontId="3" fillId="0" borderId="6" xfId="1" quotePrefix="1" applyNumberFormat="1" applyFont="1" applyFill="1" applyBorder="1" applyAlignment="1">
      <alignment horizontal="center" vertical="center"/>
    </xf>
    <xf numFmtId="43" fontId="4" fillId="2" borderId="0" xfId="1" applyNumberFormat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6" fillId="0" borderId="0" xfId="0" applyFont="1"/>
    <xf numFmtId="164" fontId="1" fillId="0" borderId="7" xfId="1" applyNumberFormat="1" applyFont="1" applyFill="1" applyBorder="1"/>
    <xf numFmtId="43" fontId="0" fillId="0" borderId="6" xfId="0" applyNumberFormat="1" applyFont="1" applyFill="1" applyBorder="1" applyAlignment="1">
      <alignment vertical="center"/>
    </xf>
    <xf numFmtId="0" fontId="0" fillId="0" borderId="6" xfId="0" quotePrefix="1" applyFont="1" applyFill="1" applyBorder="1" applyAlignment="1">
      <alignment vertical="center" wrapText="1"/>
    </xf>
    <xf numFmtId="0" fontId="3" fillId="0" borderId="3" xfId="0" quotePrefix="1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164" fontId="3" fillId="0" borderId="2" xfId="1" applyNumberFormat="1" applyFont="1" applyFill="1" applyBorder="1" applyAlignment="1">
      <alignment vertical="center" wrapText="1"/>
    </xf>
    <xf numFmtId="164" fontId="3" fillId="0" borderId="2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64" fontId="3" fillId="0" borderId="6" xfId="1" applyNumberFormat="1" applyFont="1" applyFill="1" applyBorder="1" applyAlignment="1">
      <alignment vertical="center" wrapText="1"/>
    </xf>
    <xf numFmtId="43" fontId="3" fillId="0" borderId="6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 wrapText="1"/>
    </xf>
    <xf numFmtId="0" fontId="3" fillId="0" borderId="6" xfId="0" quotePrefix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3" fillId="0" borderId="7" xfId="1" applyNumberFormat="1" applyFont="1" applyFill="1" applyBorder="1"/>
    <xf numFmtId="0" fontId="3" fillId="0" borderId="6" xfId="0" quotePrefix="1" applyFont="1" applyFill="1" applyBorder="1" applyAlignment="1">
      <alignment vertical="center" wrapText="1"/>
    </xf>
    <xf numFmtId="164" fontId="9" fillId="2" borderId="0" xfId="1" applyNumberFormat="1" applyFont="1" applyFill="1" applyBorder="1" applyAlignment="1">
      <alignment horizontal="center" vertical="center"/>
    </xf>
    <xf numFmtId="164" fontId="0" fillId="5" borderId="6" xfId="1" applyNumberFormat="1" applyFont="1" applyFill="1" applyBorder="1" applyAlignment="1">
      <alignment vertical="center"/>
    </xf>
    <xf numFmtId="164" fontId="0" fillId="5" borderId="6" xfId="1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43" fontId="0" fillId="5" borderId="6" xfId="0" applyNumberFormat="1" applyFill="1" applyBorder="1" applyAlignment="1">
      <alignment vertical="center"/>
    </xf>
    <xf numFmtId="164" fontId="5" fillId="5" borderId="6" xfId="1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 wrapText="1"/>
    </xf>
    <xf numFmtId="164" fontId="11" fillId="5" borderId="6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43" fontId="4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showGridLines="0" tabSelected="1" zoomScale="80" zoomScaleNormal="80" workbookViewId="0">
      <selection activeCell="J22" sqref="J22"/>
    </sheetView>
  </sheetViews>
  <sheetFormatPr baseColWidth="10" defaultRowHeight="12.75" x14ac:dyDescent="0.2"/>
  <cols>
    <col min="1" max="1" width="60.7109375" customWidth="1"/>
    <col min="2" max="2" width="20.7109375" style="28" customWidth="1"/>
    <col min="3" max="3" width="8" style="28" customWidth="1"/>
    <col min="4" max="4" width="8.140625" hidden="1" customWidth="1"/>
    <col min="5" max="5" width="5.140625" hidden="1" customWidth="1"/>
    <col min="6" max="6" width="77.140625" customWidth="1"/>
  </cols>
  <sheetData>
    <row r="1" spans="1:6" ht="15.75" x14ac:dyDescent="0.25">
      <c r="A1" s="1" t="s">
        <v>0</v>
      </c>
    </row>
    <row r="2" spans="1:6" ht="18" x14ac:dyDescent="0.25">
      <c r="A2" s="13" t="s">
        <v>39</v>
      </c>
      <c r="F2" s="67" t="s">
        <v>43</v>
      </c>
    </row>
    <row r="3" spans="1:6" ht="7.5" customHeight="1" x14ac:dyDescent="0.2"/>
    <row r="4" spans="1:6" x14ac:dyDescent="0.2">
      <c r="A4" s="2" t="s">
        <v>1</v>
      </c>
      <c r="B4" s="79" t="s">
        <v>15</v>
      </c>
      <c r="C4" s="79"/>
      <c r="D4" s="80"/>
      <c r="E4" s="80"/>
      <c r="F4" s="45" t="s">
        <v>16</v>
      </c>
    </row>
    <row r="5" spans="1:6" x14ac:dyDescent="0.2">
      <c r="A5" s="2"/>
      <c r="B5" s="35" t="s">
        <v>17</v>
      </c>
      <c r="C5" s="35" t="s">
        <v>2</v>
      </c>
      <c r="D5" s="2" t="s">
        <v>4</v>
      </c>
      <c r="E5" s="15" t="s">
        <v>2</v>
      </c>
      <c r="F5" s="45"/>
    </row>
    <row r="6" spans="1:6" ht="7.5" hidden="1" customHeight="1" x14ac:dyDescent="0.2">
      <c r="A6" s="2"/>
      <c r="B6" s="29"/>
      <c r="C6" s="36"/>
      <c r="D6" s="3"/>
      <c r="E6" s="15"/>
      <c r="F6" s="45"/>
    </row>
    <row r="7" spans="1:6" x14ac:dyDescent="0.2">
      <c r="A7" s="4" t="s">
        <v>5</v>
      </c>
      <c r="B7" s="30">
        <f>SUM(B8:B17)</f>
        <v>5813340</v>
      </c>
      <c r="C7" s="6">
        <f>SUM(C8:C17)</f>
        <v>65150</v>
      </c>
      <c r="D7" s="5"/>
      <c r="E7" s="6">
        <f>SUM(E8:E17)</f>
        <v>0</v>
      </c>
      <c r="F7" s="46"/>
    </row>
    <row r="8" spans="1:6" ht="29.25" customHeight="1" x14ac:dyDescent="0.2">
      <c r="A8" s="11" t="s">
        <v>6</v>
      </c>
      <c r="B8" s="31">
        <f>352440+222900+254830</f>
        <v>830170</v>
      </c>
      <c r="C8" s="23">
        <f>2600+3000+4000</f>
        <v>9600</v>
      </c>
      <c r="D8" s="25">
        <f>B8/C8</f>
        <v>86.47604166666666</v>
      </c>
      <c r="E8" s="12"/>
      <c r="F8" s="56" t="s">
        <v>38</v>
      </c>
    </row>
    <row r="9" spans="1:6" ht="25.5" x14ac:dyDescent="0.2">
      <c r="A9" s="19" t="s">
        <v>7</v>
      </c>
      <c r="B9" s="32">
        <f>391860+246670+308260+25875+30500</f>
        <v>1003165</v>
      </c>
      <c r="C9" s="24">
        <f>2800+3500+300+350+4500</f>
        <v>11450</v>
      </c>
      <c r="D9" s="26">
        <f>B9/C9</f>
        <v>87.612663755458513</v>
      </c>
      <c r="E9" s="18"/>
      <c r="F9" s="17" t="s">
        <v>23</v>
      </c>
    </row>
    <row r="10" spans="1:6" x14ac:dyDescent="0.2">
      <c r="A10" s="21" t="s">
        <v>8</v>
      </c>
      <c r="B10" s="32">
        <f>221070+284730</f>
        <v>505800</v>
      </c>
      <c r="C10" s="24">
        <f>3200+2500</f>
        <v>5700</v>
      </c>
      <c r="D10" s="26">
        <f>B10/C10</f>
        <v>88.736842105263165</v>
      </c>
      <c r="E10" s="18"/>
      <c r="F10" s="44" t="s">
        <v>22</v>
      </c>
    </row>
    <row r="11" spans="1:6" ht="25.5" x14ac:dyDescent="0.2">
      <c r="A11" s="21" t="s">
        <v>9</v>
      </c>
      <c r="B11" s="33">
        <f>701360+655110</f>
        <v>1356470</v>
      </c>
      <c r="C11" s="24">
        <f>8000+8500</f>
        <v>16500</v>
      </c>
      <c r="D11" s="26">
        <f>B11/C11</f>
        <v>82.210303030303024</v>
      </c>
      <c r="E11" s="18"/>
      <c r="F11" s="44" t="s">
        <v>35</v>
      </c>
    </row>
    <row r="12" spans="1:6" ht="25.5" x14ac:dyDescent="0.2">
      <c r="A12" s="19" t="s">
        <v>10</v>
      </c>
      <c r="B12" s="33">
        <f>693160+925290</f>
        <v>1618450</v>
      </c>
      <c r="C12" s="24">
        <f>9500+7000</f>
        <v>16500</v>
      </c>
      <c r="D12" s="26">
        <f>B12/C12</f>
        <v>98.087878787878793</v>
      </c>
      <c r="E12" s="18"/>
      <c r="F12" s="17" t="s">
        <v>27</v>
      </c>
    </row>
    <row r="13" spans="1:6" x14ac:dyDescent="0.2">
      <c r="A13" s="19" t="s">
        <v>24</v>
      </c>
      <c r="B13" s="53">
        <f>45000</f>
        <v>45000</v>
      </c>
      <c r="C13" s="48" t="s">
        <v>3</v>
      </c>
      <c r="D13" s="27"/>
      <c r="E13" s="18"/>
      <c r="F13" s="44" t="s">
        <v>20</v>
      </c>
    </row>
    <row r="14" spans="1:6" x14ac:dyDescent="0.2">
      <c r="A14" s="65" t="s">
        <v>11</v>
      </c>
      <c r="B14" s="68">
        <f>92100+92100</f>
        <v>184200</v>
      </c>
      <c r="C14" s="24">
        <f>1000+1000</f>
        <v>2000</v>
      </c>
      <c r="D14" s="63">
        <f>B14/C14</f>
        <v>92.1</v>
      </c>
      <c r="E14" s="24"/>
      <c r="F14" s="69" t="s">
        <v>25</v>
      </c>
    </row>
    <row r="15" spans="1:6" x14ac:dyDescent="0.2">
      <c r="A15" s="19" t="s">
        <v>18</v>
      </c>
      <c r="B15" s="33">
        <f>114690+155395</f>
        <v>270085</v>
      </c>
      <c r="C15" s="20">
        <f>1900+1500</f>
        <v>3400</v>
      </c>
      <c r="D15" s="54">
        <f>B15/C15</f>
        <v>79.436764705882354</v>
      </c>
      <c r="E15" s="20"/>
      <c r="F15" s="55" t="s">
        <v>22</v>
      </c>
    </row>
    <row r="16" spans="1:6" x14ac:dyDescent="0.2">
      <c r="A16" s="19"/>
      <c r="B16" s="33"/>
      <c r="C16" s="24"/>
      <c r="D16" s="26"/>
      <c r="E16" s="18"/>
      <c r="F16" s="42"/>
    </row>
    <row r="17" spans="1:6" x14ac:dyDescent="0.2">
      <c r="A17" s="14"/>
      <c r="B17" s="34"/>
      <c r="C17" s="23"/>
      <c r="D17" s="7"/>
      <c r="E17" s="8"/>
      <c r="F17" s="43"/>
    </row>
    <row r="18" spans="1:6" x14ac:dyDescent="0.2">
      <c r="A18" s="4" t="s">
        <v>33</v>
      </c>
      <c r="B18" s="30">
        <f>SUM(B19:B23)</f>
        <v>1430960</v>
      </c>
      <c r="C18" s="6">
        <f>SUM(C19:C23)</f>
        <v>13307</v>
      </c>
      <c r="D18" s="5"/>
      <c r="E18" s="6">
        <f>SUM(E19:E23)</f>
        <v>0</v>
      </c>
      <c r="F18" s="46"/>
    </row>
    <row r="19" spans="1:6" x14ac:dyDescent="0.2">
      <c r="A19" s="57" t="s">
        <v>19</v>
      </c>
      <c r="B19" s="58">
        <v>953270</v>
      </c>
      <c r="C19" s="59">
        <v>9030</v>
      </c>
      <c r="D19" s="60">
        <f>B19/C19</f>
        <v>105.56699889258029</v>
      </c>
      <c r="E19" s="51"/>
      <c r="F19" s="61" t="s">
        <v>26</v>
      </c>
    </row>
    <row r="20" spans="1:6" x14ac:dyDescent="0.2">
      <c r="A20" s="57" t="s">
        <v>13</v>
      </c>
      <c r="B20" s="62">
        <v>198453</v>
      </c>
      <c r="C20" s="24">
        <v>1594</v>
      </c>
      <c r="D20" s="63">
        <f>B20/C20</f>
        <v>124.5</v>
      </c>
      <c r="E20" s="24"/>
      <c r="F20" s="64" t="s">
        <v>26</v>
      </c>
    </row>
    <row r="21" spans="1:6" x14ac:dyDescent="0.2">
      <c r="A21" s="65" t="s">
        <v>14</v>
      </c>
      <c r="B21" s="62">
        <v>54210</v>
      </c>
      <c r="C21" s="24">
        <v>530</v>
      </c>
      <c r="D21" s="63">
        <f>B21/C21</f>
        <v>102.28301886792453</v>
      </c>
      <c r="E21" s="24"/>
      <c r="F21" s="64" t="s">
        <v>26</v>
      </c>
    </row>
    <row r="22" spans="1:6" x14ac:dyDescent="0.2">
      <c r="A22" s="66" t="s">
        <v>36</v>
      </c>
      <c r="B22" s="62">
        <v>225027</v>
      </c>
      <c r="C22" s="24">
        <v>2153</v>
      </c>
      <c r="D22" s="66"/>
      <c r="E22" s="24"/>
      <c r="F22" s="64" t="s">
        <v>26</v>
      </c>
    </row>
    <row r="23" spans="1:6" x14ac:dyDescent="0.2">
      <c r="A23" s="14"/>
      <c r="B23" s="34"/>
      <c r="C23" s="22"/>
      <c r="D23" s="7"/>
      <c r="E23" s="9"/>
      <c r="F23" s="43"/>
    </row>
    <row r="24" spans="1:6" x14ac:dyDescent="0.2">
      <c r="A24" s="4" t="s">
        <v>21</v>
      </c>
      <c r="B24" s="30">
        <f>SUM(B25:B28)</f>
        <v>1140271.5909090911</v>
      </c>
      <c r="C24" s="6">
        <f>SUM(C25:C28)</f>
        <v>11625</v>
      </c>
      <c r="D24" s="5"/>
      <c r="E24" s="6">
        <f>SUM(E25:E28)</f>
        <v>0</v>
      </c>
      <c r="F24" s="46"/>
    </row>
    <row r="25" spans="1:6" ht="31.5" customHeight="1" x14ac:dyDescent="0.2">
      <c r="A25" s="74" t="s">
        <v>40</v>
      </c>
      <c r="B25" s="71">
        <v>0</v>
      </c>
      <c r="C25" s="72">
        <v>0</v>
      </c>
      <c r="D25" s="75" t="e">
        <f>B25/C25</f>
        <v>#DIV/0!</v>
      </c>
      <c r="E25" s="76"/>
      <c r="F25" s="73" t="s">
        <v>41</v>
      </c>
    </row>
    <row r="26" spans="1:6" ht="51" x14ac:dyDescent="0.2">
      <c r="A26" s="74" t="s">
        <v>12</v>
      </c>
      <c r="B26" s="71">
        <f>C26*D12</f>
        <v>1140271.5909090911</v>
      </c>
      <c r="C26" s="78">
        <v>11625</v>
      </c>
      <c r="D26" s="75">
        <f>B26/C26</f>
        <v>98.087878787878807</v>
      </c>
      <c r="E26" s="76"/>
      <c r="F26" s="77" t="s">
        <v>42</v>
      </c>
    </row>
    <row r="27" spans="1:6" x14ac:dyDescent="0.2">
      <c r="A27" s="16"/>
      <c r="B27" s="32"/>
      <c r="C27" s="20"/>
      <c r="D27" s="17"/>
      <c r="E27" s="18"/>
      <c r="F27" s="17"/>
    </row>
    <row r="28" spans="1:6" x14ac:dyDescent="0.2">
      <c r="A28" s="14"/>
      <c r="B28" s="34"/>
      <c r="C28" s="22"/>
      <c r="D28" s="7"/>
      <c r="E28" s="9"/>
      <c r="F28" s="43"/>
    </row>
    <row r="29" spans="1:6" x14ac:dyDescent="0.2">
      <c r="A29" s="4" t="s">
        <v>28</v>
      </c>
      <c r="B29" s="30">
        <f>B7+B18+B24</f>
        <v>8384571.5909090908</v>
      </c>
      <c r="C29" s="6">
        <f>SUM(C7+C18+C24)</f>
        <v>90082</v>
      </c>
      <c r="D29" s="5"/>
      <c r="E29" s="6">
        <f>SUM(E7+E18+E24)</f>
        <v>0</v>
      </c>
      <c r="F29" s="47"/>
    </row>
    <row r="30" spans="1:6" x14ac:dyDescent="0.2">
      <c r="A30" s="37"/>
      <c r="B30" s="38"/>
      <c r="C30" s="39"/>
      <c r="D30" s="37"/>
      <c r="E30" s="39"/>
      <c r="F30" s="40"/>
    </row>
    <row r="31" spans="1:6" s="41" customFormat="1" x14ac:dyDescent="0.2">
      <c r="A31" s="5" t="s">
        <v>31</v>
      </c>
      <c r="B31" s="49">
        <f>(50*B7/100)+B7</f>
        <v>8720010</v>
      </c>
      <c r="C31" s="70"/>
      <c r="D31" s="5"/>
      <c r="E31" s="50"/>
      <c r="F31" s="10" t="s">
        <v>29</v>
      </c>
    </row>
    <row r="32" spans="1:6" ht="7.5" customHeight="1" x14ac:dyDescent="0.2"/>
    <row r="33" spans="1:6" s="41" customFormat="1" x14ac:dyDescent="0.2">
      <c r="A33" s="83" t="s">
        <v>30</v>
      </c>
      <c r="B33" s="82">
        <f>-B29+B31</f>
        <v>335438.40909090918</v>
      </c>
      <c r="C33" s="81" t="s">
        <v>32</v>
      </c>
      <c r="D33" s="81"/>
      <c r="E33" s="81"/>
      <c r="F33" s="81"/>
    </row>
    <row r="34" spans="1:6" ht="7.5" customHeight="1" x14ac:dyDescent="0.2">
      <c r="A34" s="83"/>
      <c r="B34" s="82"/>
      <c r="C34" s="81"/>
      <c r="D34" s="81"/>
      <c r="E34" s="81"/>
      <c r="F34" s="81"/>
    </row>
    <row r="35" spans="1:6" x14ac:dyDescent="0.2">
      <c r="A35" s="83"/>
      <c r="B35" s="82"/>
      <c r="C35" s="81"/>
      <c r="D35" s="81"/>
      <c r="E35" s="81"/>
      <c r="F35" s="81"/>
    </row>
    <row r="37" spans="1:6" x14ac:dyDescent="0.2">
      <c r="A37" s="52" t="s">
        <v>34</v>
      </c>
    </row>
    <row r="38" spans="1:6" x14ac:dyDescent="0.2">
      <c r="A38" t="s">
        <v>37</v>
      </c>
    </row>
  </sheetData>
  <mergeCells count="5">
    <mergeCell ref="B4:C4"/>
    <mergeCell ref="D4:E4"/>
    <mergeCell ref="C33:F35"/>
    <mergeCell ref="B33:B35"/>
    <mergeCell ref="A33:A35"/>
  </mergeCells>
  <printOptions horizontalCentered="1"/>
  <pageMargins left="0.70866141732283472" right="0.70866141732283472" top="0.59" bottom="0.59055118110236227" header="0.23622047244094491" footer="0.31496062992125984"/>
  <pageSetup paperSize="9" scale="80" orientation="landscape" r:id="rId1"/>
  <headerFooter>
    <oddFooter>&amp;LINGE EPSI / JS + AeBo
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Endkostenprognose</vt:lpstr>
      <vt:lpstr>Endkostenprognose!Druckbereich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Roth Stefan</cp:lastModifiedBy>
  <cp:lastPrinted>2017-02-03T08:38:24Z</cp:lastPrinted>
  <dcterms:created xsi:type="dcterms:W3CDTF">2015-04-17T15:32:41Z</dcterms:created>
  <dcterms:modified xsi:type="dcterms:W3CDTF">2017-02-03T08:38:32Z</dcterms:modified>
</cp:coreProperties>
</file>