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MUTTENZ\p\701323\02_VKJS\Endkostenprognose 2020\"/>
    </mc:Choice>
  </mc:AlternateContent>
  <xr:revisionPtr revIDLastSave="0" documentId="13_ncr:1_{3FEF3E49-0978-4E0B-BB37-0C327E0D28F6}" xr6:coauthVersionLast="45" xr6:coauthVersionMax="45" xr10:uidLastSave="{00000000-0000-0000-0000-000000000000}"/>
  <bookViews>
    <workbookView xWindow="-120" yWindow="-120" windowWidth="29040" windowHeight="17790" tabRatio="811" xr2:uid="{00000000-000D-0000-FFFF-FFFF00000000}"/>
  </bookViews>
  <sheets>
    <sheet name="Endkostenprognose-31.07.20" sheetId="10" r:id="rId1"/>
  </sheets>
  <definedNames>
    <definedName name="_xlnm.Print_Area" localSheetId="0">'Endkostenprognose-31.07.20'!$A$1:$F$44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0" l="1"/>
  <c r="D16" i="10"/>
  <c r="C16" i="10"/>
  <c r="B16" i="10"/>
  <c r="C7" i="10"/>
  <c r="C8" i="10"/>
  <c r="C9" i="10"/>
  <c r="C10" i="10"/>
  <c r="C11" i="10"/>
  <c r="C14" i="10"/>
  <c r="C6" i="10"/>
  <c r="B10" i="10"/>
  <c r="D10" i="10"/>
  <c r="D33" i="10"/>
  <c r="D32" i="10"/>
  <c r="B33" i="10"/>
  <c r="B32" i="10"/>
  <c r="B11" i="10"/>
  <c r="D11" i="10"/>
  <c r="B31" i="10"/>
  <c r="B30" i="10"/>
  <c r="B7" i="10"/>
  <c r="B8" i="10"/>
  <c r="B9" i="10"/>
  <c r="B12" i="10"/>
  <c r="B14" i="10"/>
  <c r="B6" i="10"/>
  <c r="B35" i="10"/>
  <c r="C30" i="10"/>
  <c r="C35" i="10"/>
  <c r="D35" i="10"/>
  <c r="D30" i="10"/>
  <c r="D8" i="10"/>
  <c r="D7" i="10"/>
  <c r="D14" i="10"/>
  <c r="D9" i="10"/>
  <c r="E30" i="10"/>
  <c r="E6" i="10"/>
  <c r="E16" i="10"/>
  <c r="E35" i="10"/>
  <c r="B37" i="10"/>
  <c r="D6" i="10"/>
  <c r="B39" i="10"/>
  <c r="D39" i="10"/>
</calcChain>
</file>

<file path=xl/sharedStrings.xml><?xml version="1.0" encoding="utf-8"?>
<sst xmlns="http://schemas.openxmlformats.org/spreadsheetml/2006/main" count="65" uniqueCount="52">
  <si>
    <t>Fachbereich</t>
  </si>
  <si>
    <t>Bemerkungen</t>
  </si>
  <si>
    <t>[CHF]</t>
  </si>
  <si>
    <t>[h]</t>
  </si>
  <si>
    <t>Grundauftrag</t>
  </si>
  <si>
    <t>MK / AP</t>
  </si>
  <si>
    <t>Es existieren hierfür die NO 1-8.</t>
  </si>
  <si>
    <t>Ausschreibung, Offertvergleich, Vergabeantrag</t>
  </si>
  <si>
    <t>Derzeit keine Veränderung zu erwarten.</t>
  </si>
  <si>
    <t>Unterlagen für die Ausführung</t>
  </si>
  <si>
    <t>Bau / Massnahmenausführung</t>
  </si>
  <si>
    <t>Als Folge der Bauzeitverlängerung von ca. 2 Jahren auf  ca. 4 Jahre, ergibt sich eine Veränderung. Siehe Abschnitt "Prognose der möglichen Veränderungen".</t>
  </si>
  <si>
    <t>Honorarzuschläge (T/G für Nacht und Wochenende)</t>
  </si>
  <si>
    <t>---</t>
  </si>
  <si>
    <t>Zusatzleistungen</t>
  </si>
  <si>
    <t>Diese können noch freigegeben werden.</t>
  </si>
  <si>
    <t>Inbetriebnahme, Abschluss</t>
  </si>
  <si>
    <t>Eingereichte und genehmigte Nachträge</t>
  </si>
  <si>
    <t>Prognose der möglichen Veränderungen</t>
  </si>
  <si>
    <t>Erste Endkostenprognose</t>
  </si>
  <si>
    <t>"50%-Regel"</t>
  </si>
  <si>
    <t>("+" unter dem Kostendach der "50%-Regel" / 
"-" über dem Kostendach der "50%-Regel")</t>
  </si>
  <si>
    <t>Bemerkungen:</t>
  </si>
  <si>
    <t xml:space="preserve">Endkostenprognose            </t>
  </si>
  <si>
    <t>Honorar (exkl. NK)</t>
  </si>
  <si>
    <t>Siehe sep. NO, genehmigt</t>
  </si>
  <si>
    <t>Es existiert hierfür die NO 9.</t>
  </si>
  <si>
    <t>Es existieren hierfür die NO 10 + 11.</t>
  </si>
  <si>
    <t xml:space="preserve">Prognostiziertes Delta zur "50%-Regel" </t>
  </si>
  <si>
    <t>NO 3 ZU SM Ebmatt</t>
  </si>
  <si>
    <t>NO 4 Auftragsanp. MK</t>
  </si>
  <si>
    <t>NO 6 Auftragsanp. MK/AP</t>
  </si>
  <si>
    <t>NO 7 Wildtierquerung</t>
  </si>
  <si>
    <t>NO 8 Auftragsanp. MK/AP</t>
  </si>
  <si>
    <t>NO 9 Auftragsanp. MP/DP</t>
  </si>
  <si>
    <t>NO 10 Auftragsanp. Subm.</t>
  </si>
  <si>
    <t>NO 11 Auftragsanp. Subm.</t>
  </si>
  <si>
    <t>Aufwandschätzung INGE für die Phase 51 Anteil WTQ</t>
  </si>
  <si>
    <t>[CHF/h]</t>
  </si>
  <si>
    <t>NO 13 Phase 51: Abzug Honorar INGE für WTQ Phase 51</t>
  </si>
  <si>
    <t>NO 14 Phase 51: Honorar-Minderaufwand INGE für UfA</t>
  </si>
  <si>
    <t>Zusatz-Std zu Vertrag (16'500): Als Folge der Bauzeitverlängerung von ca. 2 Jahren auf  ca. 4 1/2 Jahre, ergibt sich eine Veränderung. INGE hat dabei basierend auf dem Grundauftrag eine Hochrechnung und Ausblickprognose gemacht.</t>
  </si>
  <si>
    <t>INGE schätzt einen geringen H-Aufwand für die Phase 51 ab, Schätzung liegt bei ca. 12'700h</t>
  </si>
  <si>
    <t>Stand 31.07.20</t>
  </si>
  <si>
    <t>MP / DP + PGV</t>
  </si>
  <si>
    <t>(NK 51'400 CHF)</t>
  </si>
  <si>
    <t>NO 12 Phase 52: Verlängerung der Bauleitung und ohne WTQ</t>
  </si>
  <si>
    <t>(Grundauftrag, exkl. NK  +  50%)</t>
  </si>
  <si>
    <t>NO 1 Hauptinspektionen inkl. Nachtzuschläge</t>
  </si>
  <si>
    <t>NO 2 Akustik+Archiv inkl. NK</t>
  </si>
  <si>
    <t>NO 5 Nichtlineare Berechn. Inkl. NK</t>
  </si>
  <si>
    <t>Bei 3'000h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</si>
</sst>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6" fontId="0" fillId="0" borderId="0" xfId="2" applyNumberFormat="1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2" borderId="2" xfId="2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6" fontId="4" fillId="3" borderId="0" xfId="2" applyNumberFormat="1" applyFont="1" applyFill="1" applyBorder="1" applyAlignment="1">
      <alignment vertical="center"/>
    </xf>
    <xf numFmtId="166" fontId="4" fillId="3" borderId="3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166" fontId="0" fillId="0" borderId="3" xfId="2" applyNumberFormat="1" applyFont="1" applyFill="1" applyBorder="1" applyAlignment="1">
      <alignment vertical="center"/>
    </xf>
    <xf numFmtId="43" fontId="0" fillId="0" borderId="3" xfId="0" applyNumberFormat="1" applyBorder="1" applyAlignment="1">
      <alignment vertical="center"/>
    </xf>
    <xf numFmtId="166" fontId="3" fillId="0" borderId="3" xfId="2" applyNumberFormat="1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vertical="center" wrapText="1"/>
    </xf>
    <xf numFmtId="0" fontId="0" fillId="0" borderId="4" xfId="0" quotePrefix="1" applyBorder="1" applyAlignment="1">
      <alignment vertical="center"/>
    </xf>
    <xf numFmtId="166" fontId="0" fillId="0" borderId="4" xfId="2" applyNumberFormat="1" applyFont="1" applyFill="1" applyBorder="1" applyAlignment="1">
      <alignment vertical="center"/>
    </xf>
    <xf numFmtId="166" fontId="1" fillId="0" borderId="4" xfId="2" applyNumberFormat="1" applyFont="1" applyFill="1" applyBorder="1" applyAlignment="1">
      <alignment horizontal="center" vertical="center"/>
    </xf>
    <xf numFmtId="43" fontId="0" fillId="0" borderId="4" xfId="0" applyNumberFormat="1" applyBorder="1" applyAlignment="1">
      <alignment vertical="center"/>
    </xf>
    <xf numFmtId="166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166" fontId="0" fillId="0" borderId="5" xfId="2" applyNumberFormat="1" applyFont="1" applyFill="1" applyBorder="1" applyAlignment="1">
      <alignment vertical="center"/>
    </xf>
    <xf numFmtId="166" fontId="2" fillId="0" borderId="5" xfId="2" applyNumberFormat="1" applyFont="1" applyFill="1" applyBorder="1"/>
    <xf numFmtId="0" fontId="0" fillId="0" borderId="4" xfId="0" applyBorder="1"/>
    <xf numFmtId="0" fontId="1" fillId="0" borderId="4" xfId="0" quotePrefix="1" applyFont="1" applyBorder="1" applyAlignment="1">
      <alignment vertical="center" wrapText="1"/>
    </xf>
    <xf numFmtId="166" fontId="0" fillId="0" borderId="4" xfId="2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6" fontId="0" fillId="0" borderId="0" xfId="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quotePrefix="1" applyBorder="1" applyAlignment="1">
      <alignment vertical="center" wrapText="1"/>
    </xf>
    <xf numFmtId="166" fontId="1" fillId="0" borderId="4" xfId="2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6" fontId="3" fillId="0" borderId="3" xfId="2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166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66" fontId="6" fillId="3" borderId="0" xfId="2" applyNumberFormat="1" applyFont="1" applyFill="1" applyBorder="1" applyAlignment="1">
      <alignment horizontal="center" vertical="center"/>
    </xf>
    <xf numFmtId="166" fontId="4" fillId="3" borderId="0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1" fillId="0" borderId="0" xfId="0" applyFont="1"/>
    <xf numFmtId="0" fontId="7" fillId="0" borderId="0" xfId="0" applyFont="1"/>
    <xf numFmtId="0" fontId="0" fillId="0" borderId="0" xfId="0" quotePrefix="1"/>
    <xf numFmtId="166" fontId="0" fillId="0" borderId="4" xfId="2" applyNumberFormat="1" applyFont="1" applyFill="1" applyBorder="1" applyAlignment="1">
      <alignment vertical="center" wrapText="1"/>
    </xf>
    <xf numFmtId="43" fontId="0" fillId="0" borderId="4" xfId="0" applyNumberFormat="1" applyFont="1" applyBorder="1" applyAlignment="1">
      <alignment vertical="center"/>
    </xf>
    <xf numFmtId="0" fontId="0" fillId="0" borderId="4" xfId="0" quotePrefix="1" applyFont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vertical="center"/>
    </xf>
    <xf numFmtId="166" fontId="5" fillId="0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166" fontId="8" fillId="3" borderId="3" xfId="2" applyNumberFormat="1" applyFont="1" applyFill="1" applyBorder="1" applyAlignment="1">
      <alignment horizontal="center" vertical="center"/>
    </xf>
    <xf numFmtId="166" fontId="9" fillId="0" borderId="3" xfId="2" applyNumberFormat="1" applyFont="1" applyFill="1" applyBorder="1" applyAlignment="1">
      <alignment horizontal="center" vertical="center"/>
    </xf>
    <xf numFmtId="166" fontId="9" fillId="0" borderId="4" xfId="2" applyNumberFormat="1" applyFont="1" applyFill="1" applyBorder="1" applyAlignment="1">
      <alignment horizontal="center" vertical="center"/>
    </xf>
    <xf numFmtId="166" fontId="9" fillId="0" borderId="4" xfId="2" quotePrefix="1" applyNumberFormat="1" applyFont="1" applyFill="1" applyBorder="1" applyAlignment="1">
      <alignment horizontal="center" vertical="center"/>
    </xf>
    <xf numFmtId="166" fontId="5" fillId="0" borderId="4" xfId="2" applyNumberFormat="1" applyFont="1" applyFill="1" applyBorder="1" applyAlignment="1">
      <alignment horizontal="center" vertical="center"/>
    </xf>
    <xf numFmtId="166" fontId="5" fillId="0" borderId="3" xfId="2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4" xfId="0" quotePrefix="1" applyFill="1" applyBorder="1" applyAlignment="1">
      <alignment vertical="center" wrapText="1"/>
    </xf>
    <xf numFmtId="0" fontId="0" fillId="0" borderId="4" xfId="0" quotePrefix="1" applyFont="1" applyFill="1" applyBorder="1" applyAlignment="1">
      <alignment vertical="center"/>
    </xf>
    <xf numFmtId="166" fontId="5" fillId="0" borderId="4" xfId="2" applyNumberFormat="1" applyFont="1" applyFill="1" applyBorder="1" applyAlignment="1">
      <alignment vertical="center"/>
    </xf>
    <xf numFmtId="43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43" fontId="8" fillId="3" borderId="3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66" fontId="4" fillId="3" borderId="0" xfId="2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9" fontId="4" fillId="3" borderId="0" xfId="1" applyFont="1" applyFill="1" applyAlignment="1">
      <alignment horizontal="center" vertical="center" wrapText="1"/>
    </xf>
    <xf numFmtId="43" fontId="0" fillId="0" borderId="4" xfId="2" applyNumberFormat="1" applyFont="1" applyFill="1" applyBorder="1" applyAlignment="1">
      <alignment vertical="center" wrapText="1"/>
    </xf>
    <xf numFmtId="43" fontId="4" fillId="3" borderId="0" xfId="2" applyNumberFormat="1" applyFont="1" applyFill="1" applyBorder="1" applyAlignment="1">
      <alignment vertical="center"/>
    </xf>
    <xf numFmtId="0" fontId="1" fillId="0" borderId="4" xfId="0" quotePrefix="1" applyFont="1" applyFill="1" applyBorder="1" applyAlignment="1">
      <alignment vertical="center"/>
    </xf>
    <xf numFmtId="166" fontId="1" fillId="0" borderId="5" xfId="2" applyNumberFormat="1" applyFont="1" applyFill="1" applyBorder="1"/>
    <xf numFmtId="43" fontId="1" fillId="0" borderId="4" xfId="0" applyNumberFormat="1" applyFont="1" applyFill="1" applyBorder="1" applyAlignment="1">
      <alignment vertical="center"/>
    </xf>
    <xf numFmtId="0" fontId="1" fillId="0" borderId="4" xfId="0" quotePrefix="1" applyFont="1" applyFill="1" applyBorder="1" applyAlignment="1">
      <alignment vertical="center" wrapText="1"/>
    </xf>
  </cellXfs>
  <cellStyles count="6">
    <cellStyle name="Komma" xfId="2" builtinId="3"/>
    <cellStyle name="Komma 2" xfId="4" xr:uid="{00000000-0005-0000-0000-000001000000}"/>
    <cellStyle name="Prozent" xfId="1" builtinId="5"/>
    <cellStyle name="Prozent 2" xfId="5" xr:uid="{00000000-0005-0000-0000-000003000000}"/>
    <cellStyle name="Standard" xfId="0" builtinId="0"/>
    <cellStyle name="Standard 2" xfId="3" xr:uid="{00000000-0005-0000-0000-000005000000}"/>
  </cellStyles>
  <dxfs count="0"/>
  <tableStyles count="0" defaultTableStyle="TableStyleMedium2" defaultPivotStyle="PivotStyleLight16"/>
  <colors>
    <mruColors>
      <color rgb="FFF0D300"/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F44"/>
  <sheetViews>
    <sheetView showGridLines="0" tabSelected="1" zoomScaleNormal="100" workbookViewId="0">
      <selection activeCell="H4" sqref="H4"/>
    </sheetView>
  </sheetViews>
  <sheetFormatPr baseColWidth="10" defaultRowHeight="12.75" x14ac:dyDescent="0.2"/>
  <cols>
    <col min="1" max="1" width="60.7109375" customWidth="1"/>
    <col min="2" max="2" width="20.7109375" style="1" customWidth="1"/>
    <col min="3" max="3" width="10.7109375" style="1" customWidth="1"/>
    <col min="4" max="4" width="7.7109375" customWidth="1"/>
    <col min="5" max="5" width="4.7109375" hidden="1" customWidth="1"/>
    <col min="6" max="6" width="77.140625" customWidth="1"/>
  </cols>
  <sheetData>
    <row r="1" spans="1:6" ht="18" x14ac:dyDescent="0.25">
      <c r="A1" s="64" t="s">
        <v>23</v>
      </c>
      <c r="F1" s="2" t="s">
        <v>43</v>
      </c>
    </row>
    <row r="2" spans="1:6" ht="7.5" customHeight="1" x14ac:dyDescent="0.2"/>
    <row r="3" spans="1:6" x14ac:dyDescent="0.2">
      <c r="A3" s="3" t="s">
        <v>0</v>
      </c>
      <c r="B3" s="71" t="s">
        <v>24</v>
      </c>
      <c r="C3" s="71"/>
      <c r="D3" s="72"/>
      <c r="E3" s="72"/>
      <c r="F3" s="4" t="s">
        <v>1</v>
      </c>
    </row>
    <row r="4" spans="1:6" x14ac:dyDescent="0.2">
      <c r="A4" s="3"/>
      <c r="B4" s="5" t="s">
        <v>2</v>
      </c>
      <c r="C4" s="56" t="s">
        <v>3</v>
      </c>
      <c r="D4" s="3" t="s">
        <v>38</v>
      </c>
      <c r="E4" s="6" t="s">
        <v>3</v>
      </c>
      <c r="F4" s="4"/>
    </row>
    <row r="5" spans="1:6" ht="7.5" hidden="1" customHeight="1" x14ac:dyDescent="0.2">
      <c r="A5" s="3"/>
      <c r="B5" s="7"/>
      <c r="C5" s="57"/>
      <c r="D5" s="8"/>
      <c r="E5" s="6"/>
      <c r="F5" s="4"/>
    </row>
    <row r="6" spans="1:6" x14ac:dyDescent="0.2">
      <c r="A6" s="9" t="s">
        <v>4</v>
      </c>
      <c r="B6" s="10">
        <f>SUM(B7:B15)</f>
        <v>5813340</v>
      </c>
      <c r="C6" s="58">
        <f>SUM(C7:C15)</f>
        <v>65150</v>
      </c>
      <c r="D6" s="55">
        <f t="shared" ref="D6:D11" si="0">B6/C6</f>
        <v>89.23008442056792</v>
      </c>
      <c r="E6" s="11">
        <f>SUM(E7:E15)</f>
        <v>0</v>
      </c>
      <c r="F6" s="13"/>
    </row>
    <row r="7" spans="1:6" ht="29.25" customHeight="1" x14ac:dyDescent="0.2">
      <c r="A7" s="14" t="s">
        <v>5</v>
      </c>
      <c r="B7" s="15">
        <f>352440+222900+254830</f>
        <v>830170</v>
      </c>
      <c r="C7" s="59">
        <f>2600+3000+4000</f>
        <v>9600</v>
      </c>
      <c r="D7" s="16">
        <f t="shared" si="0"/>
        <v>86.47604166666666</v>
      </c>
      <c r="E7" s="17"/>
      <c r="F7" s="18" t="s">
        <v>6</v>
      </c>
    </row>
    <row r="8" spans="1:6" x14ac:dyDescent="0.2">
      <c r="A8" s="19" t="s">
        <v>44</v>
      </c>
      <c r="B8" s="20">
        <f>391860+246670+308260+25875+30500</f>
        <v>1003165</v>
      </c>
      <c r="C8" s="60">
        <f>2800+3500+300+350+4500</f>
        <v>11450</v>
      </c>
      <c r="D8" s="22">
        <f t="shared" si="0"/>
        <v>87.612663755458513</v>
      </c>
      <c r="E8" s="23"/>
      <c r="F8" s="30" t="s">
        <v>26</v>
      </c>
    </row>
    <row r="9" spans="1:6" x14ac:dyDescent="0.2">
      <c r="A9" s="25" t="s">
        <v>7</v>
      </c>
      <c r="B9" s="20">
        <f>221070+284730</f>
        <v>505800</v>
      </c>
      <c r="C9" s="60">
        <f>3200+2500</f>
        <v>5700</v>
      </c>
      <c r="D9" s="22">
        <f t="shared" si="0"/>
        <v>88.736842105263165</v>
      </c>
      <c r="E9" s="23"/>
      <c r="F9" s="30" t="s">
        <v>27</v>
      </c>
    </row>
    <row r="10" spans="1:6" x14ac:dyDescent="0.2">
      <c r="A10" s="25" t="s">
        <v>9</v>
      </c>
      <c r="B10" s="27">
        <f>701360+655110</f>
        <v>1356470</v>
      </c>
      <c r="C10" s="60">
        <f>8000+8500</f>
        <v>16500</v>
      </c>
      <c r="D10" s="22">
        <f t="shared" si="0"/>
        <v>82.210303030303024</v>
      </c>
      <c r="E10" s="23"/>
      <c r="F10" s="65" t="s">
        <v>8</v>
      </c>
    </row>
    <row r="11" spans="1:6" ht="25.5" x14ac:dyDescent="0.2">
      <c r="A11" s="19" t="s">
        <v>10</v>
      </c>
      <c r="B11" s="27">
        <f>693160+925290</f>
        <v>1618450</v>
      </c>
      <c r="C11" s="60">
        <f>9500+7000</f>
        <v>16500</v>
      </c>
      <c r="D11" s="22">
        <f t="shared" si="0"/>
        <v>98.087878787878793</v>
      </c>
      <c r="E11" s="23"/>
      <c r="F11" s="24" t="s">
        <v>11</v>
      </c>
    </row>
    <row r="12" spans="1:6" x14ac:dyDescent="0.2">
      <c r="A12" s="19" t="s">
        <v>12</v>
      </c>
      <c r="B12" s="28">
        <f>45000</f>
        <v>45000</v>
      </c>
      <c r="C12" s="61" t="s">
        <v>13</v>
      </c>
      <c r="D12" s="29"/>
      <c r="E12" s="23"/>
      <c r="F12" s="26" t="s">
        <v>51</v>
      </c>
    </row>
    <row r="13" spans="1:6" x14ac:dyDescent="0.2">
      <c r="A13" s="79" t="s">
        <v>14</v>
      </c>
      <c r="B13" s="80">
        <v>184200</v>
      </c>
      <c r="C13" s="60">
        <v>2000</v>
      </c>
      <c r="D13" s="81">
        <v>92.1</v>
      </c>
      <c r="E13" s="21"/>
      <c r="F13" s="82" t="s">
        <v>15</v>
      </c>
    </row>
    <row r="14" spans="1:6" x14ac:dyDescent="0.2">
      <c r="A14" s="19" t="s">
        <v>16</v>
      </c>
      <c r="B14" s="27">
        <f>114690+155395</f>
        <v>270085</v>
      </c>
      <c r="C14" s="62">
        <f>1900+1500</f>
        <v>3400</v>
      </c>
      <c r="D14" s="22">
        <f>B14/C14</f>
        <v>79.436764705882354</v>
      </c>
      <c r="E14" s="31"/>
      <c r="F14" s="26" t="s">
        <v>8</v>
      </c>
    </row>
    <row r="15" spans="1:6" x14ac:dyDescent="0.2">
      <c r="A15" s="19" t="s">
        <v>45</v>
      </c>
      <c r="B15" s="27"/>
      <c r="C15" s="60"/>
      <c r="D15" s="22"/>
      <c r="E15" s="23"/>
      <c r="F15" s="32"/>
    </row>
    <row r="16" spans="1:6" x14ac:dyDescent="0.2">
      <c r="A16" s="9" t="s">
        <v>17</v>
      </c>
      <c r="B16" s="78">
        <f>SUM(B17:B29)</f>
        <v>1974387.15</v>
      </c>
      <c r="C16" s="70">
        <f>SUM(C17:C29)</f>
        <v>17892.5</v>
      </c>
      <c r="D16" s="55">
        <f>B16/C16</f>
        <v>110.34719295794326</v>
      </c>
      <c r="E16" s="11">
        <f>SUM(E17:E29)</f>
        <v>0</v>
      </c>
      <c r="F16" s="13"/>
    </row>
    <row r="17" spans="1:6" x14ac:dyDescent="0.2">
      <c r="A17" s="53" t="s">
        <v>48</v>
      </c>
      <c r="B17" s="77">
        <v>98915.25</v>
      </c>
      <c r="C17" s="62">
        <v>904</v>
      </c>
      <c r="D17" s="52"/>
      <c r="E17" s="31"/>
      <c r="F17" s="37" t="s">
        <v>25</v>
      </c>
    </row>
    <row r="18" spans="1:6" x14ac:dyDescent="0.2">
      <c r="A18" s="53" t="s">
        <v>49</v>
      </c>
      <c r="B18" s="77">
        <v>137972.9</v>
      </c>
      <c r="C18" s="62">
        <v>954</v>
      </c>
      <c r="D18" s="52"/>
      <c r="E18" s="31"/>
      <c r="F18" s="37" t="s">
        <v>25</v>
      </c>
    </row>
    <row r="19" spans="1:6" x14ac:dyDescent="0.2">
      <c r="A19" s="53" t="s">
        <v>29</v>
      </c>
      <c r="B19" s="77">
        <v>12736.5</v>
      </c>
      <c r="C19" s="62">
        <v>106.5</v>
      </c>
      <c r="D19" s="52"/>
      <c r="E19" s="31"/>
      <c r="F19" s="37" t="s">
        <v>25</v>
      </c>
    </row>
    <row r="20" spans="1:6" x14ac:dyDescent="0.2">
      <c r="A20" s="53" t="s">
        <v>30</v>
      </c>
      <c r="B20" s="77">
        <v>457259</v>
      </c>
      <c r="C20" s="62">
        <v>4450</v>
      </c>
      <c r="D20" s="52"/>
      <c r="E20" s="31"/>
      <c r="F20" s="37" t="s">
        <v>25</v>
      </c>
    </row>
    <row r="21" spans="1:6" x14ac:dyDescent="0.2">
      <c r="A21" s="53" t="s">
        <v>50</v>
      </c>
      <c r="B21" s="77">
        <v>24643.5</v>
      </c>
      <c r="C21" s="62">
        <v>200</v>
      </c>
      <c r="D21" s="52"/>
      <c r="E21" s="31"/>
      <c r="F21" s="37" t="s">
        <v>25</v>
      </c>
    </row>
    <row r="22" spans="1:6" x14ac:dyDescent="0.2">
      <c r="A22" s="53" t="s">
        <v>31</v>
      </c>
      <c r="B22" s="77">
        <v>428206</v>
      </c>
      <c r="C22" s="62">
        <v>3529</v>
      </c>
      <c r="D22" s="52"/>
      <c r="E22" s="31"/>
      <c r="F22" s="37" t="s">
        <v>25</v>
      </c>
    </row>
    <row r="23" spans="1:6" x14ac:dyDescent="0.2">
      <c r="A23" s="53" t="s">
        <v>32</v>
      </c>
      <c r="B23" s="77">
        <v>54210</v>
      </c>
      <c r="C23" s="62">
        <v>530</v>
      </c>
      <c r="D23" s="52"/>
      <c r="E23" s="31"/>
      <c r="F23" s="37" t="s">
        <v>25</v>
      </c>
    </row>
    <row r="24" spans="1:6" x14ac:dyDescent="0.2">
      <c r="A24" s="53" t="s">
        <v>33</v>
      </c>
      <c r="B24" s="77">
        <v>225027</v>
      </c>
      <c r="C24" s="62">
        <v>2153</v>
      </c>
      <c r="D24" s="52"/>
      <c r="E24" s="31"/>
      <c r="F24" s="37" t="s">
        <v>25</v>
      </c>
    </row>
    <row r="25" spans="1:6" x14ac:dyDescent="0.2">
      <c r="A25" s="53" t="s">
        <v>34</v>
      </c>
      <c r="B25" s="77">
        <v>182013</v>
      </c>
      <c r="C25" s="62">
        <v>2050</v>
      </c>
      <c r="D25" s="52"/>
      <c r="E25" s="31"/>
      <c r="F25" s="37" t="s">
        <v>25</v>
      </c>
    </row>
    <row r="26" spans="1:6" x14ac:dyDescent="0.2">
      <c r="A26" s="53" t="s">
        <v>35</v>
      </c>
      <c r="B26" s="77">
        <v>149491</v>
      </c>
      <c r="C26" s="62">
        <v>1199</v>
      </c>
      <c r="D26" s="52"/>
      <c r="E26" s="31"/>
      <c r="F26" s="37" t="s">
        <v>25</v>
      </c>
    </row>
    <row r="27" spans="1:6" x14ac:dyDescent="0.2">
      <c r="A27" s="53" t="s">
        <v>36</v>
      </c>
      <c r="B27" s="77">
        <v>203913</v>
      </c>
      <c r="C27" s="62">
        <v>1817</v>
      </c>
      <c r="D27" s="52"/>
      <c r="E27" s="31"/>
      <c r="F27" s="37" t="s">
        <v>25</v>
      </c>
    </row>
    <row r="28" spans="1:6" x14ac:dyDescent="0.2">
      <c r="A28" s="38"/>
      <c r="B28" s="36"/>
      <c r="C28" s="60"/>
      <c r="D28" s="38"/>
      <c r="E28" s="21"/>
      <c r="F28" s="37"/>
    </row>
    <row r="29" spans="1:6" x14ac:dyDescent="0.2">
      <c r="A29" s="14"/>
      <c r="B29" s="33"/>
      <c r="C29" s="63"/>
      <c r="D29" s="34"/>
      <c r="E29" s="39"/>
      <c r="F29" s="35"/>
    </row>
    <row r="30" spans="1:6" x14ac:dyDescent="0.2">
      <c r="A30" s="9" t="s">
        <v>18</v>
      </c>
      <c r="B30" s="10">
        <f>SUM(B31:B33)</f>
        <v>318876.08484848484</v>
      </c>
      <c r="C30" s="58">
        <f>SUM(C31:C33)</f>
        <v>2652</v>
      </c>
      <c r="D30" s="55">
        <f>B30/C30</f>
        <v>120.23985099867453</v>
      </c>
      <c r="E30" s="11">
        <f>SUM(E31:E34)</f>
        <v>0</v>
      </c>
      <c r="F30" s="13"/>
    </row>
    <row r="31" spans="1:6" ht="38.25" x14ac:dyDescent="0.2">
      <c r="A31" s="25" t="s">
        <v>46</v>
      </c>
      <c r="B31" s="20">
        <f>C31*D11</f>
        <v>623054.20606060605</v>
      </c>
      <c r="C31" s="62">
        <v>6352</v>
      </c>
      <c r="D31" s="22">
        <f>D11</f>
        <v>98.087878787878793</v>
      </c>
      <c r="E31" s="23"/>
      <c r="F31" s="37" t="s">
        <v>41</v>
      </c>
    </row>
    <row r="32" spans="1:6" x14ac:dyDescent="0.2">
      <c r="A32" s="66" t="s">
        <v>39</v>
      </c>
      <c r="B32" s="51">
        <f>C32*D32</f>
        <v>-139757.51515151514</v>
      </c>
      <c r="C32" s="67">
        <v>-1700</v>
      </c>
      <c r="D32" s="68">
        <f>D10</f>
        <v>82.210303030303024</v>
      </c>
      <c r="E32" s="23"/>
      <c r="F32" s="69" t="s">
        <v>37</v>
      </c>
    </row>
    <row r="33" spans="1:6" ht="25.5" x14ac:dyDescent="0.2">
      <c r="A33" s="66" t="s">
        <v>40</v>
      </c>
      <c r="B33" s="51">
        <f>C33*D33</f>
        <v>-164420.60606060605</v>
      </c>
      <c r="C33" s="67">
        <v>-2000</v>
      </c>
      <c r="D33" s="68">
        <f>D10</f>
        <v>82.210303030303024</v>
      </c>
      <c r="E33" s="23"/>
      <c r="F33" s="24" t="s">
        <v>42</v>
      </c>
    </row>
    <row r="34" spans="1:6" x14ac:dyDescent="0.2">
      <c r="A34" s="14"/>
      <c r="B34" s="33"/>
      <c r="C34" s="63"/>
      <c r="D34" s="34"/>
      <c r="E34" s="39"/>
      <c r="F34" s="35"/>
    </row>
    <row r="35" spans="1:6" x14ac:dyDescent="0.2">
      <c r="A35" s="9" t="s">
        <v>19</v>
      </c>
      <c r="B35" s="10">
        <f>B6+B16+B30</f>
        <v>8106603.2348484853</v>
      </c>
      <c r="C35" s="58">
        <f>SUM(C6+C16+C30)</f>
        <v>85694.5</v>
      </c>
      <c r="D35" s="55">
        <f>B35/C35</f>
        <v>94.598874313386332</v>
      </c>
      <c r="E35" s="11">
        <f>SUM(E6+E16+E30)</f>
        <v>0</v>
      </c>
      <c r="F35" s="40"/>
    </row>
    <row r="36" spans="1:6" x14ac:dyDescent="0.2">
      <c r="A36" s="41"/>
      <c r="B36" s="42"/>
      <c r="C36" s="43"/>
      <c r="D36" s="41"/>
      <c r="E36" s="43"/>
      <c r="F36" s="44"/>
    </row>
    <row r="37" spans="1:6" s="48" customFormat="1" x14ac:dyDescent="0.2">
      <c r="A37" s="12" t="s">
        <v>20</v>
      </c>
      <c r="B37" s="10">
        <f>1.5*B6</f>
        <v>8720010</v>
      </c>
      <c r="C37" s="45"/>
      <c r="D37" s="12"/>
      <c r="E37" s="46"/>
      <c r="F37" s="47" t="s">
        <v>47</v>
      </c>
    </row>
    <row r="38" spans="1:6" ht="7.5" customHeight="1" x14ac:dyDescent="0.2"/>
    <row r="39" spans="1:6" s="48" customFormat="1" ht="12.75" customHeight="1" x14ac:dyDescent="0.2">
      <c r="A39" s="73" t="s">
        <v>28</v>
      </c>
      <c r="B39" s="74">
        <f>-B35+B37</f>
        <v>613406.76515151467</v>
      </c>
      <c r="C39" s="54"/>
      <c r="D39" s="76">
        <f>(B37-B39)*1.5/B37</f>
        <v>1.3944829022297829</v>
      </c>
      <c r="E39" s="54"/>
      <c r="F39" s="75" t="s">
        <v>21</v>
      </c>
    </row>
    <row r="40" spans="1:6" ht="7.5" customHeight="1" x14ac:dyDescent="0.2">
      <c r="A40" s="73"/>
      <c r="B40" s="74"/>
      <c r="C40" s="54"/>
      <c r="D40" s="76"/>
      <c r="E40" s="54"/>
      <c r="F40" s="75"/>
    </row>
    <row r="41" spans="1:6" x14ac:dyDescent="0.2">
      <c r="A41" s="73"/>
      <c r="B41" s="74"/>
      <c r="C41" s="54"/>
      <c r="D41" s="76"/>
      <c r="E41" s="54"/>
      <c r="F41" s="75"/>
    </row>
    <row r="43" spans="1:6" x14ac:dyDescent="0.2">
      <c r="A43" s="49" t="s">
        <v>22</v>
      </c>
    </row>
    <row r="44" spans="1:6" x14ac:dyDescent="0.2">
      <c r="A44" s="50" t="s">
        <v>13</v>
      </c>
    </row>
  </sheetData>
  <mergeCells count="6">
    <mergeCell ref="B3:C3"/>
    <mergeCell ref="D3:E3"/>
    <mergeCell ref="A39:A41"/>
    <mergeCell ref="B39:B41"/>
    <mergeCell ref="F39:F41"/>
    <mergeCell ref="D39:D41"/>
  </mergeCells>
  <printOptions horizontalCentered="1"/>
  <pageMargins left="0.39370078740157483" right="0.31496062992125984" top="0.47244094488188981" bottom="0.59055118110236227" header="0.23622047244094491" footer="0.23622047244094491"/>
  <pageSetup paperSize="9" scale="79" orientation="landscape" cellComments="asDisplayed" r:id="rId1"/>
  <headerFooter>
    <oddHeader>&amp;LEP SIEP</oddHeader>
    <oddFooter>&amp;LINGE EPSI / JS + AeBo
&amp;Z&amp;F</oddFooter>
  </headerFooter>
  <ignoredErrors>
    <ignoredError sqref="D35 D6 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Endkostenprognose-31.07.20</vt:lpstr>
      <vt:lpstr>'Endkostenprognose-31.07.20'!Druckbereich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Roth Stefan</cp:lastModifiedBy>
  <cp:lastPrinted>2020-07-31T05:52:24Z</cp:lastPrinted>
  <dcterms:created xsi:type="dcterms:W3CDTF">2013-01-18T14:01:58Z</dcterms:created>
  <dcterms:modified xsi:type="dcterms:W3CDTF">2020-07-31T05:53:10Z</dcterms:modified>
</cp:coreProperties>
</file>