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24915" windowHeight="12270"/>
  </bookViews>
  <sheets>
    <sheet name="MK-AP" sheetId="4" r:id="rId1"/>
    <sheet name="MP-DP" sheetId="2" r:id="rId2"/>
  </sheets>
  <definedNames>
    <definedName name="_xlnm.Print_Area" localSheetId="0">'MK-AP'!$A$1:$C$48</definedName>
    <definedName name="_xlnm.Print_Area" localSheetId="1">'MP-DP'!$A$1:$G$38</definedName>
  </definedNames>
  <calcPr calcId="145621"/>
</workbook>
</file>

<file path=xl/calcChain.xml><?xml version="1.0" encoding="utf-8"?>
<calcChain xmlns="http://schemas.openxmlformats.org/spreadsheetml/2006/main">
  <c r="G33" i="2" l="1"/>
  <c r="G24" i="2"/>
  <c r="G15" i="2"/>
  <c r="G16" i="2"/>
  <c r="E34" i="2"/>
  <c r="C34" i="2"/>
  <c r="P26" i="2"/>
  <c r="P13" i="2"/>
  <c r="P12" i="2"/>
  <c r="B10" i="4" l="1"/>
  <c r="B11" i="4"/>
  <c r="B12" i="4"/>
  <c r="B18" i="4" l="1"/>
  <c r="F18" i="4"/>
  <c r="G18" i="4" s="1"/>
  <c r="B23" i="4"/>
  <c r="B22" i="4"/>
  <c r="B19" i="4"/>
  <c r="B17" i="4"/>
  <c r="B16" i="4"/>
  <c r="B15" i="4"/>
  <c r="B7" i="4"/>
  <c r="F19" i="4"/>
  <c r="G19" i="4" s="1"/>
  <c r="F24" i="4"/>
  <c r="G24" i="4" s="1"/>
  <c r="F23" i="4"/>
  <c r="G23" i="4" s="1"/>
  <c r="F15" i="4"/>
  <c r="F12" i="4"/>
  <c r="G12" i="4" s="1"/>
  <c r="F10" i="4"/>
  <c r="G26" i="4"/>
  <c r="F22" i="4"/>
  <c r="F11" i="4"/>
  <c r="N34" i="2"/>
  <c r="M30" i="2"/>
  <c r="N30" i="2" s="1"/>
  <c r="E30" i="2" s="1"/>
  <c r="M28" i="2"/>
  <c r="N28" i="2" s="1"/>
  <c r="E28" i="2" s="1"/>
  <c r="M26" i="2"/>
  <c r="M22" i="2"/>
  <c r="N22" i="2" s="1"/>
  <c r="M20" i="2"/>
  <c r="N20" i="2" s="1"/>
  <c r="E20" i="2" s="1"/>
  <c r="M17" i="2"/>
  <c r="M24" i="2" s="1"/>
  <c r="M16" i="2" s="1"/>
  <c r="M14" i="2"/>
  <c r="N14" i="2" s="1"/>
  <c r="E14" i="2" s="1"/>
  <c r="M13" i="2"/>
  <c r="N13" i="2" s="1"/>
  <c r="E13" i="2" s="1"/>
  <c r="M12" i="2"/>
  <c r="N12" i="2" s="1"/>
  <c r="E12" i="2" s="1"/>
  <c r="M8" i="2"/>
  <c r="N8" i="2" s="1"/>
  <c r="E8" i="2" s="1"/>
  <c r="L25" i="2"/>
  <c r="L16" i="2"/>
  <c r="L7" i="2"/>
  <c r="J28" i="2"/>
  <c r="K28" i="2" s="1"/>
  <c r="C28" i="2" s="1"/>
  <c r="J22" i="2"/>
  <c r="K22" i="2" s="1"/>
  <c r="C22" i="2" s="1"/>
  <c r="J17" i="2"/>
  <c r="K17" i="2" s="1"/>
  <c r="C17" i="2" s="1"/>
  <c r="J13" i="2"/>
  <c r="K13" i="2" s="1"/>
  <c r="C13" i="2" s="1"/>
  <c r="K34" i="2"/>
  <c r="J8" i="2"/>
  <c r="I30" i="2"/>
  <c r="J30" i="2" s="1"/>
  <c r="K30" i="2" s="1"/>
  <c r="C30" i="2" s="1"/>
  <c r="I28" i="2"/>
  <c r="I26" i="2"/>
  <c r="J26" i="2" s="1"/>
  <c r="K26" i="2" s="1"/>
  <c r="I22" i="2"/>
  <c r="I20" i="2"/>
  <c r="J20" i="2" s="1"/>
  <c r="K20" i="2" s="1"/>
  <c r="C20" i="2" s="1"/>
  <c r="I17" i="2"/>
  <c r="I14" i="2"/>
  <c r="J14" i="2" s="1"/>
  <c r="K14" i="2" s="1"/>
  <c r="C14" i="2" s="1"/>
  <c r="I13" i="2"/>
  <c r="I12" i="2"/>
  <c r="J12" i="2" s="1"/>
  <c r="K12" i="2" s="1"/>
  <c r="C12" i="2" s="1"/>
  <c r="I8" i="2"/>
  <c r="K8" i="2" s="1"/>
  <c r="C26" i="2" l="1"/>
  <c r="K25" i="2"/>
  <c r="K7" i="2"/>
  <c r="C8" i="2"/>
  <c r="I16" i="2"/>
  <c r="K16" i="2"/>
  <c r="N17" i="2"/>
  <c r="I25" i="2"/>
  <c r="I7" i="2"/>
  <c r="M33" i="2"/>
  <c r="M25" i="2" s="1"/>
  <c r="F25" i="4"/>
  <c r="E33" i="2"/>
  <c r="N26" i="2"/>
  <c r="E22" i="2"/>
  <c r="N16" i="2"/>
  <c r="E24" i="2"/>
  <c r="N7" i="2"/>
  <c r="M15" i="2"/>
  <c r="E15" i="2" s="1"/>
  <c r="F17" i="4"/>
  <c r="G17" i="4" s="1"/>
  <c r="E14" i="4"/>
  <c r="F16" i="4"/>
  <c r="G16" i="4" s="1"/>
  <c r="E21" i="4"/>
  <c r="F21" i="4"/>
  <c r="G10" i="4"/>
  <c r="G15" i="4"/>
  <c r="G22" i="4"/>
  <c r="E17" i="2"/>
  <c r="L34" i="2"/>
  <c r="J33" i="2"/>
  <c r="J24" i="2"/>
  <c r="J15" i="2"/>
  <c r="I34" i="2"/>
  <c r="J16" i="2" l="1"/>
  <c r="C24" i="2"/>
  <c r="C15" i="2"/>
  <c r="J7" i="2"/>
  <c r="C33" i="2"/>
  <c r="J25" i="2"/>
  <c r="M34" i="2"/>
  <c r="E26" i="2"/>
  <c r="N25" i="2"/>
  <c r="E7" i="2"/>
  <c r="M7" i="2"/>
  <c r="F20" i="4"/>
  <c r="B20" i="4" s="1"/>
  <c r="B14" i="4" s="1"/>
  <c r="B25" i="4"/>
  <c r="F14" i="4"/>
  <c r="G11" i="4"/>
  <c r="G21" i="4"/>
  <c r="G14" i="4"/>
  <c r="J34" i="2"/>
  <c r="B21" i="4" l="1"/>
  <c r="C25" i="2" l="1"/>
  <c r="G28" i="2"/>
  <c r="G22" i="2"/>
  <c r="C16" i="2"/>
  <c r="E25" i="2"/>
  <c r="E16" i="2"/>
  <c r="C7" i="2"/>
  <c r="G14" i="2"/>
  <c r="G13" i="2" l="1"/>
  <c r="G12" i="2" l="1"/>
  <c r="G30" i="2"/>
  <c r="G26" i="2"/>
  <c r="G20" i="2"/>
  <c r="G17" i="2"/>
  <c r="G8" i="2"/>
  <c r="G7" i="2" l="1"/>
  <c r="G25" i="2"/>
  <c r="G34" i="2" l="1"/>
  <c r="F7" i="4"/>
  <c r="F13" i="4" s="1"/>
  <c r="B13" i="4" s="1"/>
  <c r="B6" i="4" s="1"/>
  <c r="G6" i="4"/>
  <c r="E6" i="4"/>
  <c r="E26" i="4" s="1"/>
  <c r="G7" i="4"/>
  <c r="F6" i="4" l="1"/>
  <c r="F26" i="4"/>
  <c r="B26" i="4"/>
  <c r="B31" i="4" s="1"/>
</calcChain>
</file>

<file path=xl/sharedStrings.xml><?xml version="1.0" encoding="utf-8"?>
<sst xmlns="http://schemas.openxmlformats.org/spreadsheetml/2006/main" count="132" uniqueCount="105">
  <si>
    <t>EP SiEp</t>
  </si>
  <si>
    <t>Fachbereich</t>
  </si>
  <si>
    <t>Differenz</t>
  </si>
  <si>
    <t>K, Teil AeBo</t>
  </si>
  <si>
    <t>9 Objekte mit BS 3.0 Mio</t>
  </si>
  <si>
    <t>Feststellung</t>
  </si>
  <si>
    <t>[h]</t>
  </si>
  <si>
    <t>1 Überführung, BS 12 Mio</t>
  </si>
  <si>
    <t>T/G, Teil AeBo</t>
  </si>
  <si>
    <t>T/U Teil AeBo</t>
  </si>
  <si>
    <r>
      <t xml:space="preserve">8 Objekte mit BS </t>
    </r>
    <r>
      <rPr>
        <sz val="10"/>
        <rFont val="Arial"/>
        <family val="2"/>
      </rPr>
      <t>2.0 Mio</t>
    </r>
  </si>
  <si>
    <t>Begründung zu Anpassung</t>
  </si>
  <si>
    <t>2 Objekte, BS 9.3 Mio</t>
  </si>
  <si>
    <t>2 Objekte, BS 4 Mio</t>
  </si>
  <si>
    <t>Keine Längsunterteilung</t>
  </si>
  <si>
    <t>2 Längsetappen</t>
  </si>
  <si>
    <t>Instandsetzung plus</t>
  </si>
  <si>
    <t xml:space="preserve">Bemerkung: </t>
  </si>
  <si>
    <t>Zwischentotal</t>
  </si>
  <si>
    <t>TP 1 - Tunnel / Geotechnik</t>
  </si>
  <si>
    <t>TP 2 - Trasse / Umwelt</t>
  </si>
  <si>
    <t>TP 3 - Kunstbauten</t>
  </si>
  <si>
    <t>T/G, Teil PNP-JS</t>
  </si>
  <si>
    <t>Tunnel</t>
  </si>
  <si>
    <t>T/U Teil JS</t>
  </si>
  <si>
    <t>K, Teil JS</t>
  </si>
  <si>
    <t>Stand 04.05.2015</t>
  </si>
  <si>
    <t>Schutzbauten</t>
  </si>
  <si>
    <t>Rutschhänge</t>
  </si>
  <si>
    <t>Stützbauwerke</t>
  </si>
  <si>
    <t>Kostenbetrachtung in etwa vergleichbar.</t>
  </si>
  <si>
    <t>5 Objekte, BS 1.6 Mio</t>
  </si>
  <si>
    <t>5 Objekte, BS 7.8 Mio</t>
  </si>
  <si>
    <t>Wesentlich umfangreichere und komplexere Massnahmen bei allen Objekten.</t>
  </si>
  <si>
    <t>15 Objekte, BS 1 Mio</t>
  </si>
  <si>
    <t>10 Objekte, BS 3 Mio</t>
  </si>
  <si>
    <t>14 Objekte, BS 12.6 Mio</t>
  </si>
  <si>
    <t>6 Objekte, BS 1 Mio</t>
  </si>
  <si>
    <t>9 Objekte, BS 5.9 Mio</t>
  </si>
  <si>
    <t>5 Objekte, BS 0.6 Mio</t>
  </si>
  <si>
    <t>Mehraufwand:</t>
  </si>
  <si>
    <t>Instandsetzung plus Wandverlängerungen</t>
  </si>
  <si>
    <t>Ausgangslage (Honorarofferte)</t>
  </si>
  <si>
    <t>MP Aktuell (Stand 04.05.15)</t>
  </si>
  <si>
    <t>Meldung der TPL</t>
  </si>
  <si>
    <t>xxx</t>
  </si>
  <si>
    <t xml:space="preserve">Erste Kalkulationsabschätzung Phase MP / DP             </t>
  </si>
  <si>
    <t xml:space="preserve">Erste Kalkulationsabschätzung Phasenabschluss MK / AP         </t>
  </si>
  <si>
    <t>Bemerkungen</t>
  </si>
  <si>
    <t>Stunden</t>
  </si>
  <si>
    <t>sep.</t>
  </si>
  <si>
    <t>Anteil Projektleitung jeweils ca. 10%</t>
  </si>
  <si>
    <t>Total</t>
  </si>
  <si>
    <t>Wildtierkorridor wird in dieser Phase sep. betrachtet</t>
  </si>
  <si>
    <t>Leistungsmeldung per 31.03.15</t>
  </si>
  <si>
    <t>Stundendach gem. NO 6</t>
  </si>
  <si>
    <t>Folgende Anmerkungen:</t>
  </si>
  <si>
    <t>Stundenschätzung:</t>
  </si>
  <si>
    <t>- Diese wurde basierend anhand der PFS und der Stellungnahmen gemacht.</t>
  </si>
  <si>
    <t>Terminplanung:</t>
  </si>
  <si>
    <t xml:space="preserve">- Bearbeitung der Dossiers MK und AP </t>
  </si>
  <si>
    <t>- Reservewoche für unvorhergesehenes…</t>
  </si>
  <si>
    <t>- Dauer 1 Wochen ab 19.06.15   ==&gt; bis 26.06.15</t>
  </si>
  <si>
    <t>Gemäss der PFS vom 21.04.15 und 30.04.15 und den eingereichten Rückmeldungen zu den Stellungnahmen, sehen wir folgenden Terminablauf:</t>
  </si>
  <si>
    <t>- Zusammenstellung der Dossiers…</t>
  </si>
  <si>
    <t>- Einreichung MK / AP…</t>
  </si>
  <si>
    <t>- Start der Bearbeitung MP/DP ab 24.08.15</t>
  </si>
  <si>
    <t>-Tunnel</t>
  </si>
  <si>
    <t>-Schutzbauten</t>
  </si>
  <si>
    <t>-Rutschhänge</t>
  </si>
  <si>
    <t>-Stützbauwerke</t>
  </si>
  <si>
    <t>-Lärm</t>
  </si>
  <si>
    <t>-Verkehr/Umwelt</t>
  </si>
  <si>
    <t>-Trasse/Umwelt</t>
  </si>
  <si>
    <t>K, Teil AeBo; WQ</t>
  </si>
  <si>
    <t>T/U AeBo; Lärm</t>
  </si>
  <si>
    <t>T/U Teil AeBo; Umwelt</t>
  </si>
  <si>
    <t>T/U Teil AeBo; Verkehr</t>
  </si>
  <si>
    <t>Abhängig wieviel der BHU-Stellungnahme (Tabelle und Kosten) einfliessen, kann durchaus um ca. 100 Stunden tiefer ausfallen. Zudem sind ca. die Hälfte der Stunden für das Hauptdossier vorgesehen.</t>
  </si>
  <si>
    <t>("-" fehlende Stunden, resp. über Stundendach / "+" Mehr Stunden als Stundendach</t>
  </si>
  <si>
    <t>T/U Teil JS - MK (T/U und HD)</t>
  </si>
  <si>
    <t>T/U Teil JS - AP</t>
  </si>
  <si>
    <t>Betr. Risikoanalyse nur Besprechung mit EP / P. Arnold vorgesehen; keine Konzeptanpassungen.</t>
  </si>
  <si>
    <t>Inkl. Liste "Vorgehen Stützmauern FU F3 ASTRA", exkl. Zusatzuntersuchungen</t>
  </si>
  <si>
    <t>- Für die Ergänzung der Liste "Vorgehen Stützmauern FU F3 ASTRA" (siehe Rückmeldung FU 
  Geotechnik, Pkt. 37) werden ca. 5-7d Aufwand veranschlagt. Es werden keine zusätzlichen neuen  
  Berechnungen gemacht. Auf das Ausfüllen der Liste wurde gem. Entscheid PFS 04/13 verzichtet.
  Entscheid für nachträgliche Umsetzung druch Bauherr.</t>
  </si>
  <si>
    <t>- Es sind keine Sunden für die Zusätzlichen untersuchungen (z.B. erdseitige Bewehrung bei SM) 
  eingerechnet.</t>
  </si>
  <si>
    <t>- Dauer 7 Wochen ab 04.05.15   ==&gt; bis 19.06.15</t>
  </si>
  <si>
    <t>- Dauer 1 Wochen ab 26.06.15   ==&gt; bis 03.07.15</t>
  </si>
  <si>
    <t>- Freitag 03.07.2015</t>
  </si>
  <si>
    <t>- Informationen von Dritten (BSA, BHU, etc.) gehen bis spätestens am 12.06.15 ein.</t>
  </si>
  <si>
    <t>Die Angaben bez. Stützbauwerke fehlen noch, abhängig der Resultate aus der PFS vom 30.04.15</t>
  </si>
  <si>
    <t>Weitergehende Massnahmen Bankett, Löschwasserleitung, Deckbelagsersatz, Wandbeschichtung etc. kein sep. Dossier Löschwasserleitung.</t>
  </si>
  <si>
    <t>---</t>
  </si>
  <si>
    <t>1 Unterführung mit Bach, BS 7 Mio</t>
  </si>
  <si>
    <t>Div. Punkte aus MK werden erst im MP untersucht (Zäune, FZRS, etc.)</t>
  </si>
  <si>
    <t>Deutlich weniger Objekte, darum weniger Aufwand.</t>
  </si>
  <si>
    <t>Mehraufwand durch neue Sackung Zunzgen.</t>
  </si>
  <si>
    <r>
      <t>Noch in Bearbeitung</t>
    </r>
    <r>
      <rPr>
        <sz val="10"/>
        <color theme="1"/>
        <rFont val="Arial"/>
        <family val="2"/>
      </rPr>
      <t xml:space="preserve"> [Berücksichtigt sind dabei auch alle Zusatzuntersuchungen (erdseitige Bewehrung, etc.)].</t>
    </r>
  </si>
  <si>
    <t>Zusätzliche Etappen.</t>
  </si>
  <si>
    <t>Komplexität gleichwertig / Anpassung über Anz. Objekte (ca. 30%).</t>
  </si>
  <si>
    <t>Statisch einfacher, Etappierung aufwendiger, zusätzl. Dossier  DP T-U, "zusätzlicher Bauherr" über alles Reduktion ca. 25%</t>
  </si>
  <si>
    <t>Viele Elemente werden bereits aus der Phase 51 im MP erstellt um dabei eine Stabilität in der Submission zu erlangen. Umlagerung ist sep. zu betrachten, beträgt jedoch ca. 500 Stunden. Zusätzlich beinhaltet das T/U auch die Sammlung der Unterlagen.</t>
  </si>
  <si>
    <t>Die Resultate müssen in einem Gesamtkontext mit der Phase 51 betrachtet werden. Aus Sicht INGE werden viele Themen jetzt abschliessend behandelt und nicht erst mit einer weiteren Detaillierung in der Phase 51. Dies auch um eine grössere Stabilität in der Submission zu erlangen.</t>
  </si>
  <si>
    <t>Erheblich höhere Anforderungen bezgl. Dokumentation. Aufwandschätzung basiert auf: Anteil MP T-U / 1 Doss. K-light für Wandersatz / 1 Dossier SSF (nicht gem. FHB).</t>
  </si>
  <si>
    <t>Randbedingung: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</si>
</sst>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8" x14ac:knownFonts="1">
    <font>
      <sz val="10"/>
      <color theme="1"/>
      <name val="Arial"/>
      <family val="2"/>
    </font>
    <font>
      <sz val="10"/>
      <color theme="1"/>
      <name val="Arial"/>
      <family val="2"/>
    </font>
    <font>
      <b/>
      <sz val="12"/>
      <color theme="1"/>
      <name val="Arial"/>
      <family val="2"/>
    </font>
    <font>
      <sz val="8"/>
      <color theme="1"/>
      <name val="Arial"/>
      <family val="2"/>
    </font>
    <font>
      <sz val="10"/>
      <name val="Arial"/>
      <family val="2"/>
    </font>
    <font>
      <b/>
      <sz val="10"/>
      <color theme="0"/>
      <name val="Arial"/>
      <family val="2"/>
    </font>
    <font>
      <sz val="10"/>
      <color rgb="FFFF0000"/>
      <name val="Arial"/>
      <family val="2"/>
    </font>
    <font>
      <b/>
      <sz val="10"/>
      <color theme="1"/>
      <name val="Arial"/>
      <family val="2"/>
    </font>
    <font>
      <sz val="10"/>
      <color theme="4"/>
      <name val="Arial"/>
      <family val="2"/>
    </font>
    <font>
      <b/>
      <sz val="10"/>
      <color theme="4"/>
      <name val="Arial"/>
      <family val="2"/>
    </font>
    <font>
      <b/>
      <sz val="14"/>
      <color rgb="FFFF0000"/>
      <name val="Arial"/>
      <family val="2"/>
    </font>
    <font>
      <b/>
      <sz val="11"/>
      <color theme="0"/>
      <name val="Arial"/>
      <family val="2"/>
    </font>
    <font>
      <sz val="11"/>
      <color theme="1"/>
      <name val="Arial"/>
      <family val="2"/>
    </font>
    <font>
      <sz val="11"/>
      <color theme="4"/>
      <name val="Arial"/>
      <family val="2"/>
    </font>
    <font>
      <b/>
      <sz val="8"/>
      <color theme="0"/>
      <name val="Arial"/>
      <family val="2"/>
    </font>
    <font>
      <i/>
      <sz val="10"/>
      <color theme="1"/>
      <name val="Arial"/>
      <family val="2"/>
    </font>
    <font>
      <sz val="10"/>
      <color theme="3" tint="0.39997558519241921"/>
      <name val="Arial"/>
      <family val="2"/>
    </font>
    <font>
      <b/>
      <sz val="10"/>
      <color theme="3" tint="0.39997558519241921"/>
      <name val="Arial"/>
      <family val="2"/>
    </font>
  </fonts>
  <fills count="6">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style="hair">
        <color indexed="64"/>
      </top>
      <bottom/>
      <diagonal/>
    </border>
    <border>
      <left/>
      <right style="thin">
        <color indexed="64"/>
      </right>
      <top style="thin">
        <color indexed="64"/>
      </top>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43" fontId="1" fillId="0" borderId="0" applyFont="0" applyFill="0" applyBorder="0" applyAlignment="0" applyProtection="0"/>
  </cellStyleXfs>
  <cellXfs count="165">
    <xf numFmtId="0" fontId="0" fillId="0" borderId="0" xfId="0"/>
    <xf numFmtId="0" fontId="2" fillId="0" borderId="0" xfId="0" applyFont="1"/>
    <xf numFmtId="0" fontId="0" fillId="0" borderId="0" xfId="0" applyBorder="1"/>
    <xf numFmtId="0" fontId="0" fillId="0" borderId="0" xfId="0" applyAlignment="1">
      <alignment horizontal="right"/>
    </xf>
    <xf numFmtId="0" fontId="0" fillId="0" borderId="1" xfId="0" applyBorder="1" applyAlignment="1">
      <alignment vertical="center"/>
    </xf>
    <xf numFmtId="0" fontId="3" fillId="0" borderId="1" xfId="0" applyFont="1" applyBorder="1" applyAlignment="1">
      <alignment vertical="center"/>
    </xf>
    <xf numFmtId="0" fontId="0" fillId="0" borderId="1" xfId="0" applyBorder="1" applyAlignment="1">
      <alignment horizontal="center" vertical="center"/>
    </xf>
    <xf numFmtId="0" fontId="0" fillId="0" borderId="6" xfId="0" applyBorder="1" applyAlignment="1">
      <alignment vertical="center"/>
    </xf>
    <xf numFmtId="0" fontId="5" fillId="2" borderId="3" xfId="0" applyFont="1" applyFill="1" applyBorder="1" applyAlignment="1">
      <alignment vertical="center"/>
    </xf>
    <xf numFmtId="0" fontId="5" fillId="2" borderId="0" xfId="0" applyFont="1" applyFill="1" applyBorder="1" applyAlignment="1">
      <alignment vertical="center"/>
    </xf>
    <xf numFmtId="164" fontId="5" fillId="2" borderId="3" xfId="1" applyNumberFormat="1" applyFont="1" applyFill="1" applyBorder="1" applyAlignment="1">
      <alignment horizontal="center" vertical="center"/>
    </xf>
    <xf numFmtId="0" fontId="0" fillId="0" borderId="3" xfId="0" applyBorder="1" applyAlignment="1">
      <alignment vertical="center"/>
    </xf>
    <xf numFmtId="0" fontId="0" fillId="0" borderId="0" xfId="0" applyBorder="1" applyAlignment="1">
      <alignment vertical="center"/>
    </xf>
    <xf numFmtId="164" fontId="0" fillId="0" borderId="3" xfId="1" applyNumberFormat="1" applyFont="1" applyBorder="1" applyAlignment="1">
      <alignment horizontal="center" vertical="center"/>
    </xf>
    <xf numFmtId="0" fontId="0" fillId="0" borderId="0" xfId="0" applyFill="1" applyBorder="1" applyAlignment="1">
      <alignment vertical="center"/>
    </xf>
    <xf numFmtId="164" fontId="0" fillId="0" borderId="3" xfId="1" quotePrefix="1" applyNumberFormat="1" applyFont="1" applyFill="1" applyBorder="1" applyAlignment="1">
      <alignment horizontal="center" vertical="center"/>
    </xf>
    <xf numFmtId="164" fontId="0" fillId="0" borderId="8" xfId="1" applyNumberFormat="1" applyFont="1" applyBorder="1" applyAlignment="1">
      <alignment horizontal="center" vertical="center"/>
    </xf>
    <xf numFmtId="164" fontId="6" fillId="0" borderId="3" xfId="1" applyNumberFormat="1" applyFont="1" applyBorder="1" applyAlignment="1">
      <alignment horizontal="center" vertical="center"/>
    </xf>
    <xf numFmtId="0" fontId="0" fillId="0" borderId="2" xfId="0" applyBorder="1" applyAlignment="1">
      <alignment vertical="center"/>
    </xf>
    <xf numFmtId="0" fontId="0" fillId="0" borderId="5" xfId="0" applyBorder="1" applyAlignment="1">
      <alignment vertical="center"/>
    </xf>
    <xf numFmtId="164" fontId="0" fillId="0" borderId="2" xfId="1" applyNumberFormat="1" applyFont="1" applyBorder="1" applyAlignment="1">
      <alignment horizontal="center" vertical="center"/>
    </xf>
    <xf numFmtId="0" fontId="0" fillId="0" borderId="9" xfId="0" applyBorder="1" applyAlignment="1">
      <alignment vertical="center"/>
    </xf>
    <xf numFmtId="164" fontId="0" fillId="0" borderId="4" xfId="1" applyNumberFormat="1" applyFont="1" applyBorder="1" applyAlignment="1">
      <alignment horizontal="center" vertical="center"/>
    </xf>
    <xf numFmtId="0" fontId="5" fillId="2" borderId="0" xfId="0" applyFont="1" applyFill="1" applyBorder="1" applyAlignment="1">
      <alignment horizontal="right" vertical="center"/>
    </xf>
    <xf numFmtId="0" fontId="0" fillId="0" borderId="3" xfId="0" applyFont="1" applyBorder="1" applyAlignment="1">
      <alignment vertical="center"/>
    </xf>
    <xf numFmtId="0" fontId="0" fillId="0" borderId="8" xfId="0" applyFont="1" applyBorder="1" applyAlignment="1">
      <alignment vertical="center"/>
    </xf>
    <xf numFmtId="0" fontId="8" fillId="0" borderId="1" xfId="0" applyFont="1" applyBorder="1" applyAlignment="1">
      <alignment horizontal="center" vertical="center"/>
    </xf>
    <xf numFmtId="0" fontId="8" fillId="0" borderId="0" xfId="0" applyFont="1"/>
    <xf numFmtId="164" fontId="9" fillId="2" borderId="3" xfId="1" applyNumberFormat="1" applyFont="1" applyFill="1" applyBorder="1" applyAlignment="1">
      <alignment horizontal="center" vertical="center"/>
    </xf>
    <xf numFmtId="164" fontId="8" fillId="0" borderId="0" xfId="0" applyNumberFormat="1" applyFont="1"/>
    <xf numFmtId="0" fontId="0" fillId="4" borderId="1" xfId="0" applyFill="1" applyBorder="1" applyAlignment="1">
      <alignment vertical="center"/>
    </xf>
    <xf numFmtId="0" fontId="0" fillId="4" borderId="1" xfId="0" applyFill="1" applyBorder="1" applyAlignment="1">
      <alignment horizontal="center" vertical="center"/>
    </xf>
    <xf numFmtId="0" fontId="0" fillId="4" borderId="6" xfId="0" applyFill="1" applyBorder="1" applyAlignment="1">
      <alignment vertical="center"/>
    </xf>
    <xf numFmtId="164" fontId="0" fillId="4" borderId="3" xfId="1" applyNumberFormat="1" applyFont="1" applyFill="1" applyBorder="1" applyAlignment="1">
      <alignment horizontal="center" vertical="center"/>
    </xf>
    <xf numFmtId="164" fontId="0" fillId="4" borderId="8" xfId="1" applyNumberFormat="1" applyFont="1" applyFill="1" applyBorder="1" applyAlignment="1">
      <alignment horizontal="center" vertical="center"/>
    </xf>
    <xf numFmtId="0" fontId="0" fillId="4" borderId="0" xfId="0" applyFill="1" applyBorder="1" applyAlignment="1">
      <alignment vertical="center"/>
    </xf>
    <xf numFmtId="164" fontId="6" fillId="4" borderId="3" xfId="1" applyNumberFormat="1" applyFont="1" applyFill="1" applyBorder="1" applyAlignment="1">
      <alignment horizontal="center" vertical="center"/>
    </xf>
    <xf numFmtId="0" fontId="0" fillId="4" borderId="0" xfId="0" applyFill="1"/>
    <xf numFmtId="0" fontId="0" fillId="4" borderId="5" xfId="0" applyFill="1" applyBorder="1" applyAlignment="1">
      <alignment vertical="center"/>
    </xf>
    <xf numFmtId="164" fontId="0" fillId="4" borderId="2" xfId="1" applyNumberFormat="1" applyFont="1" applyFill="1" applyBorder="1" applyAlignment="1">
      <alignment horizontal="center" vertical="center"/>
    </xf>
    <xf numFmtId="164" fontId="0" fillId="4" borderId="9" xfId="1" applyNumberFormat="1" applyFont="1" applyFill="1" applyBorder="1" applyAlignment="1">
      <alignment horizontal="center" vertical="center"/>
    </xf>
    <xf numFmtId="164" fontId="1" fillId="4" borderId="3" xfId="1" applyNumberFormat="1" applyFont="1" applyFill="1" applyBorder="1" applyAlignment="1">
      <alignment horizontal="center" vertical="center"/>
    </xf>
    <xf numFmtId="164" fontId="0" fillId="4" borderId="4" xfId="1" applyNumberFormat="1" applyFont="1" applyFill="1" applyBorder="1" applyAlignment="1">
      <alignment horizontal="center" vertical="center"/>
    </xf>
    <xf numFmtId="164" fontId="6" fillId="0" borderId="3" xfId="1" applyNumberFormat="1" applyFont="1" applyFill="1" applyBorder="1" applyAlignment="1">
      <alignment horizontal="center" vertical="center"/>
    </xf>
    <xf numFmtId="164" fontId="6" fillId="0" borderId="8" xfId="1" applyNumberFormat="1" applyFont="1" applyBorder="1" applyAlignment="1">
      <alignment horizontal="center" vertical="center"/>
    </xf>
    <xf numFmtId="164" fontId="6" fillId="0" borderId="2" xfId="1" applyNumberFormat="1" applyFont="1" applyBorder="1" applyAlignment="1">
      <alignment horizontal="center" vertical="center"/>
    </xf>
    <xf numFmtId="164" fontId="6" fillId="0" borderId="9" xfId="1" applyNumberFormat="1" applyFont="1" applyBorder="1" applyAlignment="1">
      <alignment horizontal="center" vertical="center"/>
    </xf>
    <xf numFmtId="164" fontId="6" fillId="0" borderId="4" xfId="1" applyNumberFormat="1" applyFont="1" applyBorder="1" applyAlignment="1">
      <alignment horizontal="center" vertical="center"/>
    </xf>
    <xf numFmtId="164" fontId="6" fillId="0" borderId="8" xfId="1" applyNumberFormat="1" applyFont="1" applyFill="1" applyBorder="1" applyAlignment="1">
      <alignment horizontal="center" vertical="center"/>
    </xf>
    <xf numFmtId="164" fontId="6" fillId="0" borderId="4" xfId="1" applyNumberFormat="1" applyFont="1" applyFill="1" applyBorder="1" applyAlignment="1">
      <alignment horizontal="center" vertical="center"/>
    </xf>
    <xf numFmtId="0" fontId="6" fillId="0" borderId="12" xfId="0" quotePrefix="1" applyFont="1" applyBorder="1" applyAlignment="1">
      <alignment horizontal="right" vertical="center"/>
    </xf>
    <xf numFmtId="0" fontId="0" fillId="3" borderId="12" xfId="0" quotePrefix="1" applyFill="1" applyBorder="1"/>
    <xf numFmtId="0" fontId="7" fillId="0" borderId="0" xfId="0" quotePrefix="1" applyFont="1"/>
    <xf numFmtId="0" fontId="10" fillId="0" borderId="0" xfId="0" applyFont="1"/>
    <xf numFmtId="0" fontId="0" fillId="0" borderId="3" xfId="0" applyFill="1" applyBorder="1" applyAlignment="1">
      <alignment vertical="center" wrapText="1"/>
    </xf>
    <xf numFmtId="0" fontId="0" fillId="0" borderId="9" xfId="0" applyFont="1" applyBorder="1" applyAlignment="1">
      <alignment vertical="center"/>
    </xf>
    <xf numFmtId="0" fontId="0" fillId="0" borderId="13" xfId="0" applyBorder="1" applyAlignment="1">
      <alignment vertical="center"/>
    </xf>
    <xf numFmtId="164" fontId="4" fillId="0" borderId="3" xfId="1" applyNumberFormat="1" applyFont="1" applyFill="1" applyBorder="1" applyAlignment="1">
      <alignment horizontal="center" vertical="center"/>
    </xf>
    <xf numFmtId="164" fontId="4" fillId="0" borderId="3" xfId="1" applyNumberFormat="1" applyFont="1" applyBorder="1" applyAlignment="1">
      <alignment horizontal="center" vertical="center"/>
    </xf>
    <xf numFmtId="164" fontId="4" fillId="0" borderId="9" xfId="1" applyNumberFormat="1" applyFont="1" applyFill="1" applyBorder="1" applyAlignment="1">
      <alignment horizontal="center" vertical="center"/>
    </xf>
    <xf numFmtId="164" fontId="4" fillId="0" borderId="2" xfId="1" applyNumberFormat="1" applyFont="1" applyBorder="1" applyAlignment="1">
      <alignment horizontal="center" vertical="center"/>
    </xf>
    <xf numFmtId="164" fontId="4" fillId="0" borderId="14" xfId="1" applyNumberFormat="1" applyFont="1" applyBorder="1" applyAlignment="1">
      <alignment horizontal="center" vertical="center"/>
    </xf>
    <xf numFmtId="164" fontId="4" fillId="0" borderId="13" xfId="1" applyNumberFormat="1" applyFont="1" applyFill="1" applyBorder="1" applyAlignment="1">
      <alignment horizontal="center" vertical="center"/>
    </xf>
    <xf numFmtId="164" fontId="4" fillId="0" borderId="14" xfId="1" applyNumberFormat="1" applyFont="1" applyFill="1" applyBorder="1" applyAlignment="1">
      <alignment horizontal="center" vertical="center"/>
    </xf>
    <xf numFmtId="164" fontId="5" fillId="0" borderId="3" xfId="1" applyNumberFormat="1" applyFont="1" applyFill="1" applyBorder="1" applyAlignment="1">
      <alignment horizontal="center" vertical="center"/>
    </xf>
    <xf numFmtId="0" fontId="0" fillId="0" borderId="0" xfId="0" applyFill="1"/>
    <xf numFmtId="164" fontId="11" fillId="2" borderId="3" xfId="1" applyNumberFormat="1" applyFont="1" applyFill="1" applyBorder="1" applyAlignment="1">
      <alignment horizontal="center" vertical="center"/>
    </xf>
    <xf numFmtId="0" fontId="12" fillId="0" borderId="0" xfId="0" applyFont="1"/>
    <xf numFmtId="164" fontId="13" fillId="0" borderId="0" xfId="0" applyNumberFormat="1" applyFont="1"/>
    <xf numFmtId="0" fontId="0" fillId="0" borderId="0" xfId="0" applyAlignment="1">
      <alignment wrapText="1"/>
    </xf>
    <xf numFmtId="0" fontId="10" fillId="0" borderId="0" xfId="0" applyFont="1" applyAlignment="1">
      <alignment vertical="top"/>
    </xf>
    <xf numFmtId="0" fontId="7" fillId="0" borderId="0" xfId="0" quotePrefix="1" applyFont="1" applyAlignment="1">
      <alignment wrapText="1"/>
    </xf>
    <xf numFmtId="0" fontId="0" fillId="0" borderId="11" xfId="0" applyBorder="1" applyAlignment="1">
      <alignment vertical="center"/>
    </xf>
    <xf numFmtId="0" fontId="5" fillId="2" borderId="15" xfId="0" applyFont="1" applyFill="1" applyBorder="1" applyAlignment="1">
      <alignment vertical="center"/>
    </xf>
    <xf numFmtId="0" fontId="0" fillId="0" borderId="15" xfId="0" applyFill="1" applyBorder="1" applyAlignment="1">
      <alignment vertical="center"/>
    </xf>
    <xf numFmtId="0" fontId="0" fillId="0" borderId="16" xfId="0" applyFill="1" applyBorder="1" applyAlignment="1">
      <alignment vertical="center"/>
    </xf>
    <xf numFmtId="0" fontId="0" fillId="0" borderId="17" xfId="0" applyFill="1" applyBorder="1" applyAlignment="1">
      <alignment vertical="center"/>
    </xf>
    <xf numFmtId="0" fontId="0" fillId="0" borderId="18" xfId="0" applyFill="1" applyBorder="1" applyAlignment="1">
      <alignment vertical="center"/>
    </xf>
    <xf numFmtId="0" fontId="0" fillId="0" borderId="19" xfId="0" applyFill="1" applyBorder="1" applyAlignment="1">
      <alignment vertical="center"/>
    </xf>
    <xf numFmtId="0" fontId="5" fillId="2" borderId="15" xfId="0" applyFont="1" applyFill="1" applyBorder="1" applyAlignment="1">
      <alignment horizontal="right" vertical="center"/>
    </xf>
    <xf numFmtId="0" fontId="0" fillId="0" borderId="10" xfId="0" applyBorder="1"/>
    <xf numFmtId="0" fontId="0" fillId="0" borderId="15" xfId="0" applyBorder="1"/>
    <xf numFmtId="0" fontId="5" fillId="0" borderId="15" xfId="0" applyFont="1" applyFill="1" applyBorder="1" applyAlignment="1">
      <alignment horizontal="right" vertical="center"/>
    </xf>
    <xf numFmtId="0" fontId="11" fillId="2" borderId="4" xfId="0" applyFont="1" applyFill="1" applyBorder="1" applyAlignment="1">
      <alignment vertical="center"/>
    </xf>
    <xf numFmtId="164" fontId="11" fillId="2" borderId="4" xfId="1" applyNumberFormat="1" applyFont="1" applyFill="1" applyBorder="1" applyAlignment="1">
      <alignment horizontal="center" vertical="center"/>
    </xf>
    <xf numFmtId="0" fontId="14" fillId="2" borderId="20" xfId="0" quotePrefix="1" applyFont="1" applyFill="1" applyBorder="1" applyAlignment="1">
      <alignment horizontal="right" vertical="center"/>
    </xf>
    <xf numFmtId="0" fontId="5" fillId="0" borderId="10" xfId="0" applyFont="1" applyFill="1" applyBorder="1" applyAlignment="1">
      <alignment vertical="center"/>
    </xf>
    <xf numFmtId="164" fontId="5" fillId="0" borderId="0" xfId="1" applyNumberFormat="1" applyFont="1" applyFill="1" applyBorder="1" applyAlignment="1">
      <alignment horizontal="center" vertical="center"/>
    </xf>
    <xf numFmtId="0" fontId="0" fillId="0" borderId="3" xfId="0" quotePrefix="1" applyFont="1" applyBorder="1" applyAlignment="1">
      <alignment vertical="center"/>
    </xf>
    <xf numFmtId="0" fontId="0" fillId="0" borderId="8" xfId="0" quotePrefix="1" applyBorder="1" applyAlignment="1">
      <alignment vertical="center"/>
    </xf>
    <xf numFmtId="0" fontId="0" fillId="0" borderId="4" xfId="0" quotePrefix="1" applyBorder="1" applyAlignment="1">
      <alignment vertical="center"/>
    </xf>
    <xf numFmtId="0" fontId="0" fillId="0" borderId="21" xfId="0" applyBorder="1" applyAlignment="1">
      <alignment vertical="center"/>
    </xf>
    <xf numFmtId="164" fontId="4" fillId="0" borderId="21" xfId="1" applyNumberFormat="1" applyFont="1" applyBorder="1" applyAlignment="1">
      <alignment horizontal="center" vertical="center"/>
    </xf>
    <xf numFmtId="0" fontId="0" fillId="0" borderId="22" xfId="0" applyBorder="1" applyAlignment="1">
      <alignment vertical="center"/>
    </xf>
    <xf numFmtId="164" fontId="4" fillId="0" borderId="13" xfId="1" applyNumberFormat="1" applyFont="1" applyBorder="1" applyAlignment="1">
      <alignment horizontal="center" vertical="center"/>
    </xf>
    <xf numFmtId="0" fontId="0" fillId="0" borderId="13" xfId="0" applyFill="1" applyBorder="1" applyAlignment="1">
      <alignment vertical="center"/>
    </xf>
    <xf numFmtId="0" fontId="0" fillId="0" borderId="14" xfId="0" applyBorder="1" applyAlignment="1">
      <alignment vertical="center"/>
    </xf>
    <xf numFmtId="0" fontId="0" fillId="0" borderId="8" xfId="0" applyFont="1" applyFill="1" applyBorder="1" applyAlignment="1">
      <alignment vertical="center"/>
    </xf>
    <xf numFmtId="0" fontId="0" fillId="0" borderId="3" xfId="0" applyFont="1" applyFill="1" applyBorder="1" applyAlignment="1">
      <alignment vertical="center"/>
    </xf>
    <xf numFmtId="164" fontId="6" fillId="5" borderId="3" xfId="1" applyNumberFormat="1" applyFont="1" applyFill="1" applyBorder="1" applyAlignment="1">
      <alignment horizontal="center" vertical="center"/>
    </xf>
    <xf numFmtId="164" fontId="4" fillId="0" borderId="8" xfId="1" applyNumberFormat="1" applyFont="1" applyFill="1" applyBorder="1" applyAlignment="1">
      <alignment horizontal="center" vertical="center"/>
    </xf>
    <xf numFmtId="0" fontId="0" fillId="0" borderId="0" xfId="0" quotePrefix="1" applyAlignment="1">
      <alignment wrapText="1"/>
    </xf>
    <xf numFmtId="0" fontId="0" fillId="3" borderId="3" xfId="0" quotePrefix="1" applyFont="1" applyFill="1" applyBorder="1" applyAlignment="1">
      <alignment vertical="center"/>
    </xf>
    <xf numFmtId="0" fontId="15" fillId="3" borderId="0" xfId="0" applyFont="1" applyFill="1" applyBorder="1" applyAlignment="1">
      <alignment vertical="center" wrapText="1"/>
    </xf>
    <xf numFmtId="164" fontId="6" fillId="3" borderId="3" xfId="1" applyNumberFormat="1" applyFont="1" applyFill="1" applyBorder="1" applyAlignment="1">
      <alignment horizontal="center" vertical="center"/>
    </xf>
    <xf numFmtId="164" fontId="0" fillId="3" borderId="3" xfId="1" applyNumberFormat="1" applyFont="1" applyFill="1" applyBorder="1" applyAlignment="1">
      <alignment horizontal="center" vertical="center"/>
    </xf>
    <xf numFmtId="164" fontId="16" fillId="0" borderId="3" xfId="1" applyNumberFormat="1" applyFont="1" applyBorder="1" applyAlignment="1">
      <alignment horizontal="center" vertical="center"/>
    </xf>
    <xf numFmtId="164" fontId="16" fillId="0" borderId="8" xfId="1" applyNumberFormat="1" applyFont="1" applyBorder="1" applyAlignment="1">
      <alignment horizontal="center" vertical="center"/>
    </xf>
    <xf numFmtId="164" fontId="16" fillId="0" borderId="2" xfId="1" applyNumberFormat="1" applyFont="1" applyBorder="1" applyAlignment="1">
      <alignment horizontal="center" vertical="center"/>
    </xf>
    <xf numFmtId="164" fontId="17" fillId="2" borderId="3" xfId="1" applyNumberFormat="1" applyFont="1" applyFill="1" applyBorder="1" applyAlignment="1">
      <alignment horizontal="center" vertical="center"/>
    </xf>
    <xf numFmtId="164" fontId="16" fillId="0" borderId="9" xfId="1" applyNumberFormat="1" applyFont="1" applyFill="1" applyBorder="1" applyAlignment="1">
      <alignment horizontal="center" vertical="center"/>
    </xf>
    <xf numFmtId="164" fontId="16" fillId="0" borderId="3" xfId="1" applyNumberFormat="1" applyFont="1" applyFill="1" applyBorder="1" applyAlignment="1">
      <alignment horizontal="center" vertical="center"/>
    </xf>
    <xf numFmtId="164" fontId="16" fillId="0" borderId="4" xfId="1" applyNumberFormat="1" applyFont="1" applyBorder="1" applyAlignment="1">
      <alignment horizontal="center" vertical="center"/>
    </xf>
    <xf numFmtId="164" fontId="16" fillId="0" borderId="8" xfId="1" applyNumberFormat="1" applyFont="1" applyFill="1" applyBorder="1" applyAlignment="1">
      <alignment horizontal="center" vertical="center"/>
    </xf>
    <xf numFmtId="164" fontId="16" fillId="0" borderId="4" xfId="1" applyNumberFormat="1" applyFont="1" applyFill="1" applyBorder="1" applyAlignment="1">
      <alignment horizontal="center" vertical="center"/>
    </xf>
    <xf numFmtId="0" fontId="0" fillId="0" borderId="5" xfId="0" quotePrefix="1" applyFill="1" applyBorder="1" applyAlignment="1">
      <alignment vertical="center"/>
    </xf>
    <xf numFmtId="0" fontId="0" fillId="4" borderId="0" xfId="0" applyFill="1" applyAlignment="1">
      <alignment vertical="center"/>
    </xf>
    <xf numFmtId="0" fontId="0" fillId="0" borderId="0" xfId="0" applyAlignment="1">
      <alignment vertical="center"/>
    </xf>
    <xf numFmtId="0" fontId="0" fillId="0" borderId="0" xfId="0" quotePrefix="1" applyAlignment="1">
      <alignment wrapText="1"/>
    </xf>
    <xf numFmtId="0" fontId="0" fillId="0" borderId="13" xfId="0" applyFill="1" applyBorder="1" applyAlignment="1">
      <alignment vertical="center" wrapText="1"/>
    </xf>
    <xf numFmtId="0" fontId="0" fillId="0" borderId="14" xfId="0" applyFill="1" applyBorder="1" applyAlignment="1">
      <alignment vertical="center" wrapText="1"/>
    </xf>
    <xf numFmtId="0" fontId="0" fillId="0" borderId="0" xfId="0" quotePrefix="1" applyFill="1" applyAlignment="1">
      <alignment wrapText="1"/>
    </xf>
    <xf numFmtId="0" fontId="0" fillId="0" borderId="0" xfId="0" applyAlignment="1">
      <alignment wrapText="1"/>
    </xf>
    <xf numFmtId="0" fontId="0" fillId="0" borderId="7" xfId="0"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0" xfId="0" quotePrefix="1" applyFill="1" applyAlignment="1">
      <alignment horizontal="left" vertical="top" wrapText="1"/>
    </xf>
    <xf numFmtId="0" fontId="0" fillId="0" borderId="3" xfId="0" applyFill="1" applyBorder="1" applyAlignment="1">
      <alignment horizontal="left" vertical="top" wrapText="1"/>
    </xf>
    <xf numFmtId="0" fontId="0" fillId="0" borderId="8" xfId="0" applyFill="1" applyBorder="1" applyAlignment="1">
      <alignment horizontal="left" vertical="top" wrapText="1"/>
    </xf>
    <xf numFmtId="0" fontId="0" fillId="0" borderId="12" xfId="0" applyBorder="1" applyAlignment="1">
      <alignment wrapText="1"/>
    </xf>
    <xf numFmtId="0" fontId="0" fillId="0" borderId="12" xfId="0" quotePrefix="1" applyBorder="1" applyAlignment="1">
      <alignment wrapText="1"/>
    </xf>
    <xf numFmtId="0" fontId="0" fillId="0" borderId="3"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4" xfId="0" applyBorder="1" applyAlignment="1">
      <alignment vertical="center"/>
    </xf>
    <xf numFmtId="0" fontId="0" fillId="0" borderId="3" xfId="0" quotePrefix="1" applyBorder="1" applyAlignment="1">
      <alignment vertical="center"/>
    </xf>
    <xf numFmtId="0" fontId="0" fillId="0" borderId="8" xfId="0" quotePrefix="1" applyBorder="1" applyAlignment="1">
      <alignment vertical="center"/>
    </xf>
    <xf numFmtId="0" fontId="0" fillId="0" borderId="3" xfId="0" applyFill="1" applyBorder="1" applyAlignment="1">
      <alignment vertical="center" wrapText="1"/>
    </xf>
    <xf numFmtId="0" fontId="0" fillId="0" borderId="8" xfId="0" applyFill="1" applyBorder="1" applyAlignment="1">
      <alignment vertical="center" wrapText="1"/>
    </xf>
    <xf numFmtId="0" fontId="0" fillId="4" borderId="7" xfId="0" applyFill="1" applyBorder="1" applyAlignment="1">
      <alignment horizontal="center" vertical="center"/>
    </xf>
    <xf numFmtId="0" fontId="0" fillId="4" borderId="6" xfId="0" applyFill="1" applyBorder="1" applyAlignment="1">
      <alignment horizontal="center" vertical="center"/>
    </xf>
    <xf numFmtId="0" fontId="0" fillId="4" borderId="3"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4" xfId="0" applyFill="1" applyBorder="1" applyAlignment="1">
      <alignment vertical="center"/>
    </xf>
    <xf numFmtId="0" fontId="0" fillId="0" borderId="2" xfId="0" applyBorder="1" applyAlignment="1">
      <alignment vertical="center"/>
    </xf>
    <xf numFmtId="0" fontId="0" fillId="0" borderId="9" xfId="0" applyFill="1" applyBorder="1" applyAlignment="1">
      <alignment vertical="center"/>
    </xf>
    <xf numFmtId="0" fontId="0" fillId="0" borderId="8" xfId="0" applyFill="1" applyBorder="1" applyAlignment="1">
      <alignment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4" borderId="9" xfId="0" applyFill="1" applyBorder="1" applyAlignment="1">
      <alignment vertical="center" wrapText="1"/>
    </xf>
    <xf numFmtId="0" fontId="0" fillId="4" borderId="4" xfId="0" applyFill="1" applyBorder="1" applyAlignment="1">
      <alignment vertical="center" wrapText="1"/>
    </xf>
    <xf numFmtId="0" fontId="0" fillId="0" borderId="9" xfId="0" applyFill="1" applyBorder="1" applyAlignment="1">
      <alignment vertical="center" wrapText="1"/>
    </xf>
    <xf numFmtId="0" fontId="0" fillId="0" borderId="4" xfId="0" applyFill="1" applyBorder="1" applyAlignment="1">
      <alignment vertical="center" wrapText="1"/>
    </xf>
    <xf numFmtId="0" fontId="0" fillId="4" borderId="2" xfId="0" applyFill="1" applyBorder="1" applyAlignment="1">
      <alignment vertical="center" wrapText="1"/>
    </xf>
    <xf numFmtId="0" fontId="0" fillId="4" borderId="3" xfId="0" applyFill="1" applyBorder="1" applyAlignment="1">
      <alignment vertical="center" wrapText="1"/>
    </xf>
    <xf numFmtId="0" fontId="0" fillId="4" borderId="8" xfId="0" applyFill="1" applyBorder="1" applyAlignment="1">
      <alignment vertical="center" wrapText="1"/>
    </xf>
    <xf numFmtId="0" fontId="0" fillId="0" borderId="3" xfId="0" applyFill="1"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8" xfId="0" applyBorder="1" applyAlignment="1">
      <alignment vertical="center" wrapText="1"/>
    </xf>
    <xf numFmtId="0" fontId="0" fillId="0" borderId="0" xfId="0" applyAlignment="1">
      <alignment horizontal="right"/>
    </xf>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showGridLines="0" tabSelected="1" zoomScaleNormal="100" workbookViewId="0">
      <selection activeCell="E37" sqref="E37"/>
    </sheetView>
  </sheetViews>
  <sheetFormatPr baseColWidth="10" defaultRowHeight="12.75" x14ac:dyDescent="0.2"/>
  <cols>
    <col min="1" max="1" width="31.140625" customWidth="1"/>
    <col min="2" max="2" width="7.85546875" bestFit="1" customWidth="1"/>
    <col min="3" max="3" width="77.42578125" customWidth="1"/>
    <col min="6" max="6" width="8.7109375" bestFit="1" customWidth="1"/>
    <col min="7" max="7" width="6.5703125" bestFit="1" customWidth="1"/>
  </cols>
  <sheetData>
    <row r="1" spans="1:7" ht="15.75" x14ac:dyDescent="0.25">
      <c r="A1" s="1" t="s">
        <v>0</v>
      </c>
      <c r="C1" s="3" t="s">
        <v>26</v>
      </c>
    </row>
    <row r="2" spans="1:7" ht="18" x14ac:dyDescent="0.25">
      <c r="A2" s="53" t="s">
        <v>47</v>
      </c>
      <c r="C2" s="3"/>
      <c r="E2" s="123" t="s">
        <v>44</v>
      </c>
      <c r="F2" s="124"/>
      <c r="G2" s="125"/>
    </row>
    <row r="3" spans="1:7" ht="7.5" customHeight="1" x14ac:dyDescent="0.2">
      <c r="E3" s="126"/>
      <c r="F3" s="127"/>
      <c r="G3" s="128"/>
    </row>
    <row r="4" spans="1:7" x14ac:dyDescent="0.2">
      <c r="A4" s="4" t="s">
        <v>1</v>
      </c>
      <c r="B4" s="6" t="s">
        <v>49</v>
      </c>
      <c r="C4" s="4" t="s">
        <v>48</v>
      </c>
      <c r="F4">
        <v>10</v>
      </c>
    </row>
    <row r="5" spans="1:7" ht="7.5" hidden="1" customHeight="1" x14ac:dyDescent="0.2">
      <c r="A5" s="4"/>
      <c r="B5" s="6"/>
      <c r="C5" s="72"/>
      <c r="E5" s="6"/>
      <c r="F5" s="27"/>
      <c r="G5" s="27"/>
    </row>
    <row r="6" spans="1:7" x14ac:dyDescent="0.2">
      <c r="A6" s="8" t="s">
        <v>19</v>
      </c>
      <c r="B6" s="10">
        <f>SUM(B7:B13)</f>
        <v>374</v>
      </c>
      <c r="C6" s="73"/>
      <c r="E6" s="10">
        <f>SUM(E7:E13)</f>
        <v>340</v>
      </c>
      <c r="F6" s="28">
        <f>SUM(F13)</f>
        <v>34</v>
      </c>
      <c r="G6" s="28">
        <f>SUM(G7:G13)</f>
        <v>374</v>
      </c>
    </row>
    <row r="7" spans="1:7" x14ac:dyDescent="0.2">
      <c r="A7" s="24" t="s">
        <v>8</v>
      </c>
      <c r="B7" s="57">
        <f>E7</f>
        <v>140</v>
      </c>
      <c r="C7" s="74"/>
      <c r="E7" s="43">
        <v>140</v>
      </c>
      <c r="F7" s="29">
        <f>E7/100*$F$4</f>
        <v>14</v>
      </c>
      <c r="G7" s="29">
        <f>E7+F7</f>
        <v>154</v>
      </c>
    </row>
    <row r="8" spans="1:7" x14ac:dyDescent="0.2">
      <c r="A8" s="24" t="s">
        <v>23</v>
      </c>
      <c r="B8" s="58"/>
      <c r="C8" s="74"/>
      <c r="E8" s="17"/>
      <c r="F8" s="27"/>
      <c r="G8" s="27"/>
    </row>
    <row r="9" spans="1:7" x14ac:dyDescent="0.2">
      <c r="A9" s="55" t="s">
        <v>22</v>
      </c>
      <c r="B9" s="59"/>
      <c r="C9" s="75"/>
      <c r="E9" s="43"/>
      <c r="F9" s="27"/>
      <c r="G9" s="27"/>
    </row>
    <row r="10" spans="1:7" x14ac:dyDescent="0.2">
      <c r="A10" s="97" t="s">
        <v>27</v>
      </c>
      <c r="B10" s="100">
        <f>E10</f>
        <v>30</v>
      </c>
      <c r="C10" s="130" t="s">
        <v>82</v>
      </c>
      <c r="E10" s="99">
        <v>30</v>
      </c>
      <c r="F10" s="29">
        <f>E10/100*$F$4</f>
        <v>3</v>
      </c>
      <c r="G10" s="29">
        <f>E10+F10</f>
        <v>33</v>
      </c>
    </row>
    <row r="11" spans="1:7" x14ac:dyDescent="0.2">
      <c r="A11" s="97" t="s">
        <v>28</v>
      </c>
      <c r="B11" s="100">
        <f t="shared" ref="B11:B12" si="0">E11</f>
        <v>40</v>
      </c>
      <c r="C11" s="131"/>
      <c r="E11" s="99">
        <v>40</v>
      </c>
      <c r="F11" s="29">
        <f>E11/100*$F$4</f>
        <v>4</v>
      </c>
      <c r="G11" s="29">
        <f>E11+F11</f>
        <v>44</v>
      </c>
    </row>
    <row r="12" spans="1:7" x14ac:dyDescent="0.2">
      <c r="A12" s="98" t="s">
        <v>29</v>
      </c>
      <c r="B12" s="100">
        <f t="shared" si="0"/>
        <v>130</v>
      </c>
      <c r="C12" s="74" t="s">
        <v>83</v>
      </c>
      <c r="E12" s="99">
        <v>130</v>
      </c>
      <c r="F12" s="29">
        <f>E12/100*$F$4</f>
        <v>13</v>
      </c>
      <c r="G12" s="29">
        <f>E12+F12</f>
        <v>143</v>
      </c>
    </row>
    <row r="13" spans="1:7" x14ac:dyDescent="0.2">
      <c r="A13" s="18" t="s">
        <v>51</v>
      </c>
      <c r="B13" s="60">
        <f>F13</f>
        <v>34</v>
      </c>
      <c r="C13" s="76"/>
      <c r="E13" s="20"/>
      <c r="F13" s="29">
        <f>SUM(F7:F12)</f>
        <v>34</v>
      </c>
      <c r="G13" s="27"/>
    </row>
    <row r="14" spans="1:7" x14ac:dyDescent="0.2">
      <c r="A14" s="8" t="s">
        <v>20</v>
      </c>
      <c r="B14" s="10">
        <f>SUM(B15:B20)</f>
        <v>649</v>
      </c>
      <c r="C14" s="73"/>
      <c r="E14" s="10">
        <f>SUM(E15:E20)</f>
        <v>590</v>
      </c>
      <c r="F14" s="28">
        <f>F20</f>
        <v>59</v>
      </c>
      <c r="G14" s="28">
        <f>SUM(G15:G20)</f>
        <v>649</v>
      </c>
    </row>
    <row r="15" spans="1:7" ht="12.75" customHeight="1" x14ac:dyDescent="0.2">
      <c r="A15" s="91" t="s">
        <v>75</v>
      </c>
      <c r="B15" s="92">
        <f t="shared" ref="B15:B19" si="1">E15</f>
        <v>90</v>
      </c>
      <c r="C15" s="93"/>
      <c r="E15" s="45">
        <v>90</v>
      </c>
      <c r="F15" s="29">
        <f>E15/100*$F$4</f>
        <v>9</v>
      </c>
      <c r="G15" s="29">
        <f>E15+F15</f>
        <v>99</v>
      </c>
    </row>
    <row r="16" spans="1:7" x14ac:dyDescent="0.2">
      <c r="A16" s="56" t="s">
        <v>76</v>
      </c>
      <c r="B16" s="94">
        <f t="shared" si="1"/>
        <v>40</v>
      </c>
      <c r="C16" s="95"/>
      <c r="E16" s="46">
        <v>40</v>
      </c>
      <c r="F16" s="29">
        <f>E16/100*$F$4</f>
        <v>4</v>
      </c>
      <c r="G16" s="29">
        <f>E16+F16</f>
        <v>44</v>
      </c>
    </row>
    <row r="17" spans="1:7" x14ac:dyDescent="0.2">
      <c r="A17" s="56" t="s">
        <v>77</v>
      </c>
      <c r="B17" s="94">
        <f t="shared" si="1"/>
        <v>30</v>
      </c>
      <c r="C17" s="95"/>
      <c r="E17" s="46">
        <v>30</v>
      </c>
      <c r="F17" s="29">
        <f>E17/100*$F$4</f>
        <v>3</v>
      </c>
      <c r="G17" s="29">
        <f>E17+F17</f>
        <v>33</v>
      </c>
    </row>
    <row r="18" spans="1:7" ht="20.25" customHeight="1" x14ac:dyDescent="0.2">
      <c r="A18" s="56" t="s">
        <v>80</v>
      </c>
      <c r="B18" s="94">
        <f>E18</f>
        <v>290</v>
      </c>
      <c r="C18" s="119" t="s">
        <v>78</v>
      </c>
      <c r="E18" s="17">
        <v>290</v>
      </c>
      <c r="F18" s="29">
        <f>E18/100*$F$4</f>
        <v>29</v>
      </c>
      <c r="G18" s="29">
        <f>E18+F18</f>
        <v>319</v>
      </c>
    </row>
    <row r="19" spans="1:7" ht="18.75" customHeight="1" x14ac:dyDescent="0.2">
      <c r="A19" s="96" t="s">
        <v>81</v>
      </c>
      <c r="B19" s="61">
        <f t="shared" si="1"/>
        <v>140</v>
      </c>
      <c r="C19" s="120"/>
      <c r="E19" s="17">
        <v>140</v>
      </c>
      <c r="F19" s="29">
        <f>E19/100*$F$4</f>
        <v>14</v>
      </c>
      <c r="G19" s="29">
        <f>E19+F19</f>
        <v>154</v>
      </c>
    </row>
    <row r="20" spans="1:7" x14ac:dyDescent="0.2">
      <c r="A20" s="18" t="s">
        <v>51</v>
      </c>
      <c r="B20" s="58">
        <f>F20</f>
        <v>59</v>
      </c>
      <c r="C20" s="74"/>
      <c r="E20" s="17"/>
      <c r="F20" s="29">
        <f>SUM(F15:F19)</f>
        <v>59</v>
      </c>
      <c r="G20" s="27"/>
    </row>
    <row r="21" spans="1:7" x14ac:dyDescent="0.2">
      <c r="A21" s="8" t="s">
        <v>21</v>
      </c>
      <c r="B21" s="10">
        <f>SUM(B22:B25)</f>
        <v>385</v>
      </c>
      <c r="C21" s="73"/>
      <c r="E21" s="10">
        <f>SUM(E22:E25)</f>
        <v>350</v>
      </c>
      <c r="F21" s="28">
        <f>F25</f>
        <v>35</v>
      </c>
      <c r="G21" s="28">
        <f>SUM(G22:G25)</f>
        <v>385</v>
      </c>
    </row>
    <row r="22" spans="1:7" x14ac:dyDescent="0.2">
      <c r="A22" s="11" t="s">
        <v>25</v>
      </c>
      <c r="B22" s="57">
        <f t="shared" ref="B22:B23" si="2">E22</f>
        <v>270</v>
      </c>
      <c r="C22" s="54"/>
      <c r="E22" s="43">
        <v>270</v>
      </c>
      <c r="F22" s="29">
        <f>E22/100*$F$4</f>
        <v>27</v>
      </c>
      <c r="G22" s="29">
        <f>E22+F22</f>
        <v>297</v>
      </c>
    </row>
    <row r="23" spans="1:7" x14ac:dyDescent="0.2">
      <c r="A23" s="56" t="s">
        <v>3</v>
      </c>
      <c r="B23" s="62">
        <f t="shared" si="2"/>
        <v>80</v>
      </c>
      <c r="C23" s="77"/>
      <c r="E23" s="43">
        <v>80</v>
      </c>
      <c r="F23" s="29">
        <f>E23/100*$F$4</f>
        <v>8</v>
      </c>
      <c r="G23" s="29">
        <f>E23+F23</f>
        <v>88</v>
      </c>
    </row>
    <row r="24" spans="1:7" x14ac:dyDescent="0.2">
      <c r="A24" s="11" t="s">
        <v>74</v>
      </c>
      <c r="B24" s="63" t="s">
        <v>50</v>
      </c>
      <c r="C24" s="78" t="s">
        <v>53</v>
      </c>
      <c r="E24" s="43"/>
      <c r="F24" s="29">
        <f>E24/100*$F$4</f>
        <v>0</v>
      </c>
      <c r="G24" s="29">
        <f>E24+F24</f>
        <v>0</v>
      </c>
    </row>
    <row r="25" spans="1:7" x14ac:dyDescent="0.2">
      <c r="A25" s="18" t="s">
        <v>51</v>
      </c>
      <c r="B25" s="58">
        <f>F25</f>
        <v>35</v>
      </c>
      <c r="C25" s="74"/>
      <c r="E25" s="13"/>
      <c r="F25" s="29">
        <f>SUM(F22:F24)</f>
        <v>35</v>
      </c>
      <c r="G25" s="27"/>
    </row>
    <row r="26" spans="1:7" x14ac:dyDescent="0.2">
      <c r="A26" s="8" t="s">
        <v>52</v>
      </c>
      <c r="B26" s="10">
        <f>SUM(B6+B14+B21)</f>
        <v>1408</v>
      </c>
      <c r="C26" s="79"/>
      <c r="E26" s="10">
        <f>SUM(E6+E14+E21)</f>
        <v>1280</v>
      </c>
      <c r="F26" s="29">
        <f>SUM(F13+F20+F25)</f>
        <v>128</v>
      </c>
      <c r="G26" s="29">
        <f>SUM(G13+G20+G25)</f>
        <v>0</v>
      </c>
    </row>
    <row r="27" spans="1:7" ht="7.5" customHeight="1" x14ac:dyDescent="0.2">
      <c r="A27" s="80"/>
      <c r="B27" s="2"/>
      <c r="C27" s="81"/>
      <c r="F27" s="27"/>
      <c r="G27" s="27"/>
    </row>
    <row r="28" spans="1:7" x14ac:dyDescent="0.2">
      <c r="A28" s="8" t="s">
        <v>54</v>
      </c>
      <c r="B28" s="10">
        <v>19314.5</v>
      </c>
      <c r="C28" s="79"/>
      <c r="E28" s="10"/>
      <c r="F28" s="29"/>
      <c r="G28" s="29"/>
    </row>
    <row r="29" spans="1:7" x14ac:dyDescent="0.2">
      <c r="A29" s="8" t="s">
        <v>55</v>
      </c>
      <c r="B29" s="10">
        <v>20224</v>
      </c>
      <c r="C29" s="79"/>
      <c r="E29" s="10"/>
      <c r="F29" s="29"/>
      <c r="G29" s="29"/>
    </row>
    <row r="30" spans="1:7" ht="6" customHeight="1" x14ac:dyDescent="0.2">
      <c r="A30" s="86"/>
      <c r="B30" s="87"/>
      <c r="C30" s="82"/>
      <c r="D30" s="65"/>
      <c r="E30" s="64"/>
      <c r="F30" s="29"/>
      <c r="G30" s="29"/>
    </row>
    <row r="31" spans="1:7" s="67" customFormat="1" ht="15" x14ac:dyDescent="0.2">
      <c r="A31" s="83" t="s">
        <v>55</v>
      </c>
      <c r="B31" s="84">
        <f>-B26-B28+B29</f>
        <v>-498.5</v>
      </c>
      <c r="C31" s="85" t="s">
        <v>79</v>
      </c>
      <c r="E31" s="66"/>
      <c r="F31" s="68"/>
      <c r="G31" s="68"/>
    </row>
    <row r="32" spans="1:7" x14ac:dyDescent="0.2">
      <c r="A32" s="2"/>
      <c r="B32" s="2"/>
      <c r="C32" s="2"/>
    </row>
    <row r="33" spans="1:3" x14ac:dyDescent="0.2">
      <c r="A33" t="s">
        <v>56</v>
      </c>
    </row>
    <row r="34" spans="1:3" ht="18" x14ac:dyDescent="0.25">
      <c r="A34" s="53" t="s">
        <v>57</v>
      </c>
      <c r="B34" s="118" t="s">
        <v>58</v>
      </c>
      <c r="C34" s="118"/>
    </row>
    <row r="35" spans="1:3" ht="52.5" customHeight="1" x14ac:dyDescent="0.2">
      <c r="B35" s="121" t="s">
        <v>84</v>
      </c>
      <c r="C35" s="121"/>
    </row>
    <row r="36" spans="1:3" ht="30" customHeight="1" x14ac:dyDescent="0.2">
      <c r="B36" s="129" t="s">
        <v>85</v>
      </c>
      <c r="C36" s="129"/>
    </row>
    <row r="37" spans="1:3" ht="29.25" customHeight="1" x14ac:dyDescent="0.2">
      <c r="A37" s="70" t="s">
        <v>59</v>
      </c>
      <c r="B37" s="122" t="s">
        <v>63</v>
      </c>
      <c r="C37" s="122"/>
    </row>
    <row r="38" spans="1:3" x14ac:dyDescent="0.2">
      <c r="B38" s="118" t="s">
        <v>60</v>
      </c>
      <c r="C38" s="118"/>
    </row>
    <row r="39" spans="1:3" x14ac:dyDescent="0.2">
      <c r="B39" s="69"/>
      <c r="C39" s="101" t="s">
        <v>86</v>
      </c>
    </row>
    <row r="40" spans="1:3" x14ac:dyDescent="0.2">
      <c r="B40" s="118" t="s">
        <v>64</v>
      </c>
      <c r="C40" s="118"/>
    </row>
    <row r="41" spans="1:3" x14ac:dyDescent="0.2">
      <c r="B41" s="69"/>
      <c r="C41" s="101" t="s">
        <v>62</v>
      </c>
    </row>
    <row r="42" spans="1:3" x14ac:dyDescent="0.2">
      <c r="B42" s="118" t="s">
        <v>61</v>
      </c>
      <c r="C42" s="118"/>
    </row>
    <row r="43" spans="1:3" x14ac:dyDescent="0.2">
      <c r="B43" s="69"/>
      <c r="C43" s="101" t="s">
        <v>87</v>
      </c>
    </row>
    <row r="44" spans="1:3" x14ac:dyDescent="0.2">
      <c r="B44" s="118" t="s">
        <v>65</v>
      </c>
      <c r="C44" s="118"/>
    </row>
    <row r="45" spans="1:3" x14ac:dyDescent="0.2">
      <c r="B45" s="69"/>
      <c r="C45" s="71" t="s">
        <v>88</v>
      </c>
    </row>
    <row r="46" spans="1:3" x14ac:dyDescent="0.2">
      <c r="B46" s="118" t="s">
        <v>66</v>
      </c>
      <c r="C46" s="118"/>
    </row>
    <row r="47" spans="1:3" ht="18" x14ac:dyDescent="0.25">
      <c r="A47" s="53" t="s">
        <v>104</v>
      </c>
      <c r="B47" s="118" t="s">
        <v>89</v>
      </c>
      <c r="C47" s="118"/>
    </row>
    <row r="48" spans="1:3" x14ac:dyDescent="0.2">
      <c r="B48" s="118"/>
      <c r="C48" s="118"/>
    </row>
  </sheetData>
  <mergeCells count="15">
    <mergeCell ref="C18:C19"/>
    <mergeCell ref="B34:C34"/>
    <mergeCell ref="B35:C35"/>
    <mergeCell ref="B37:C37"/>
    <mergeCell ref="E2:G2"/>
    <mergeCell ref="E3:G3"/>
    <mergeCell ref="B36:C36"/>
    <mergeCell ref="C10:C11"/>
    <mergeCell ref="B38:C38"/>
    <mergeCell ref="B40:C40"/>
    <mergeCell ref="B42:C42"/>
    <mergeCell ref="B44:C44"/>
    <mergeCell ref="B48:C48"/>
    <mergeCell ref="B47:C47"/>
    <mergeCell ref="B46:C46"/>
  </mergeCells>
  <pageMargins left="0.70866141732283472" right="0.70866141732283472" top="0.78740157480314965" bottom="0.59055118110236227" header="0.31496062992125984" footer="0.31496062992125984"/>
  <pageSetup paperSize="9" scale="76" fitToHeight="0" orientation="portrait" r:id="rId1"/>
  <headerFooter>
    <oddFooter>&amp;LINGE EPSI / JS + AeBo
&amp;Z&amp;F&amp;R&amp;D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showGridLines="0" zoomScale="80" zoomScaleNormal="80" workbookViewId="0">
      <selection activeCell="L41" sqref="L41"/>
    </sheetView>
  </sheetViews>
  <sheetFormatPr baseColWidth="10" defaultRowHeight="12.75" x14ac:dyDescent="0.2"/>
  <cols>
    <col min="1" max="1" width="32.140625" customWidth="1"/>
    <col min="2" max="2" width="23.140625" customWidth="1"/>
    <col min="3" max="3" width="8.140625" bestFit="1" customWidth="1"/>
    <col min="4" max="4" width="22" customWidth="1"/>
    <col min="5" max="5" width="8.140625" bestFit="1" customWidth="1"/>
    <col min="6" max="6" width="55.28515625" customWidth="1"/>
    <col min="7" max="7" width="7.85546875" bestFit="1" customWidth="1"/>
    <col min="9" max="9" width="8.140625" bestFit="1" customWidth="1"/>
    <col min="10" max="10" width="8" bestFit="1" customWidth="1"/>
    <col min="11" max="11" width="7.140625" bestFit="1" customWidth="1"/>
    <col min="13" max="13" width="7" bestFit="1" customWidth="1"/>
    <col min="14" max="14" width="7.140625" bestFit="1" customWidth="1"/>
  </cols>
  <sheetData>
    <row r="1" spans="1:16" ht="15.75" x14ac:dyDescent="0.25">
      <c r="A1" s="1" t="s">
        <v>0</v>
      </c>
    </row>
    <row r="2" spans="1:16" ht="18" x14ac:dyDescent="0.25">
      <c r="A2" s="53" t="s">
        <v>46</v>
      </c>
      <c r="F2" s="164" t="s">
        <v>26</v>
      </c>
      <c r="G2" s="164"/>
      <c r="L2" s="123" t="s">
        <v>44</v>
      </c>
      <c r="M2" s="124"/>
      <c r="N2" s="125"/>
    </row>
    <row r="3" spans="1:16" ht="7.5" customHeight="1" x14ac:dyDescent="0.2">
      <c r="I3" s="142" t="s">
        <v>42</v>
      </c>
      <c r="J3" s="143"/>
      <c r="K3" s="143"/>
      <c r="L3" s="126" t="s">
        <v>43</v>
      </c>
      <c r="M3" s="127"/>
      <c r="N3" s="128"/>
    </row>
    <row r="4" spans="1:16" x14ac:dyDescent="0.2">
      <c r="A4" s="4" t="s">
        <v>1</v>
      </c>
      <c r="B4" s="151" t="s">
        <v>42</v>
      </c>
      <c r="C4" s="151"/>
      <c r="D4" s="152" t="s">
        <v>43</v>
      </c>
      <c r="E4" s="152"/>
      <c r="F4" s="4" t="s">
        <v>11</v>
      </c>
      <c r="G4" s="5" t="s">
        <v>2</v>
      </c>
      <c r="J4">
        <v>10</v>
      </c>
      <c r="M4">
        <v>10</v>
      </c>
    </row>
    <row r="5" spans="1:16" x14ac:dyDescent="0.2">
      <c r="A5" s="4"/>
      <c r="B5" s="30" t="s">
        <v>5</v>
      </c>
      <c r="C5" s="31" t="s">
        <v>6</v>
      </c>
      <c r="D5" s="4" t="s">
        <v>5</v>
      </c>
      <c r="E5" s="6" t="s">
        <v>6</v>
      </c>
      <c r="F5" s="4"/>
      <c r="G5" s="4"/>
      <c r="I5" s="26" t="s">
        <v>6</v>
      </c>
      <c r="J5" s="27"/>
      <c r="K5" s="27"/>
      <c r="L5" s="6" t="s">
        <v>6</v>
      </c>
      <c r="M5" s="27"/>
      <c r="N5" s="27"/>
    </row>
    <row r="6" spans="1:16" ht="7.5" hidden="1" customHeight="1" x14ac:dyDescent="0.2">
      <c r="A6" s="4"/>
      <c r="B6" s="32"/>
      <c r="C6" s="31"/>
      <c r="D6" s="7"/>
      <c r="E6" s="6"/>
      <c r="F6" s="7"/>
      <c r="G6" s="4"/>
      <c r="I6" s="26"/>
      <c r="J6" s="27"/>
      <c r="K6" s="27"/>
      <c r="L6" s="6"/>
      <c r="M6" s="27"/>
      <c r="N6" s="27"/>
    </row>
    <row r="7" spans="1:16" x14ac:dyDescent="0.2">
      <c r="A7" s="8" t="s">
        <v>19</v>
      </c>
      <c r="B7" s="9"/>
      <c r="C7" s="10">
        <f>SUM(C8:C15)</f>
        <v>4007.75</v>
      </c>
      <c r="D7" s="9"/>
      <c r="E7" s="10">
        <f>SUM(E8:E15)</f>
        <v>7090.7999999999993</v>
      </c>
      <c r="F7" s="9"/>
      <c r="G7" s="10">
        <f>SUM(G8:G15)</f>
        <v>3083.05</v>
      </c>
      <c r="I7" s="28">
        <f>SUM(I8:I15)</f>
        <v>4007.75</v>
      </c>
      <c r="J7" s="28">
        <f>SUM(J15)</f>
        <v>400.77500000000003</v>
      </c>
      <c r="K7" s="28">
        <f>SUM(K8:K15)</f>
        <v>3606.9749999999999</v>
      </c>
      <c r="L7" s="10">
        <f>SUM(L8:L15)</f>
        <v>5909</v>
      </c>
      <c r="M7" s="28">
        <f>SUM(M15)</f>
        <v>590.9</v>
      </c>
      <c r="N7" s="28">
        <f>SUM(N8:N15)</f>
        <v>6499.9</v>
      </c>
    </row>
    <row r="8" spans="1:16" ht="12.75" customHeight="1" x14ac:dyDescent="0.2">
      <c r="A8" s="24" t="s">
        <v>8</v>
      </c>
      <c r="B8" s="144" t="s">
        <v>13</v>
      </c>
      <c r="C8" s="33">
        <f>K8</f>
        <v>1151.325</v>
      </c>
      <c r="D8" s="160" t="s">
        <v>12</v>
      </c>
      <c r="E8" s="43">
        <f>N8</f>
        <v>3520</v>
      </c>
      <c r="F8" s="140" t="s">
        <v>91</v>
      </c>
      <c r="G8" s="15">
        <f>E8-C8</f>
        <v>2368.6750000000002</v>
      </c>
      <c r="I8" s="106">
        <f>150.5*8.5</f>
        <v>1279.25</v>
      </c>
      <c r="J8" s="29">
        <f>I8/100*$J$4</f>
        <v>127.92500000000001</v>
      </c>
      <c r="K8" s="29">
        <f>I8-J8</f>
        <v>1151.325</v>
      </c>
      <c r="L8" s="43">
        <v>3200</v>
      </c>
      <c r="M8" s="29">
        <f>L8/100*$J$4</f>
        <v>320</v>
      </c>
      <c r="N8" s="29">
        <f>L8+M8</f>
        <v>3520</v>
      </c>
    </row>
    <row r="9" spans="1:16" x14ac:dyDescent="0.2">
      <c r="A9" s="88" t="s">
        <v>67</v>
      </c>
      <c r="B9" s="144"/>
      <c r="C9" s="33"/>
      <c r="D9" s="160"/>
      <c r="E9" s="17"/>
      <c r="F9" s="140"/>
      <c r="G9" s="13"/>
      <c r="I9" s="106"/>
      <c r="J9" s="27"/>
      <c r="K9" s="27"/>
      <c r="L9" s="17"/>
      <c r="M9" s="27"/>
      <c r="N9" s="27"/>
    </row>
    <row r="10" spans="1:16" x14ac:dyDescent="0.2">
      <c r="A10" s="25"/>
      <c r="B10" s="145"/>
      <c r="C10" s="34"/>
      <c r="D10" s="150"/>
      <c r="E10" s="44"/>
      <c r="F10" s="141"/>
      <c r="G10" s="16"/>
      <c r="I10" s="106"/>
      <c r="J10" s="27"/>
      <c r="K10" s="27"/>
      <c r="L10" s="17"/>
      <c r="M10" s="27"/>
      <c r="N10" s="27"/>
    </row>
    <row r="11" spans="1:16" x14ac:dyDescent="0.2">
      <c r="A11" s="24" t="s">
        <v>22</v>
      </c>
      <c r="B11" s="35"/>
      <c r="C11" s="36"/>
      <c r="D11" s="14"/>
      <c r="E11" s="43"/>
      <c r="F11" s="14"/>
      <c r="G11" s="15"/>
      <c r="I11" s="106"/>
      <c r="J11" s="27"/>
      <c r="K11" s="27"/>
      <c r="L11" s="43"/>
      <c r="M11" s="27"/>
      <c r="N11" s="27"/>
    </row>
    <row r="12" spans="1:16" x14ac:dyDescent="0.2">
      <c r="A12" s="88" t="s">
        <v>68</v>
      </c>
      <c r="B12" s="37" t="s">
        <v>34</v>
      </c>
      <c r="C12" s="33">
        <f>K12</f>
        <v>696.15</v>
      </c>
      <c r="D12" t="s">
        <v>37</v>
      </c>
      <c r="E12" s="17">
        <f>N12</f>
        <v>330</v>
      </c>
      <c r="F12" s="14" t="s">
        <v>95</v>
      </c>
      <c r="G12" s="13">
        <f>E12-C12</f>
        <v>-366.15</v>
      </c>
      <c r="I12" s="106">
        <f>91*8.5</f>
        <v>773.5</v>
      </c>
      <c r="J12" s="29">
        <f>I12/100*$J$4</f>
        <v>77.350000000000009</v>
      </c>
      <c r="K12" s="29">
        <f>I12-J12</f>
        <v>696.15</v>
      </c>
      <c r="L12" s="17">
        <v>300</v>
      </c>
      <c r="M12" s="29">
        <f>L12/100*$J$4</f>
        <v>30</v>
      </c>
      <c r="N12" s="29">
        <f>L12+M12</f>
        <v>330</v>
      </c>
      <c r="P12" s="17">
        <f>93.5+74.75+26.5+26.5+26.5+31.75+21.5</f>
        <v>301</v>
      </c>
    </row>
    <row r="13" spans="1:16" x14ac:dyDescent="0.2">
      <c r="A13" s="88" t="s">
        <v>69</v>
      </c>
      <c r="B13" s="37" t="s">
        <v>35</v>
      </c>
      <c r="C13" s="33">
        <f>K13</f>
        <v>286.875</v>
      </c>
      <c r="D13" t="s">
        <v>39</v>
      </c>
      <c r="E13" s="17">
        <f>N13</f>
        <v>449.9</v>
      </c>
      <c r="F13" s="14" t="s">
        <v>96</v>
      </c>
      <c r="G13" s="13">
        <f>E13-C13</f>
        <v>163.02499999999998</v>
      </c>
      <c r="I13" s="106">
        <f>37.5*8.5</f>
        <v>318.75</v>
      </c>
      <c r="J13" s="29">
        <f>I13/100*$J$4</f>
        <v>31.875</v>
      </c>
      <c r="K13" s="29">
        <f>I13-J13</f>
        <v>286.875</v>
      </c>
      <c r="L13" s="17">
        <v>409</v>
      </c>
      <c r="M13" s="29">
        <f>L13/100*$J$4</f>
        <v>40.9</v>
      </c>
      <c r="N13" s="29">
        <f>L13+M13</f>
        <v>449.9</v>
      </c>
      <c r="P13" s="17">
        <f>97.75+114.75+41.75+30.75+92.25+30.75</f>
        <v>408</v>
      </c>
    </row>
    <row r="14" spans="1:16" ht="30" customHeight="1" x14ac:dyDescent="0.2">
      <c r="A14" s="102" t="s">
        <v>70</v>
      </c>
      <c r="B14" s="116" t="s">
        <v>36</v>
      </c>
      <c r="C14" s="33">
        <f>K14</f>
        <v>1472.625</v>
      </c>
      <c r="D14" s="117" t="s">
        <v>38</v>
      </c>
      <c r="E14" s="104">
        <f>N14</f>
        <v>2200</v>
      </c>
      <c r="F14" s="103" t="s">
        <v>97</v>
      </c>
      <c r="G14" s="105">
        <f>E14-C14</f>
        <v>727.375</v>
      </c>
      <c r="I14" s="106">
        <f>192.5*8.5</f>
        <v>1636.25</v>
      </c>
      <c r="J14" s="29">
        <f>I14/100*$J$4</f>
        <v>163.625</v>
      </c>
      <c r="K14" s="29">
        <f>I14-J14</f>
        <v>1472.625</v>
      </c>
      <c r="L14" s="105">
        <v>2000</v>
      </c>
      <c r="M14" s="29">
        <f>L14/100*$J$4</f>
        <v>200</v>
      </c>
      <c r="N14" s="29">
        <f>L14+M14</f>
        <v>2200</v>
      </c>
    </row>
    <row r="15" spans="1:16" x14ac:dyDescent="0.2">
      <c r="A15" s="18" t="s">
        <v>51</v>
      </c>
      <c r="B15" s="38"/>
      <c r="C15" s="39">
        <f>J15</f>
        <v>400.77500000000003</v>
      </c>
      <c r="D15" s="19"/>
      <c r="E15" s="20">
        <f>M15</f>
        <v>590.9</v>
      </c>
      <c r="F15" s="115" t="s">
        <v>92</v>
      </c>
      <c r="G15" s="20">
        <f>E15-C15</f>
        <v>190.12499999999994</v>
      </c>
      <c r="I15" s="108">
        <v>0</v>
      </c>
      <c r="J15" s="29">
        <f>SUM(J8:J14)</f>
        <v>400.77500000000003</v>
      </c>
      <c r="K15" s="27"/>
      <c r="L15" s="20"/>
      <c r="M15" s="29">
        <f>SUM(M8:M14)</f>
        <v>590.9</v>
      </c>
      <c r="N15" s="27"/>
    </row>
    <row r="16" spans="1:16" x14ac:dyDescent="0.2">
      <c r="A16" s="8" t="s">
        <v>20</v>
      </c>
      <c r="B16" s="9"/>
      <c r="C16" s="10">
        <f>SUM(C17:C24)</f>
        <v>3102.5</v>
      </c>
      <c r="D16" s="9"/>
      <c r="E16" s="10">
        <f>SUM(E17:E24)</f>
        <v>4620</v>
      </c>
      <c r="F16" s="9"/>
      <c r="G16" s="10">
        <f>SUM(G17:G24)</f>
        <v>1517.5</v>
      </c>
      <c r="I16" s="109">
        <f>SUM(I17:I24)</f>
        <v>3102.5</v>
      </c>
      <c r="J16" s="28">
        <f>J24</f>
        <v>310.25</v>
      </c>
      <c r="K16" s="28">
        <f>SUM(K17:K24)</f>
        <v>2792.25</v>
      </c>
      <c r="L16" s="10">
        <f>SUM(L17:L24)</f>
        <v>3850</v>
      </c>
      <c r="M16" s="28">
        <f>M24</f>
        <v>385</v>
      </c>
      <c r="N16" s="28">
        <f>SUM(N17:N24)</f>
        <v>4235</v>
      </c>
    </row>
    <row r="17" spans="1:16" x14ac:dyDescent="0.2">
      <c r="A17" s="21" t="s">
        <v>9</v>
      </c>
      <c r="B17" s="157" t="s">
        <v>41</v>
      </c>
      <c r="C17" s="39">
        <f>K17</f>
        <v>497.25</v>
      </c>
      <c r="D17" s="148" t="s">
        <v>16</v>
      </c>
      <c r="E17" s="45">
        <f>N17</f>
        <v>990</v>
      </c>
      <c r="F17" s="161" t="s">
        <v>103</v>
      </c>
      <c r="G17" s="15">
        <f>E17-C17</f>
        <v>492.75</v>
      </c>
      <c r="I17" s="108">
        <f>65*8.5</f>
        <v>552.5</v>
      </c>
      <c r="J17" s="29">
        <f>I17/100*$J$4</f>
        <v>55.25</v>
      </c>
      <c r="K17" s="29">
        <f>I17-J17</f>
        <v>497.25</v>
      </c>
      <c r="L17" s="45">
        <v>900</v>
      </c>
      <c r="M17" s="29">
        <f>L17/100*$J$4</f>
        <v>90</v>
      </c>
      <c r="N17" s="29">
        <f>L17+M17</f>
        <v>990</v>
      </c>
    </row>
    <row r="18" spans="1:16" x14ac:dyDescent="0.2">
      <c r="A18" s="138" t="s">
        <v>71</v>
      </c>
      <c r="B18" s="158"/>
      <c r="C18" s="33"/>
      <c r="D18" s="134"/>
      <c r="E18" s="17"/>
      <c r="F18" s="162"/>
      <c r="G18" s="13"/>
      <c r="I18" s="106"/>
      <c r="J18" s="27"/>
      <c r="K18" s="27"/>
      <c r="L18" s="17"/>
      <c r="M18" s="27"/>
      <c r="N18" s="27"/>
    </row>
    <row r="19" spans="1:16" x14ac:dyDescent="0.2">
      <c r="A19" s="139"/>
      <c r="B19" s="159"/>
      <c r="C19" s="33"/>
      <c r="D19" s="135"/>
      <c r="E19" s="17"/>
      <c r="F19" s="163"/>
      <c r="G19" s="16"/>
      <c r="I19" s="106"/>
      <c r="J19" s="27"/>
      <c r="K19" s="27"/>
      <c r="L19" s="17"/>
      <c r="M19" s="27"/>
      <c r="N19" s="27"/>
    </row>
    <row r="20" spans="1:16" x14ac:dyDescent="0.2">
      <c r="A20" s="21" t="s">
        <v>9</v>
      </c>
      <c r="B20" s="153" t="s">
        <v>14</v>
      </c>
      <c r="C20" s="40">
        <f>K20</f>
        <v>298.35000000000002</v>
      </c>
      <c r="D20" s="136" t="s">
        <v>15</v>
      </c>
      <c r="E20" s="46">
        <f>N20</f>
        <v>440</v>
      </c>
      <c r="F20" s="149" t="s">
        <v>98</v>
      </c>
      <c r="G20" s="15">
        <f>E20-C20</f>
        <v>141.64999999999998</v>
      </c>
      <c r="I20" s="110">
        <f>39*8.5</f>
        <v>331.5</v>
      </c>
      <c r="J20" s="29">
        <f>I20/100*$J$4</f>
        <v>33.15</v>
      </c>
      <c r="K20" s="29">
        <f>I20-J20</f>
        <v>298.35000000000002</v>
      </c>
      <c r="L20" s="46">
        <v>400</v>
      </c>
      <c r="M20" s="29">
        <f>L20/100*$J$4</f>
        <v>40</v>
      </c>
      <c r="N20" s="29">
        <f>L20+M20</f>
        <v>440</v>
      </c>
    </row>
    <row r="21" spans="1:16" x14ac:dyDescent="0.2">
      <c r="A21" s="89" t="s">
        <v>72</v>
      </c>
      <c r="B21" s="159"/>
      <c r="C21" s="34"/>
      <c r="D21" s="135"/>
      <c r="E21" s="44"/>
      <c r="F21" s="150"/>
      <c r="G21" s="16"/>
      <c r="I21" s="107"/>
      <c r="J21" s="27"/>
      <c r="K21" s="27"/>
      <c r="L21" s="44"/>
      <c r="M21" s="27"/>
      <c r="N21" s="27"/>
    </row>
    <row r="22" spans="1:16" x14ac:dyDescent="0.2">
      <c r="A22" s="11" t="s">
        <v>24</v>
      </c>
      <c r="B22" s="153" t="s">
        <v>30</v>
      </c>
      <c r="C22" s="41">
        <f>K22</f>
        <v>1996.65</v>
      </c>
      <c r="D22" s="155" t="s">
        <v>94</v>
      </c>
      <c r="E22" s="17">
        <f>N22</f>
        <v>2805</v>
      </c>
      <c r="F22" s="155" t="s">
        <v>101</v>
      </c>
      <c r="G22" s="15">
        <f>E22-C22</f>
        <v>808.34999999999991</v>
      </c>
      <c r="I22" s="111">
        <f>261*8.5</f>
        <v>2218.5</v>
      </c>
      <c r="J22" s="29">
        <f>I22/100*$J$4</f>
        <v>221.85</v>
      </c>
      <c r="K22" s="29">
        <f>I22-J22</f>
        <v>1996.65</v>
      </c>
      <c r="L22" s="17">
        <v>2550</v>
      </c>
      <c r="M22" s="29">
        <f>L22/100*$J$4</f>
        <v>255</v>
      </c>
      <c r="N22" s="29">
        <f>L22+M22</f>
        <v>2805</v>
      </c>
    </row>
    <row r="23" spans="1:16" ht="52.5" customHeight="1" x14ac:dyDescent="0.2">
      <c r="A23" s="90" t="s">
        <v>73</v>
      </c>
      <c r="B23" s="154"/>
      <c r="C23" s="42"/>
      <c r="D23" s="156"/>
      <c r="E23" s="47"/>
      <c r="F23" s="156"/>
      <c r="G23" s="22"/>
      <c r="I23" s="112"/>
      <c r="J23" s="27"/>
      <c r="K23" s="27"/>
      <c r="L23" s="47"/>
      <c r="M23" s="27"/>
      <c r="N23" s="27"/>
    </row>
    <row r="24" spans="1:16" x14ac:dyDescent="0.2">
      <c r="A24" s="18" t="s">
        <v>51</v>
      </c>
      <c r="B24" s="35"/>
      <c r="C24" s="33">
        <f>J24</f>
        <v>310.25</v>
      </c>
      <c r="D24" s="12"/>
      <c r="E24" s="17">
        <f>M24</f>
        <v>385</v>
      </c>
      <c r="F24" s="115" t="s">
        <v>92</v>
      </c>
      <c r="G24" s="13">
        <f>E24-C24</f>
        <v>74.75</v>
      </c>
      <c r="I24" s="106">
        <v>0</v>
      </c>
      <c r="J24" s="27">
        <f>SUM(J17:J23)</f>
        <v>310.25</v>
      </c>
      <c r="K24" s="27"/>
      <c r="L24" s="17"/>
      <c r="M24" s="27">
        <f>SUM(M17:M23)</f>
        <v>385</v>
      </c>
      <c r="N24" s="27"/>
    </row>
    <row r="25" spans="1:16" x14ac:dyDescent="0.2">
      <c r="A25" s="8" t="s">
        <v>21</v>
      </c>
      <c r="B25" s="9"/>
      <c r="C25" s="10">
        <f>SUM(C26:C33)</f>
        <v>4339.25</v>
      </c>
      <c r="D25" s="9"/>
      <c r="E25" s="10">
        <f>SUM(E26:E33)</f>
        <v>5912.4</v>
      </c>
      <c r="F25" s="9"/>
      <c r="G25" s="10">
        <f>SUM(G26:G33)</f>
        <v>1573.15</v>
      </c>
      <c r="I25" s="109">
        <f>SUM(I26:I33)</f>
        <v>4339.25</v>
      </c>
      <c r="J25" s="28">
        <f>J33</f>
        <v>433.92500000000001</v>
      </c>
      <c r="K25" s="28">
        <f>SUM(K26:K33)</f>
        <v>3905.3249999999998</v>
      </c>
      <c r="L25" s="10">
        <f>SUM(L26:L33)</f>
        <v>4927</v>
      </c>
      <c r="M25" s="28">
        <f>M33</f>
        <v>492.7</v>
      </c>
      <c r="N25" s="28">
        <f>SUM(N26:N33)</f>
        <v>5419.7</v>
      </c>
    </row>
    <row r="26" spans="1:16" x14ac:dyDescent="0.2">
      <c r="A26" s="134" t="s">
        <v>25</v>
      </c>
      <c r="B26" s="144" t="s">
        <v>31</v>
      </c>
      <c r="C26" s="33">
        <f>K26</f>
        <v>711.45</v>
      </c>
      <c r="D26" s="160" t="s">
        <v>32</v>
      </c>
      <c r="E26" s="43">
        <f>N26</f>
        <v>2449.6999999999998</v>
      </c>
      <c r="F26" s="140" t="s">
        <v>33</v>
      </c>
      <c r="G26" s="15">
        <f>E26-C26</f>
        <v>1738.2499999999998</v>
      </c>
      <c r="I26" s="111">
        <f>93*8.5</f>
        <v>790.5</v>
      </c>
      <c r="J26" s="29">
        <f>I26/100*$J$4</f>
        <v>79.05</v>
      </c>
      <c r="K26" s="29">
        <f>I26-J26</f>
        <v>711.45</v>
      </c>
      <c r="L26" s="43">
        <v>2227</v>
      </c>
      <c r="M26" s="29">
        <f>L26/100*$J$4</f>
        <v>222.7</v>
      </c>
      <c r="N26" s="29">
        <f>L26+M26</f>
        <v>2449.6999999999998</v>
      </c>
      <c r="P26" s="43">
        <f>68+777.75+607.75+165.75+246.5+293.25+66</f>
        <v>2225</v>
      </c>
    </row>
    <row r="27" spans="1:16" x14ac:dyDescent="0.2">
      <c r="A27" s="135"/>
      <c r="B27" s="145"/>
      <c r="C27" s="34"/>
      <c r="D27" s="150"/>
      <c r="E27" s="48"/>
      <c r="F27" s="141"/>
      <c r="G27" s="16"/>
      <c r="I27" s="113"/>
      <c r="J27" s="27"/>
      <c r="K27" s="27"/>
      <c r="L27" s="48"/>
      <c r="M27" s="27"/>
      <c r="N27" s="27"/>
    </row>
    <row r="28" spans="1:16" x14ac:dyDescent="0.2">
      <c r="A28" s="136" t="s">
        <v>3</v>
      </c>
      <c r="B28" s="146" t="s">
        <v>4</v>
      </c>
      <c r="C28" s="33">
        <f>K28</f>
        <v>1090.125</v>
      </c>
      <c r="D28" s="149" t="s">
        <v>10</v>
      </c>
      <c r="E28" s="43">
        <f>N28</f>
        <v>1430</v>
      </c>
      <c r="F28" s="155" t="s">
        <v>99</v>
      </c>
      <c r="G28" s="15">
        <f>E28-C28</f>
        <v>339.875</v>
      </c>
      <c r="I28" s="111">
        <f>142.5*8.5</f>
        <v>1211.25</v>
      </c>
      <c r="J28" s="29">
        <f>I28/100*$J$4</f>
        <v>121.125</v>
      </c>
      <c r="K28" s="29">
        <f>I28-J28</f>
        <v>1090.125</v>
      </c>
      <c r="L28" s="43">
        <v>1300</v>
      </c>
      <c r="M28" s="29">
        <f>L28/100*$J$4</f>
        <v>130</v>
      </c>
      <c r="N28" s="29">
        <f>L28+M28</f>
        <v>1430</v>
      </c>
    </row>
    <row r="29" spans="1:16" x14ac:dyDescent="0.2">
      <c r="A29" s="135"/>
      <c r="B29" s="145"/>
      <c r="C29" s="34"/>
      <c r="D29" s="150"/>
      <c r="E29" s="48"/>
      <c r="F29" s="141"/>
      <c r="G29" s="16"/>
      <c r="I29" s="113"/>
      <c r="J29" s="27"/>
      <c r="K29" s="27"/>
      <c r="L29" s="48"/>
      <c r="M29" s="27"/>
      <c r="N29" s="27"/>
    </row>
    <row r="30" spans="1:16" x14ac:dyDescent="0.2">
      <c r="A30" s="136" t="s">
        <v>74</v>
      </c>
      <c r="B30" s="146" t="s">
        <v>7</v>
      </c>
      <c r="C30" s="41">
        <f>K30</f>
        <v>2103.75</v>
      </c>
      <c r="D30" s="155" t="s">
        <v>93</v>
      </c>
      <c r="E30" s="43">
        <f>N30</f>
        <v>1540</v>
      </c>
      <c r="F30" s="155" t="s">
        <v>100</v>
      </c>
      <c r="G30" s="15">
        <f>E30-C30</f>
        <v>-563.75</v>
      </c>
      <c r="I30" s="111">
        <f>8.5*275</f>
        <v>2337.5</v>
      </c>
      <c r="J30" s="29">
        <f>I30/100*$J$4</f>
        <v>233.75</v>
      </c>
      <c r="K30" s="29">
        <f>I30-J30</f>
        <v>2103.75</v>
      </c>
      <c r="L30" s="43">
        <v>1400</v>
      </c>
      <c r="M30" s="29">
        <f>L30/100*$J$4</f>
        <v>140</v>
      </c>
      <c r="N30" s="29">
        <f>L30+M30</f>
        <v>1540</v>
      </c>
    </row>
    <row r="31" spans="1:16" x14ac:dyDescent="0.2">
      <c r="A31" s="134"/>
      <c r="B31" s="144"/>
      <c r="C31" s="33"/>
      <c r="D31" s="140"/>
      <c r="E31" s="43"/>
      <c r="F31" s="140"/>
      <c r="G31" s="13"/>
      <c r="I31" s="111"/>
      <c r="J31" s="27"/>
      <c r="K31" s="27"/>
      <c r="L31" s="43"/>
      <c r="M31" s="27"/>
      <c r="N31" s="27"/>
    </row>
    <row r="32" spans="1:16" x14ac:dyDescent="0.2">
      <c r="A32" s="137"/>
      <c r="B32" s="147"/>
      <c r="C32" s="42"/>
      <c r="D32" s="156"/>
      <c r="E32" s="49"/>
      <c r="F32" s="156"/>
      <c r="G32" s="22"/>
      <c r="I32" s="114"/>
      <c r="J32" s="27"/>
      <c r="K32" s="27"/>
      <c r="L32" s="49"/>
      <c r="M32" s="27"/>
      <c r="N32" s="27"/>
    </row>
    <row r="33" spans="1:14" x14ac:dyDescent="0.2">
      <c r="A33" s="18" t="s">
        <v>51</v>
      </c>
      <c r="B33" s="35"/>
      <c r="C33" s="33">
        <f>J33</f>
        <v>433.92500000000001</v>
      </c>
      <c r="D33" s="12"/>
      <c r="E33" s="17">
        <f>M33</f>
        <v>492.7</v>
      </c>
      <c r="F33" s="115" t="s">
        <v>92</v>
      </c>
      <c r="G33" s="13">
        <f>E33-C33</f>
        <v>58.774999999999977</v>
      </c>
      <c r="I33" s="106"/>
      <c r="J33" s="27">
        <f>SUM(J26:J32)</f>
        <v>433.92500000000001</v>
      </c>
      <c r="K33" s="27"/>
      <c r="L33" s="13"/>
      <c r="M33" s="27">
        <f>SUM(M26:M32)</f>
        <v>492.7</v>
      </c>
      <c r="N33" s="27"/>
    </row>
    <row r="34" spans="1:14" x14ac:dyDescent="0.2">
      <c r="A34" s="8" t="s">
        <v>18</v>
      </c>
      <c r="B34" s="9"/>
      <c r="C34" s="10">
        <f>SUM(C7+C16+C25)</f>
        <v>11449.5</v>
      </c>
      <c r="D34" s="9"/>
      <c r="E34" s="10">
        <f>SUM(E7+E16+E25)</f>
        <v>17623.199999999997</v>
      </c>
      <c r="F34" s="23" t="s">
        <v>40</v>
      </c>
      <c r="G34" s="10">
        <f>G7+G16+G25</f>
        <v>6173.7000000000007</v>
      </c>
      <c r="I34" s="28">
        <f>SUM(I7+I16+I25)</f>
        <v>11449.5</v>
      </c>
      <c r="J34" s="29">
        <f>SUM(J15+J24+J33)</f>
        <v>1144.95</v>
      </c>
      <c r="K34" s="29">
        <f>SUM(K15+K24+K33)</f>
        <v>0</v>
      </c>
      <c r="L34" s="10">
        <f>SUM(L7+L16+L25)</f>
        <v>14686</v>
      </c>
      <c r="M34" s="29">
        <f>SUM(M15+M24+M33)</f>
        <v>1468.6</v>
      </c>
      <c r="N34" s="29">
        <f>SUM(N15+N24+N33)</f>
        <v>0</v>
      </c>
    </row>
    <row r="35" spans="1:14" ht="7.5" customHeight="1" x14ac:dyDescent="0.2">
      <c r="I35" s="27"/>
      <c r="J35" s="27"/>
      <c r="K35" s="27"/>
      <c r="M35" s="27"/>
      <c r="N35" s="27"/>
    </row>
    <row r="36" spans="1:14" x14ac:dyDescent="0.2">
      <c r="A36" s="52" t="s">
        <v>17</v>
      </c>
      <c r="I36" s="27">
        <v>11450</v>
      </c>
      <c r="J36" s="27"/>
      <c r="K36" s="27"/>
      <c r="M36" s="27"/>
      <c r="N36" s="27"/>
    </row>
    <row r="37" spans="1:14" ht="25.5" customHeight="1" x14ac:dyDescent="0.2">
      <c r="A37" s="50" t="s">
        <v>45</v>
      </c>
      <c r="B37" s="132" t="s">
        <v>102</v>
      </c>
      <c r="C37" s="132"/>
      <c r="D37" s="132"/>
      <c r="E37" s="132"/>
      <c r="F37" s="132"/>
      <c r="G37" s="132"/>
      <c r="I37" s="27"/>
      <c r="J37" s="27"/>
      <c r="K37" s="27"/>
      <c r="M37" s="27"/>
      <c r="N37" s="27"/>
    </row>
    <row r="38" spans="1:14" x14ac:dyDescent="0.2">
      <c r="A38" s="51"/>
      <c r="B38" s="133" t="s">
        <v>90</v>
      </c>
      <c r="C38" s="133"/>
      <c r="D38" s="133"/>
      <c r="E38" s="133"/>
      <c r="F38" s="133"/>
      <c r="G38" s="133"/>
    </row>
  </sheetData>
  <mergeCells count="33">
    <mergeCell ref="F28:F29"/>
    <mergeCell ref="F30:F32"/>
    <mergeCell ref="D30:D32"/>
    <mergeCell ref="D26:D27"/>
    <mergeCell ref="F2:G2"/>
    <mergeCell ref="B4:C4"/>
    <mergeCell ref="D4:E4"/>
    <mergeCell ref="B22:B23"/>
    <mergeCell ref="D22:D23"/>
    <mergeCell ref="F22:F23"/>
    <mergeCell ref="B17:B19"/>
    <mergeCell ref="B20:B21"/>
    <mergeCell ref="D8:D10"/>
    <mergeCell ref="B8:B10"/>
    <mergeCell ref="F20:F21"/>
    <mergeCell ref="F8:F10"/>
    <mergeCell ref="F17:F19"/>
    <mergeCell ref="L2:N2"/>
    <mergeCell ref="B37:G37"/>
    <mergeCell ref="B38:G38"/>
    <mergeCell ref="A26:A27"/>
    <mergeCell ref="A28:A29"/>
    <mergeCell ref="A30:A32"/>
    <mergeCell ref="A18:A19"/>
    <mergeCell ref="F26:F27"/>
    <mergeCell ref="I3:K3"/>
    <mergeCell ref="L3:N3"/>
    <mergeCell ref="B26:B27"/>
    <mergeCell ref="B28:B29"/>
    <mergeCell ref="B30:B32"/>
    <mergeCell ref="D20:D21"/>
    <mergeCell ref="D17:D19"/>
    <mergeCell ref="D28:D29"/>
  </mergeCells>
  <pageMargins left="0.70866141732283472" right="0.70866141732283472" top="0.78740157480314965" bottom="0.59055118110236227" header="0.31496062992125984" footer="0.31496062992125984"/>
  <pageSetup paperSize="9" scale="85" fitToHeight="0" orientation="landscape" r:id="rId1"/>
  <headerFooter>
    <oddFooter>&amp;LINGE EPSI / JS + AeBo
&amp;Z&amp;F&amp;R&amp;D</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MK-AP</vt:lpstr>
      <vt:lpstr>MP-DP</vt:lpstr>
      <vt:lpstr>'MK-AP'!Druckbereich</vt:lpstr>
      <vt:lpstr>'MP-DP'!Druckbereich</vt:lpstr>
    </vt:vector>
  </TitlesOfParts>
  <Company>Aegerter &amp; Bosshardt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Schädler Beat</dc:creator>
  <cp:lastModifiedBy>Schädler Beat</cp:lastModifiedBy>
  <cp:lastPrinted>2015-05-04T05:42:00Z</cp:lastPrinted>
  <dcterms:created xsi:type="dcterms:W3CDTF">2015-04-17T15:32:41Z</dcterms:created>
  <dcterms:modified xsi:type="dcterms:W3CDTF">2015-05-04T05:42:58Z</dcterms:modified>
</cp:coreProperties>
</file>