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"/>
    </mc:Choice>
  </mc:AlternateContent>
  <bookViews>
    <workbookView xWindow="0" yWindow="0" windowWidth="28800" windowHeight="13635"/>
  </bookViews>
  <sheets>
    <sheet name="Tabelle1" sheetId="1" r:id="rId1"/>
  </sheets>
  <externalReferences>
    <externalReference r:id="rId2"/>
  </externalReferences>
  <definedNames>
    <definedName name="_xlnm.Print_Area" localSheetId="0">Tabelle1!$A$1:$U$31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10" i="1"/>
  <c r="R9" i="1"/>
  <c r="R8" i="1"/>
  <c r="R10" i="1"/>
  <c r="S8" i="1"/>
  <c r="I11" i="1" l="1"/>
  <c r="I10" i="1"/>
  <c r="K9" i="1"/>
  <c r="M9" i="1"/>
  <c r="I9" i="1"/>
  <c r="D9" i="1"/>
  <c r="I8" i="1"/>
  <c r="D8" i="1"/>
  <c r="O10" i="1"/>
  <c r="O8" i="1"/>
  <c r="G9" i="1"/>
  <c r="O9" i="1"/>
  <c r="AB10" i="1" l="1"/>
  <c r="AB8" i="1"/>
  <c r="Y11" i="1"/>
  <c r="Y10" i="1"/>
  <c r="Y9" i="1"/>
  <c r="Y8" i="1"/>
  <c r="X11" i="1"/>
  <c r="X10" i="1"/>
  <c r="X9" i="1"/>
  <c r="X8" i="1"/>
  <c r="S30" i="1" l="1"/>
  <c r="D27" i="1"/>
  <c r="F27" i="1" l="1"/>
  <c r="F29" i="1" s="1"/>
  <c r="G27" i="1"/>
  <c r="I27" i="1"/>
  <c r="K27" i="1"/>
  <c r="M27" i="1"/>
  <c r="M29" i="1" s="1"/>
  <c r="O27" i="1"/>
  <c r="Q19" i="1"/>
  <c r="S19" i="1" s="1"/>
  <c r="Q27" i="1" l="1"/>
  <c r="Q29" i="1" s="1"/>
  <c r="K29" i="1"/>
  <c r="R27" i="1"/>
  <c r="R29" i="1" s="1"/>
  <c r="S29" i="1" l="1"/>
  <c r="S31" i="1" s="1"/>
  <c r="B25" i="1"/>
  <c r="B27" i="1" s="1"/>
  <c r="S27" i="1" s="1"/>
  <c r="S24" i="1"/>
  <c r="S23" i="1"/>
  <c r="S18" i="1"/>
  <c r="S22" i="1"/>
  <c r="S20" i="1"/>
  <c r="S21" i="1" l="1"/>
  <c r="D12" i="1"/>
  <c r="G12" i="1"/>
  <c r="I12" i="1"/>
  <c r="K12" i="1"/>
  <c r="M12" i="1"/>
  <c r="O12" i="1"/>
  <c r="B12" i="1"/>
  <c r="H11" i="1" l="1"/>
  <c r="H8" i="1"/>
  <c r="H10" i="1"/>
  <c r="H9" i="1"/>
  <c r="C9" i="1"/>
  <c r="C11" i="1"/>
  <c r="C8" i="1"/>
  <c r="C10" i="1"/>
  <c r="N11" i="1"/>
  <c r="N8" i="1"/>
  <c r="N10" i="1"/>
  <c r="N9" i="1"/>
  <c r="L11" i="1"/>
  <c r="L8" i="1"/>
  <c r="L10" i="1"/>
  <c r="L9" i="1"/>
  <c r="P9" i="1"/>
  <c r="P8" i="1"/>
  <c r="P11" i="1"/>
  <c r="P10" i="1"/>
  <c r="J10" i="1"/>
  <c r="J9" i="1"/>
  <c r="J8" i="1"/>
  <c r="J11" i="1"/>
  <c r="E11" i="1"/>
  <c r="E10" i="1"/>
  <c r="E9" i="1"/>
  <c r="E8" i="1"/>
  <c r="S11" i="1" l="1"/>
  <c r="S10" i="1"/>
  <c r="S9" i="1"/>
  <c r="S12" i="1" l="1"/>
  <c r="T8" i="1" s="1"/>
  <c r="T9" i="1"/>
  <c r="AD12" i="1"/>
</calcChain>
</file>

<file path=xl/sharedStrings.xml><?xml version="1.0" encoding="utf-8"?>
<sst xmlns="http://schemas.openxmlformats.org/spreadsheetml/2006/main" count="47" uniqueCount="30">
  <si>
    <t>EK</t>
  </si>
  <si>
    <t>MK</t>
  </si>
  <si>
    <t>GHGW</t>
  </si>
  <si>
    <t>Installationen</t>
  </si>
  <si>
    <t>Bypass</t>
  </si>
  <si>
    <t>Option Lärm</t>
  </si>
  <si>
    <t>Option SABA</t>
  </si>
  <si>
    <t>Aegerter &amp; Bosshardt</t>
  </si>
  <si>
    <t>Jauslin Stebler</t>
  </si>
  <si>
    <t>Leipert</t>
  </si>
  <si>
    <t>Holinger</t>
  </si>
  <si>
    <t>N03 Erhaltungsprojekt Rheinfelden - Frick</t>
  </si>
  <si>
    <t>Total</t>
  </si>
  <si>
    <t>Beträge exkl. MwSt.</t>
  </si>
  <si>
    <t>EK inkl. NO1, NO2 , NO3</t>
  </si>
  <si>
    <t>Vertrag</t>
  </si>
  <si>
    <t>PGV</t>
  </si>
  <si>
    <t>Zuschläge Nacht</t>
  </si>
  <si>
    <t>Reserve</t>
  </si>
  <si>
    <t>Nebenkosten</t>
  </si>
  <si>
    <t>NO2</t>
  </si>
  <si>
    <t>Total Nachträge</t>
  </si>
  <si>
    <t>Vertragsstand</t>
  </si>
  <si>
    <t>NO1 inkl. NK</t>
  </si>
  <si>
    <t>NO3 inkl. NK</t>
  </si>
  <si>
    <t>Vertragstotal</t>
  </si>
  <si>
    <t>NK für Digitalisierung</t>
  </si>
  <si>
    <t>Bedarf ab 05/2022 bis Projektende</t>
  </si>
  <si>
    <t>Bedarf angemeldet per 05/2022</t>
  </si>
  <si>
    <t>Kostenzusammenstellung per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</si>
</sst>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4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" fontId="0" fillId="0" borderId="1" xfId="0" applyNumberFormat="1" applyFill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3" xfId="0" applyFill="1" applyBorder="1" applyAlignment="1">
      <alignment vertical="center"/>
    </xf>
    <xf numFmtId="4" fontId="0" fillId="0" borderId="3" xfId="0" applyNumberFormat="1" applyFill="1" applyBorder="1" applyAlignment="1">
      <alignment vertical="center"/>
    </xf>
    <xf numFmtId="4" fontId="0" fillId="0" borderId="3" xfId="0" applyNumberFormat="1" applyBorder="1"/>
    <xf numFmtId="0" fontId="0" fillId="0" borderId="4" xfId="0" applyFill="1" applyBorder="1" applyAlignment="1">
      <alignment vertical="center"/>
    </xf>
    <xf numFmtId="4" fontId="0" fillId="0" borderId="4" xfId="0" applyNumberFormat="1" applyFill="1" applyBorder="1" applyAlignment="1">
      <alignment vertical="center"/>
    </xf>
    <xf numFmtId="4" fontId="0" fillId="0" borderId="4" xfId="0" applyNumberFormat="1" applyBorder="1"/>
    <xf numFmtId="0" fontId="0" fillId="0" borderId="2" xfId="0" applyFill="1" applyBorder="1" applyAlignment="1">
      <alignment vertical="center"/>
    </xf>
    <xf numFmtId="4" fontId="0" fillId="0" borderId="2" xfId="0" applyNumberFormat="1" applyFill="1" applyBorder="1" applyAlignment="1">
      <alignment vertical="center"/>
    </xf>
    <xf numFmtId="4" fontId="0" fillId="0" borderId="2" xfId="0" applyNumberForma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" fontId="1" fillId="0" borderId="1" xfId="0" applyNumberFormat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" fontId="0" fillId="0" borderId="1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4" fontId="0" fillId="0" borderId="7" xfId="0" applyNumberFormat="1" applyFill="1" applyBorder="1" applyAlignment="1">
      <alignment vertical="center"/>
    </xf>
    <xf numFmtId="4" fontId="0" fillId="0" borderId="5" xfId="0" applyNumberForma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4" fontId="4" fillId="0" borderId="0" xfId="0" applyNumberFormat="1" applyFont="1" applyFill="1"/>
    <xf numFmtId="0" fontId="0" fillId="2" borderId="0" xfId="0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3" fontId="0" fillId="3" borderId="0" xfId="0" applyNumberFormat="1" applyFill="1" applyBorder="1"/>
    <xf numFmtId="3" fontId="0" fillId="0" borderId="0" xfId="0" applyNumberFormat="1" applyBorder="1"/>
    <xf numFmtId="3" fontId="0" fillId="2" borderId="0" xfId="0" applyNumberFormat="1" applyFill="1" applyBorder="1"/>
    <xf numFmtId="3" fontId="0" fillId="4" borderId="0" xfId="0" applyNumberFormat="1" applyFill="1" applyBorder="1"/>
    <xf numFmtId="0" fontId="1" fillId="5" borderId="1" xfId="0" applyFont="1" applyFill="1" applyBorder="1" applyAlignment="1">
      <alignment horizontal="center" wrapText="1"/>
    </xf>
    <xf numFmtId="4" fontId="0" fillId="5" borderId="1" xfId="0" applyNumberFormat="1" applyFill="1" applyBorder="1" applyAlignment="1">
      <alignment vertical="center"/>
    </xf>
    <xf numFmtId="3" fontId="6" fillId="5" borderId="0" xfId="0" applyNumberFormat="1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3" fontId="0" fillId="6" borderId="0" xfId="0" applyNumberFormat="1" applyFill="1" applyBorder="1"/>
    <xf numFmtId="0" fontId="0" fillId="7" borderId="1" xfId="0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4" fontId="0" fillId="7" borderId="1" xfId="0" applyNumberFormat="1" applyFill="1" applyBorder="1" applyAlignment="1">
      <alignment vertical="center"/>
    </xf>
    <xf numFmtId="9" fontId="0" fillId="7" borderId="1" xfId="1" applyFont="1" applyFill="1" applyBorder="1" applyAlignment="1">
      <alignment vertical="center"/>
    </xf>
    <xf numFmtId="0" fontId="1" fillId="7" borderId="1" xfId="0" applyFont="1" applyFill="1" applyBorder="1"/>
    <xf numFmtId="4" fontId="1" fillId="7" borderId="1" xfId="0" applyNumberFormat="1" applyFont="1" applyFill="1" applyBorder="1"/>
    <xf numFmtId="4" fontId="0" fillId="0" borderId="0" xfId="0" applyNumberFormat="1" applyFill="1" applyAlignment="1">
      <alignment vertical="center"/>
    </xf>
    <xf numFmtId="4" fontId="0" fillId="0" borderId="0" xfId="0" applyNumberFormat="1" applyAlignment="1">
      <alignment vertical="center"/>
    </xf>
    <xf numFmtId="9" fontId="0" fillId="0" borderId="0" xfId="1" applyFont="1" applyFill="1" applyBorder="1" applyAlignment="1">
      <alignment vertical="center"/>
    </xf>
    <xf numFmtId="10" fontId="0" fillId="7" borderId="1" xfId="1" applyNumberFormat="1" applyFont="1" applyFill="1" applyBorder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430_090069_Kostenzusammenstellung_IG%20EP%20RH%20BB_9890_P120_M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D8">
            <v>631489.25</v>
          </cell>
          <cell r="I8">
            <v>389073.5</v>
          </cell>
          <cell r="O8">
            <v>4179.25</v>
          </cell>
        </row>
        <row r="9">
          <cell r="D9">
            <v>633118.25</v>
          </cell>
          <cell r="I9">
            <v>19786.75</v>
          </cell>
        </row>
        <row r="10">
          <cell r="D10">
            <v>51093</v>
          </cell>
          <cell r="I10">
            <v>31188.5</v>
          </cell>
          <cell r="O10">
            <v>18955.5</v>
          </cell>
        </row>
        <row r="11">
          <cell r="D11">
            <v>17515.75</v>
          </cell>
          <cell r="I11">
            <v>134627.25</v>
          </cell>
        </row>
        <row r="12">
          <cell r="S12">
            <v>3536969.2500000005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2"/>
  <sheetViews>
    <sheetView tabSelected="1" zoomScale="90" zoomScaleNormal="90" workbookViewId="0">
      <selection activeCell="T8" sqref="T8:T11"/>
    </sheetView>
  </sheetViews>
  <sheetFormatPr baseColWidth="10" defaultRowHeight="12.75" x14ac:dyDescent="0.2"/>
  <cols>
    <col min="1" max="1" width="32.7109375" customWidth="1"/>
    <col min="2" max="2" width="13.42578125" customWidth="1"/>
    <col min="3" max="3" width="6.42578125" customWidth="1"/>
    <col min="4" max="4" width="13.42578125" customWidth="1"/>
    <col min="5" max="5" width="6.42578125" customWidth="1"/>
    <col min="6" max="7" width="13.42578125" customWidth="1"/>
    <col min="8" max="8" width="6.28515625" customWidth="1"/>
    <col min="9" max="9" width="13.42578125" customWidth="1"/>
    <col min="10" max="10" width="6.28515625" customWidth="1"/>
    <col min="11" max="11" width="13.42578125" customWidth="1"/>
    <col min="12" max="12" width="6.28515625" customWidth="1"/>
    <col min="13" max="13" width="13.42578125" customWidth="1"/>
    <col min="14" max="14" width="6.28515625" customWidth="1"/>
    <col min="15" max="15" width="13.42578125" customWidth="1"/>
    <col min="16" max="16" width="6.28515625" customWidth="1"/>
    <col min="17" max="19" width="13.42578125" customWidth="1"/>
  </cols>
  <sheetData>
    <row r="1" spans="1:30" ht="15.75" x14ac:dyDescent="0.25">
      <c r="A1" s="1" t="s">
        <v>11</v>
      </c>
    </row>
    <row r="4" spans="1:30" ht="18" x14ac:dyDescent="0.25">
      <c r="A4" s="2" t="s">
        <v>29</v>
      </c>
    </row>
    <row r="5" spans="1:30" ht="16.5" customHeight="1" x14ac:dyDescent="0.2"/>
    <row r="7" spans="1:30" ht="28.5" customHeight="1" x14ac:dyDescent="0.2">
      <c r="A7" s="48"/>
      <c r="B7" s="49" t="s">
        <v>14</v>
      </c>
      <c r="C7" s="49"/>
      <c r="D7" s="50" t="s">
        <v>1</v>
      </c>
      <c r="E7" s="50"/>
      <c r="F7" s="50" t="s">
        <v>16</v>
      </c>
      <c r="G7" s="50" t="s">
        <v>5</v>
      </c>
      <c r="H7" s="50"/>
      <c r="I7" s="50" t="s">
        <v>6</v>
      </c>
      <c r="J7" s="50"/>
      <c r="K7" s="50" t="s">
        <v>3</v>
      </c>
      <c r="L7" s="50"/>
      <c r="M7" s="50" t="s">
        <v>4</v>
      </c>
      <c r="N7" s="50"/>
      <c r="O7" s="50" t="s">
        <v>2</v>
      </c>
      <c r="P7" s="50"/>
      <c r="Q7" s="50" t="s">
        <v>18</v>
      </c>
      <c r="R7" s="50" t="s">
        <v>19</v>
      </c>
      <c r="S7" s="50" t="s">
        <v>12</v>
      </c>
      <c r="T7" s="32"/>
      <c r="U7" s="32"/>
      <c r="V7" s="32"/>
      <c r="W7" s="32"/>
      <c r="X7" s="50" t="s">
        <v>1</v>
      </c>
      <c r="Y7" s="50" t="s">
        <v>6</v>
      </c>
      <c r="Z7" s="50" t="s">
        <v>3</v>
      </c>
      <c r="AA7" s="50" t="s">
        <v>4</v>
      </c>
      <c r="AB7" s="50" t="s">
        <v>2</v>
      </c>
    </row>
    <row r="8" spans="1:30" s="6" customFormat="1" ht="35.25" customHeight="1" x14ac:dyDescent="0.2">
      <c r="A8" s="51" t="s">
        <v>7</v>
      </c>
      <c r="B8" s="52">
        <v>780898.75</v>
      </c>
      <c r="C8" s="53">
        <f>B8/B$12</f>
        <v>0.56733839475452708</v>
      </c>
      <c r="D8" s="52">
        <f>621457+4354.25+2684+1011.5+1982.5+8844.5+7846+17855+2725.5+6948.75+3407.5</f>
        <v>679116.5</v>
      </c>
      <c r="E8" s="53">
        <f>D8/D$12</f>
        <v>0.48292694547417209</v>
      </c>
      <c r="F8" s="52"/>
      <c r="G8" s="52"/>
      <c r="H8" s="53">
        <f>G8/G$12</f>
        <v>0</v>
      </c>
      <c r="I8" s="52">
        <f>369690.75+9549.25+9833.5+26798.25+46769.25+19451+5222.75+61+2620.75</f>
        <v>489996.5</v>
      </c>
      <c r="J8" s="53">
        <f>I8/I$12</f>
        <v>0.67016545682701745</v>
      </c>
      <c r="K8" s="52"/>
      <c r="L8" s="53">
        <f>K8/K$12</f>
        <v>0</v>
      </c>
      <c r="M8" s="52"/>
      <c r="N8" s="53">
        <f>M8/M$12</f>
        <v>0</v>
      </c>
      <c r="O8" s="52">
        <f>4179.25+86</f>
        <v>4265.25</v>
      </c>
      <c r="P8" s="53">
        <f>O8/O$12</f>
        <v>4.7152759352613427E-2</v>
      </c>
      <c r="Q8" s="52"/>
      <c r="R8" s="52">
        <f>1500+31758+2060-860-860+4134.56+3442.2</f>
        <v>41174.759999999995</v>
      </c>
      <c r="S8" s="52">
        <f>SUM(B8:R8)</f>
        <v>1995453.5275835562</v>
      </c>
      <c r="T8" s="59">
        <f>S8/S$12</f>
        <v>0.52430327821028677</v>
      </c>
      <c r="U8" s="58"/>
      <c r="V8" s="33" t="s">
        <v>26</v>
      </c>
      <c r="W8" s="33"/>
      <c r="X8" s="56">
        <f>D8-[1]Tabelle1!$D$8</f>
        <v>47627.25</v>
      </c>
      <c r="Y8" s="57">
        <f>I8-[1]Tabelle1!$I$8</f>
        <v>100923</v>
      </c>
      <c r="Z8" s="6">
        <v>0</v>
      </c>
      <c r="AA8" s="6">
        <v>0</v>
      </c>
      <c r="AB8" s="57">
        <f>O8-[1]Tabelle1!$O$8</f>
        <v>86</v>
      </c>
    </row>
    <row r="9" spans="1:30" s="6" customFormat="1" ht="35.25" customHeight="1" x14ac:dyDescent="0.2">
      <c r="A9" s="51" t="s">
        <v>8</v>
      </c>
      <c r="B9" s="52">
        <v>519585</v>
      </c>
      <c r="C9" s="53">
        <f t="shared" ref="C9:C11" si="0">B9/B$12</f>
        <v>0.37748878435076377</v>
      </c>
      <c r="D9" s="52">
        <f>631441+1021.25+656+1493+4972+10426.5+3632.5+3985.5+898</f>
        <v>658525.75</v>
      </c>
      <c r="E9" s="53">
        <f t="shared" ref="E9" si="1">D9/D$12</f>
        <v>0.46828464477536369</v>
      </c>
      <c r="F9" s="52"/>
      <c r="G9" s="52">
        <f>79011+95+5149.25+142.5+155</f>
        <v>84552.75</v>
      </c>
      <c r="H9" s="53">
        <f t="shared" ref="H9:H11" si="2">G9/G$12</f>
        <v>1</v>
      </c>
      <c r="I9" s="52">
        <f>18005.5+1496.25+285+213.75+1589.5+2082.25+1140+16</f>
        <v>24828.25</v>
      </c>
      <c r="J9" s="53">
        <f t="shared" ref="J9:J11" si="3">I9/I$12</f>
        <v>3.395745786646516E-2</v>
      </c>
      <c r="K9" s="52">
        <f>31117+683.75+1231.5+1707.25+1664.25</f>
        <v>36403.75</v>
      </c>
      <c r="L9" s="53">
        <f t="shared" ref="L9:L11" si="4">K9/K$12</f>
        <v>1</v>
      </c>
      <c r="M9" s="52">
        <f>34651+285+1532+665+15</f>
        <v>37148</v>
      </c>
      <c r="N9" s="53">
        <f t="shared" ref="N9:N11" si="5">M9/M$12</f>
        <v>1</v>
      </c>
      <c r="O9" s="52">
        <f>51133.25</f>
        <v>51133.25</v>
      </c>
      <c r="P9" s="53">
        <f t="shared" ref="P9:P11" si="6">O9/O$12</f>
        <v>0.56528312107543999</v>
      </c>
      <c r="Q9" s="52"/>
      <c r="R9" s="52">
        <f>1407+158+115.74</f>
        <v>1680.74</v>
      </c>
      <c r="S9" s="52">
        <f t="shared" ref="S9:S11" si="7">SUM(B9:R9)</f>
        <v>1413861.9350140083</v>
      </c>
      <c r="T9" s="59">
        <f t="shared" ref="T9:T11" si="8">S9/S$12</f>
        <v>0.37149070986497507</v>
      </c>
      <c r="U9" s="58"/>
      <c r="V9" s="33"/>
      <c r="W9" s="33"/>
      <c r="X9" s="56">
        <f>D9-[1]Tabelle1!$D$9</f>
        <v>25407.5</v>
      </c>
      <c r="Y9" s="57">
        <f>I9-[1]Tabelle1!$I$9</f>
        <v>5041.5</v>
      </c>
      <c r="Z9" s="6">
        <v>0</v>
      </c>
      <c r="AA9" s="6">
        <v>0</v>
      </c>
      <c r="AB9" s="6">
        <v>0</v>
      </c>
    </row>
    <row r="10" spans="1:30" s="6" customFormat="1" ht="35.25" customHeight="1" x14ac:dyDescent="0.2">
      <c r="A10" s="51" t="s">
        <v>9</v>
      </c>
      <c r="B10" s="52">
        <v>50808</v>
      </c>
      <c r="C10" s="53">
        <f t="shared" si="0"/>
        <v>3.6913017418311933E-2</v>
      </c>
      <c r="D10" s="52">
        <v>51093</v>
      </c>
      <c r="E10" s="53">
        <f t="shared" ref="E10" si="9">D10/D$12</f>
        <v>3.6332774163360594E-2</v>
      </c>
      <c r="F10" s="52"/>
      <c r="G10" s="52"/>
      <c r="H10" s="53">
        <f t="shared" si="2"/>
        <v>0</v>
      </c>
      <c r="I10" s="52">
        <f>31066.5+122+1464+6047+8587+183+1464+1650</f>
        <v>50583.5</v>
      </c>
      <c r="J10" s="53">
        <f t="shared" si="3"/>
        <v>6.9182768418569185E-2</v>
      </c>
      <c r="K10" s="52"/>
      <c r="L10" s="53">
        <f t="shared" si="4"/>
        <v>0</v>
      </c>
      <c r="M10" s="52"/>
      <c r="N10" s="53">
        <f t="shared" si="5"/>
        <v>0</v>
      </c>
      <c r="O10" s="52">
        <f>17613.5+1342+1647+793+12503+122+1037</f>
        <v>35057.5</v>
      </c>
      <c r="P10" s="53">
        <f t="shared" si="6"/>
        <v>0.38756411957194659</v>
      </c>
      <c r="Q10" s="52"/>
      <c r="R10" s="52">
        <f>658.15</f>
        <v>658.15</v>
      </c>
      <c r="S10" s="52">
        <f t="shared" si="7"/>
        <v>188200.67999267956</v>
      </c>
      <c r="T10" s="59">
        <f>S10/S$12</f>
        <v>4.9449527196486015E-2</v>
      </c>
      <c r="U10" s="58"/>
      <c r="V10" s="33"/>
      <c r="W10" s="33"/>
      <c r="X10" s="56">
        <f>D10-[1]Tabelle1!$D$10</f>
        <v>0</v>
      </c>
      <c r="Y10" s="57">
        <f>I10-[1]Tabelle1!$I$10</f>
        <v>19395</v>
      </c>
      <c r="Z10" s="6">
        <v>0</v>
      </c>
      <c r="AA10" s="6">
        <v>0</v>
      </c>
      <c r="AB10" s="57">
        <f>O10-[1]Tabelle1!$O$10</f>
        <v>16102</v>
      </c>
    </row>
    <row r="11" spans="1:30" s="6" customFormat="1" ht="35.25" customHeight="1" x14ac:dyDescent="0.2">
      <c r="A11" s="51" t="s">
        <v>10</v>
      </c>
      <c r="B11" s="52">
        <v>25133.25</v>
      </c>
      <c r="C11" s="53">
        <f t="shared" si="0"/>
        <v>1.8259803476397187E-2</v>
      </c>
      <c r="D11" s="52">
        <v>17515.75</v>
      </c>
      <c r="E11" s="53">
        <f t="shared" ref="E11" si="10">D11/D$12</f>
        <v>1.2455635587103582E-2</v>
      </c>
      <c r="F11" s="52"/>
      <c r="G11" s="52"/>
      <c r="H11" s="53">
        <f t="shared" si="2"/>
        <v>0</v>
      </c>
      <c r="I11" s="52">
        <f>124897.25+3070+6660+4467.5+12812+5629.5+1682+1015+5516</f>
        <v>165749.25</v>
      </c>
      <c r="J11" s="53">
        <f t="shared" si="3"/>
        <v>0.22669431688794822</v>
      </c>
      <c r="K11" s="52"/>
      <c r="L11" s="53">
        <f t="shared" si="4"/>
        <v>0</v>
      </c>
      <c r="M11" s="52"/>
      <c r="N11" s="53">
        <f t="shared" si="5"/>
        <v>0</v>
      </c>
      <c r="O11" s="52"/>
      <c r="P11" s="53">
        <f t="shared" si="6"/>
        <v>0</v>
      </c>
      <c r="Q11" s="52"/>
      <c r="R11" s="52"/>
      <c r="S11" s="52">
        <f t="shared" si="7"/>
        <v>208398.50740975596</v>
      </c>
      <c r="T11" s="59">
        <f>S11/S$12</f>
        <v>5.4756484728252099E-2</v>
      </c>
      <c r="U11" s="58"/>
      <c r="V11" s="34"/>
      <c r="W11" s="34"/>
      <c r="X11" s="56">
        <f>D11-[1]Tabelle1!$D$11</f>
        <v>0</v>
      </c>
      <c r="Y11" s="57">
        <f>I11-[1]Tabelle1!$I$11</f>
        <v>31122</v>
      </c>
      <c r="Z11" s="6">
        <v>0</v>
      </c>
      <c r="AA11" s="6">
        <v>0</v>
      </c>
      <c r="AB11" s="6">
        <v>0</v>
      </c>
    </row>
    <row r="12" spans="1:30" ht="27" customHeight="1" x14ac:dyDescent="0.2">
      <c r="A12" s="54" t="s">
        <v>12</v>
      </c>
      <c r="B12" s="55">
        <f>SUM(B8:B11)</f>
        <v>1376425</v>
      </c>
      <c r="C12" s="55"/>
      <c r="D12" s="55">
        <f t="shared" ref="D12:O12" si="11">SUM(D8:D11)</f>
        <v>1406251</v>
      </c>
      <c r="E12" s="55"/>
      <c r="F12" s="55"/>
      <c r="G12" s="55">
        <f t="shared" si="11"/>
        <v>84552.75</v>
      </c>
      <c r="H12" s="55"/>
      <c r="I12" s="55">
        <f t="shared" si="11"/>
        <v>731157.5</v>
      </c>
      <c r="J12" s="55"/>
      <c r="K12" s="55">
        <f t="shared" si="11"/>
        <v>36403.75</v>
      </c>
      <c r="L12" s="55"/>
      <c r="M12" s="55">
        <f t="shared" si="11"/>
        <v>37148</v>
      </c>
      <c r="N12" s="55"/>
      <c r="O12" s="55">
        <f t="shared" si="11"/>
        <v>90456</v>
      </c>
      <c r="P12" s="55"/>
      <c r="Q12" s="55"/>
      <c r="R12" s="55"/>
      <c r="S12" s="55">
        <f>SUM(S8:S11)</f>
        <v>3805914.6500000004</v>
      </c>
      <c r="T12" s="32"/>
      <c r="U12" s="32"/>
      <c r="V12" s="35"/>
      <c r="X12" s="32"/>
      <c r="AD12" s="36">
        <f>S12-[1]Tabelle1!$S$12</f>
        <v>268945.39999999991</v>
      </c>
    </row>
    <row r="13" spans="1:30" ht="27" customHeight="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30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30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30" ht="18" x14ac:dyDescent="0.2">
      <c r="A16" s="24" t="s">
        <v>22</v>
      </c>
    </row>
    <row r="17" spans="1:19" ht="28.5" customHeight="1" x14ac:dyDescent="0.2">
      <c r="A17" s="3"/>
      <c r="B17" s="43" t="s">
        <v>0</v>
      </c>
      <c r="C17" s="43"/>
      <c r="D17" s="38" t="s">
        <v>1</v>
      </c>
      <c r="E17" s="38"/>
      <c r="F17" s="4" t="s">
        <v>16</v>
      </c>
      <c r="G17" s="4" t="s">
        <v>5</v>
      </c>
      <c r="H17" s="4"/>
      <c r="I17" s="4" t="s">
        <v>6</v>
      </c>
      <c r="J17" s="4"/>
      <c r="K17" s="4" t="s">
        <v>3</v>
      </c>
      <c r="L17" s="4"/>
      <c r="M17" s="4" t="s">
        <v>4</v>
      </c>
      <c r="N17" s="4"/>
      <c r="O17" s="38" t="s">
        <v>2</v>
      </c>
      <c r="P17" s="38"/>
      <c r="Q17" s="4" t="s">
        <v>18</v>
      </c>
      <c r="R17" s="4" t="s">
        <v>19</v>
      </c>
      <c r="S17" s="4" t="s">
        <v>12</v>
      </c>
    </row>
    <row r="18" spans="1:19" ht="16.5" customHeight="1" x14ac:dyDescent="0.2">
      <c r="A18" s="9" t="s">
        <v>15</v>
      </c>
      <c r="B18" s="10">
        <v>1030475</v>
      </c>
      <c r="C18" s="10"/>
      <c r="D18" s="10">
        <v>1129675</v>
      </c>
      <c r="E18" s="10"/>
      <c r="F18" s="10">
        <v>92075</v>
      </c>
      <c r="G18" s="10">
        <v>136575</v>
      </c>
      <c r="H18" s="10"/>
      <c r="I18" s="10">
        <v>688725</v>
      </c>
      <c r="J18" s="10"/>
      <c r="K18" s="10"/>
      <c r="L18" s="10"/>
      <c r="M18" s="10"/>
      <c r="N18" s="10"/>
      <c r="O18" s="10"/>
      <c r="P18" s="10"/>
      <c r="Q18" s="10"/>
      <c r="R18" s="10">
        <v>39525</v>
      </c>
      <c r="S18" s="5">
        <f>SUM(B18:R18)</f>
        <v>3117050</v>
      </c>
    </row>
    <row r="19" spans="1:19" ht="16.5" customHeight="1" x14ac:dyDescent="0.2">
      <c r="A19" s="9" t="s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>
        <v>35085</v>
      </c>
      <c r="L19" s="10"/>
      <c r="M19" s="10">
        <v>44925</v>
      </c>
      <c r="N19" s="10"/>
      <c r="O19" s="10">
        <v>152200</v>
      </c>
      <c r="P19" s="10"/>
      <c r="Q19" s="10">
        <f>371784.94-K19-M19-O19</f>
        <v>139574.94</v>
      </c>
      <c r="R19" s="10"/>
      <c r="S19" s="5">
        <f>SUM(K19:R19)</f>
        <v>371784.94</v>
      </c>
    </row>
    <row r="20" spans="1:19" ht="16.5" customHeight="1" x14ac:dyDescent="0.2">
      <c r="A20" s="9" t="s">
        <v>17</v>
      </c>
      <c r="B20" s="10">
        <v>10171.879999999999</v>
      </c>
      <c r="C20" s="10"/>
      <c r="D20" s="10">
        <v>4068.75</v>
      </c>
      <c r="E20" s="10"/>
      <c r="F20" s="10">
        <v>0</v>
      </c>
      <c r="G20" s="10">
        <v>3729.69</v>
      </c>
      <c r="H20" s="10"/>
      <c r="I20" s="10">
        <v>2712.5</v>
      </c>
      <c r="J20" s="10"/>
      <c r="K20" s="10"/>
      <c r="L20" s="10"/>
      <c r="M20" s="10"/>
      <c r="N20" s="10"/>
      <c r="O20" s="10"/>
      <c r="P20" s="10"/>
      <c r="Q20" s="10"/>
      <c r="R20" s="10"/>
      <c r="S20" s="5">
        <f>SUM(B20:O20)</f>
        <v>20682.82</v>
      </c>
    </row>
    <row r="21" spans="1:19" ht="16.5" customHeight="1" x14ac:dyDescent="0.2">
      <c r="A21" s="2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0"/>
      <c r="S21" s="5">
        <f>SUM(S18:S20)</f>
        <v>3509517.76</v>
      </c>
    </row>
    <row r="22" spans="1:19" ht="16.5" customHeight="1" x14ac:dyDescent="0.2">
      <c r="A22" s="13" t="s">
        <v>23</v>
      </c>
      <c r="B22" s="14">
        <v>168793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>
        <f>SUM(B22:O22)</f>
        <v>168793</v>
      </c>
    </row>
    <row r="23" spans="1:19" ht="16.5" customHeight="1" x14ac:dyDescent="0.2">
      <c r="A23" s="19" t="s">
        <v>20</v>
      </c>
      <c r="B23" s="20">
        <v>69900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>
        <f>SUM(B23:O23)</f>
        <v>69900</v>
      </c>
    </row>
    <row r="24" spans="1:19" ht="16.5" customHeight="1" x14ac:dyDescent="0.2">
      <c r="A24" s="16" t="s">
        <v>24</v>
      </c>
      <c r="B24" s="17">
        <v>174843.35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8">
        <f>SUM(B24:O24)</f>
        <v>174843.35</v>
      </c>
    </row>
    <row r="25" spans="1:19" ht="19.5" customHeight="1" x14ac:dyDescent="0.2">
      <c r="A25" s="27" t="s">
        <v>21</v>
      </c>
      <c r="B25" s="28">
        <f>SUM(B22:B24)</f>
        <v>413536.35</v>
      </c>
      <c r="C25" s="28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5"/>
    </row>
    <row r="26" spans="1:19" ht="19.5" customHeight="1" x14ac:dyDescent="0.2">
      <c r="A26" s="9"/>
      <c r="B26" s="10"/>
      <c r="C26" s="10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5"/>
    </row>
    <row r="27" spans="1:19" ht="28.5" customHeight="1" x14ac:dyDescent="0.2">
      <c r="A27" s="25" t="s">
        <v>25</v>
      </c>
      <c r="B27" s="44">
        <f>B18+B20+B25+B19</f>
        <v>1454183.23</v>
      </c>
      <c r="C27" s="44"/>
      <c r="D27" s="10">
        <f>D18+D20+D25+D19</f>
        <v>1133743.75</v>
      </c>
      <c r="E27" s="10"/>
      <c r="F27" s="10">
        <f t="shared" ref="F27:Q27" si="12">F18+F20+F25+F19</f>
        <v>92075</v>
      </c>
      <c r="G27" s="10">
        <f t="shared" si="12"/>
        <v>140304.69</v>
      </c>
      <c r="H27" s="10"/>
      <c r="I27" s="10">
        <f t="shared" si="12"/>
        <v>691437.5</v>
      </c>
      <c r="J27" s="10"/>
      <c r="K27" s="10">
        <f t="shared" si="12"/>
        <v>35085</v>
      </c>
      <c r="L27" s="10"/>
      <c r="M27" s="10">
        <f t="shared" si="12"/>
        <v>44925</v>
      </c>
      <c r="N27" s="10"/>
      <c r="O27" s="10">
        <f t="shared" si="12"/>
        <v>152200</v>
      </c>
      <c r="P27" s="10"/>
      <c r="Q27" s="10">
        <f t="shared" si="12"/>
        <v>139574.94</v>
      </c>
      <c r="R27" s="10">
        <f t="shared" ref="R27" si="13">R18+R20+R25</f>
        <v>39525</v>
      </c>
      <c r="S27" s="26">
        <f>SUM(B27:R27)</f>
        <v>3923054.11</v>
      </c>
    </row>
    <row r="28" spans="1:19" ht="16.5" customHeight="1" x14ac:dyDescent="0.2">
      <c r="A28" s="7"/>
      <c r="B28" s="8"/>
      <c r="C28" s="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1:19" ht="16.5" customHeight="1" x14ac:dyDescent="0.2">
      <c r="A29" s="37" t="s">
        <v>28</v>
      </c>
      <c r="B29" s="45">
        <v>1424068</v>
      </c>
      <c r="C29" s="45"/>
      <c r="D29" s="39">
        <v>1376744</v>
      </c>
      <c r="E29" s="39"/>
      <c r="F29" s="41">
        <f>F27</f>
        <v>92075</v>
      </c>
      <c r="G29" s="41">
        <v>88266</v>
      </c>
      <c r="H29" s="41"/>
      <c r="I29" s="41">
        <v>973138</v>
      </c>
      <c r="J29" s="41"/>
      <c r="K29" s="41">
        <f t="shared" ref="K29:M29" si="14">K27</f>
        <v>35085</v>
      </c>
      <c r="L29" s="41"/>
      <c r="M29" s="41">
        <f t="shared" si="14"/>
        <v>44925</v>
      </c>
      <c r="N29" s="41"/>
      <c r="O29" s="42"/>
      <c r="P29" s="42"/>
      <c r="Q29" s="40">
        <f>Q27</f>
        <v>139574.94</v>
      </c>
      <c r="R29" s="40">
        <f>R27</f>
        <v>39525</v>
      </c>
      <c r="S29" s="12">
        <f>SUM(B29:R29)</f>
        <v>4213400.9399999995</v>
      </c>
    </row>
    <row r="30" spans="1:19" ht="16.5" customHeight="1" x14ac:dyDescent="0.2">
      <c r="A30" s="46" t="s">
        <v>27</v>
      </c>
      <c r="B30" s="45">
        <v>0</v>
      </c>
      <c r="C30" s="45"/>
      <c r="D30" s="39">
        <v>250000</v>
      </c>
      <c r="E30" s="39"/>
      <c r="F30" s="47">
        <v>0</v>
      </c>
      <c r="G30" s="47">
        <v>0</v>
      </c>
      <c r="H30" s="47"/>
      <c r="I30" s="47">
        <v>150000</v>
      </c>
      <c r="J30" s="47"/>
      <c r="K30" s="47"/>
      <c r="L30" s="47"/>
      <c r="M30" s="47"/>
      <c r="N30" s="47"/>
      <c r="O30" s="42"/>
      <c r="P30" s="42"/>
      <c r="Q30" s="40"/>
      <c r="R30" s="11"/>
      <c r="S30" s="12">
        <f>SUM(B30:R30)</f>
        <v>400000</v>
      </c>
    </row>
    <row r="31" spans="1:19" ht="16.5" customHeight="1" x14ac:dyDescent="0.2">
      <c r="A31" s="7"/>
      <c r="B31" s="8"/>
      <c r="C31" s="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>
        <f>SUM(S29:S30)</f>
        <v>4613400.9399999995</v>
      </c>
    </row>
    <row r="32" spans="1:19" x14ac:dyDescent="0.2">
      <c r="A32" t="s">
        <v>13</v>
      </c>
    </row>
  </sheetData>
  <pageMargins left="0.55118110236220474" right="0.15748031496062992" top="0.51181102362204722" bottom="0.55118110236220474" header="0.31496062992125984" footer="0.31496062992125984"/>
  <pageSetup paperSize="9" scale="57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Martin Noelle</cp:lastModifiedBy>
  <cp:lastPrinted>2023-01-13T13:01:58Z</cp:lastPrinted>
  <dcterms:created xsi:type="dcterms:W3CDTF">2022-05-03T12:13:56Z</dcterms:created>
  <dcterms:modified xsi:type="dcterms:W3CDTF">2023-01-13T14:48:22Z</dcterms:modified>
</cp:coreProperties>
</file>