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8800" windowHeight="13635" activeTab="7"/>
  </bookViews>
  <sheets>
    <sheet name="Tabelle1" sheetId="1" r:id="rId1"/>
    <sheet name="AeBo" sheetId="2" r:id="rId2"/>
    <sheet name="ohne PGV" sheetId="3" r:id="rId3"/>
    <sheet name="ohne PGV (2)" sheetId="6" r:id="rId4"/>
    <sheet name="ohne PGV (3)" sheetId="7" r:id="rId5"/>
    <sheet name="Tabelle1 (4)" sheetId="4" r:id="rId6"/>
    <sheet name="Tabelle1 (5)" sheetId="5" r:id="rId7"/>
    <sheet name="Kostenzusammenstellung30092023" sheetId="8" r:id="rId8"/>
  </sheets>
  <definedNames>
    <definedName name="_xlnm.Print_Area" localSheetId="1">AeBo!$A$1:$R$13</definedName>
    <definedName name="_xlnm.Print_Area" localSheetId="7">Kostenzusammenstellung30092023!$A$1:$U$30</definedName>
    <definedName name="_xlnm.Print_Area" localSheetId="2">'ohne PGV'!$A$1:$U$42</definedName>
    <definedName name="_xlnm.Print_Area" localSheetId="3">'ohne PGV (2)'!$A$1:$U$42</definedName>
    <definedName name="_xlnm.Print_Area" localSheetId="4">'ohne PGV (3)'!$A$1:$U$48</definedName>
    <definedName name="_xlnm.Print_Area" localSheetId="0">Tabelle1!$A$1:$V$29</definedName>
    <definedName name="_xlnm.Print_Area" localSheetId="5">'Tabelle1 (4)'!$A$1:$V$30</definedName>
    <definedName name="_xlnm.Print_Area" localSheetId="6">'Tabelle1 (5)'!$A$1:$V$30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8" l="1"/>
  <c r="T27" i="8" l="1"/>
  <c r="T23" i="8"/>
  <c r="T24" i="8"/>
  <c r="T22" i="8"/>
  <c r="T19" i="8"/>
  <c r="T18" i="8"/>
  <c r="R24" i="8"/>
  <c r="R23" i="8"/>
  <c r="R22" i="8"/>
  <c r="R20" i="8"/>
  <c r="R19" i="8"/>
  <c r="R18" i="8"/>
  <c r="S27" i="8"/>
  <c r="Q27" i="8"/>
  <c r="O27" i="8"/>
  <c r="M27" i="8"/>
  <c r="K27" i="8"/>
  <c r="I27" i="8"/>
  <c r="G27" i="8"/>
  <c r="F27" i="8"/>
  <c r="D27" i="8"/>
  <c r="B27" i="8"/>
  <c r="B25" i="8"/>
  <c r="T20" i="8"/>
  <c r="Q19" i="8"/>
  <c r="M12" i="8"/>
  <c r="N10" i="8" s="1"/>
  <c r="K12" i="8"/>
  <c r="L11" i="8" s="1"/>
  <c r="I12" i="8"/>
  <c r="J11" i="8" s="1"/>
  <c r="D12" i="8"/>
  <c r="E9" i="8" s="1"/>
  <c r="B12" i="8"/>
  <c r="R11" i="8"/>
  <c r="T11" i="8" s="1"/>
  <c r="N11" i="8"/>
  <c r="C11" i="8"/>
  <c r="W10" i="8"/>
  <c r="S10" i="8" s="1"/>
  <c r="O10" i="8"/>
  <c r="R10" i="8" s="1"/>
  <c r="T10" i="8" s="1"/>
  <c r="C10" i="8"/>
  <c r="X9" i="8"/>
  <c r="S9" i="8"/>
  <c r="O9" i="8"/>
  <c r="N9" i="8"/>
  <c r="L9" i="8"/>
  <c r="J9" i="8"/>
  <c r="G9" i="8"/>
  <c r="G12" i="8" s="1"/>
  <c r="C9" i="8"/>
  <c r="AB8" i="8"/>
  <c r="Y8" i="8"/>
  <c r="S8" i="8" s="1"/>
  <c r="S12" i="8" s="1"/>
  <c r="O8" i="8"/>
  <c r="O12" i="8" s="1"/>
  <c r="N8" i="8"/>
  <c r="C8" i="8"/>
  <c r="T21" i="8" l="1"/>
  <c r="H11" i="8"/>
  <c r="H8" i="8"/>
  <c r="H10" i="8"/>
  <c r="P9" i="8"/>
  <c r="P11" i="8"/>
  <c r="H9" i="8"/>
  <c r="R9" i="8"/>
  <c r="T9" i="8" s="1"/>
  <c r="E10" i="8"/>
  <c r="P10" i="8"/>
  <c r="E8" i="8"/>
  <c r="P8" i="8"/>
  <c r="E11" i="8"/>
  <c r="R8" i="8"/>
  <c r="J10" i="8"/>
  <c r="R27" i="8"/>
  <c r="J8" i="8"/>
  <c r="L10" i="8"/>
  <c r="L8" i="8"/>
  <c r="R17" i="7"/>
  <c r="R31" i="7"/>
  <c r="F14" i="7"/>
  <c r="R13" i="7"/>
  <c r="S30" i="7"/>
  <c r="O30" i="7"/>
  <c r="M30" i="7"/>
  <c r="K30" i="7"/>
  <c r="I30" i="7"/>
  <c r="G30" i="7"/>
  <c r="F30" i="7"/>
  <c r="D30" i="7"/>
  <c r="B28" i="7"/>
  <c r="B30" i="7" s="1"/>
  <c r="T27" i="7"/>
  <c r="T26" i="7"/>
  <c r="T25" i="7"/>
  <c r="T23" i="7"/>
  <c r="Q22" i="7"/>
  <c r="Q30" i="7" s="1"/>
  <c r="Q31" i="7" s="1"/>
  <c r="T21" i="7"/>
  <c r="M12" i="7"/>
  <c r="M14" i="7" s="1"/>
  <c r="M31" i="7" s="1"/>
  <c r="K12" i="7"/>
  <c r="K14" i="7" s="1"/>
  <c r="K31" i="7" s="1"/>
  <c r="I12" i="7"/>
  <c r="J9" i="7" s="1"/>
  <c r="D12" i="7"/>
  <c r="E11" i="7" s="1"/>
  <c r="B12" i="7"/>
  <c r="C9" i="7" s="1"/>
  <c r="R11" i="7"/>
  <c r="T11" i="7" s="1"/>
  <c r="N11" i="7"/>
  <c r="L11" i="7"/>
  <c r="J11" i="7"/>
  <c r="W10" i="7"/>
  <c r="S10" i="7" s="1"/>
  <c r="O10" i="7"/>
  <c r="R10" i="7" s="1"/>
  <c r="N10" i="7"/>
  <c r="X9" i="7"/>
  <c r="S9" i="7" s="1"/>
  <c r="O9" i="7"/>
  <c r="N9" i="7"/>
  <c r="G9" i="7"/>
  <c r="G12" i="7" s="1"/>
  <c r="G14" i="7" s="1"/>
  <c r="AB8" i="7"/>
  <c r="AA8" i="7"/>
  <c r="Y8" i="7"/>
  <c r="O8" i="7"/>
  <c r="R8" i="7" s="1"/>
  <c r="N8" i="7"/>
  <c r="R48" i="6"/>
  <c r="R38" i="6"/>
  <c r="R27" i="6"/>
  <c r="R28" i="6"/>
  <c r="F27" i="6"/>
  <c r="F28" i="6" s="1"/>
  <c r="S27" i="6"/>
  <c r="O27" i="6"/>
  <c r="M27" i="6"/>
  <c r="M28" i="6" s="1"/>
  <c r="K27" i="6"/>
  <c r="I27" i="6"/>
  <c r="I28" i="6" s="1"/>
  <c r="G27" i="6"/>
  <c r="G28" i="6" s="1"/>
  <c r="D27" i="6"/>
  <c r="B25" i="6"/>
  <c r="B27" i="6" s="1"/>
  <c r="T24" i="6"/>
  <c r="T23" i="6"/>
  <c r="T22" i="6"/>
  <c r="T20" i="6"/>
  <c r="T19" i="6"/>
  <c r="Q19" i="6"/>
  <c r="Q27" i="6" s="1"/>
  <c r="Q28" i="6" s="1"/>
  <c r="T18" i="6"/>
  <c r="T21" i="6" s="1"/>
  <c r="M12" i="6"/>
  <c r="N10" i="6" s="1"/>
  <c r="K12" i="6"/>
  <c r="L11" i="6" s="1"/>
  <c r="I12" i="6"/>
  <c r="D12" i="6"/>
  <c r="E9" i="6" s="1"/>
  <c r="B12" i="6"/>
  <c r="T11" i="6"/>
  <c r="R11" i="6"/>
  <c r="J11" i="6"/>
  <c r="C11" i="6"/>
  <c r="W10" i="6"/>
  <c r="S10" i="6"/>
  <c r="O10" i="6"/>
  <c r="R10" i="6" s="1"/>
  <c r="T10" i="6" s="1"/>
  <c r="J10" i="6"/>
  <c r="C10" i="6"/>
  <c r="X9" i="6"/>
  <c r="S9" i="6" s="1"/>
  <c r="O9" i="6"/>
  <c r="N9" i="6"/>
  <c r="L9" i="6"/>
  <c r="J9" i="6"/>
  <c r="G9" i="6"/>
  <c r="G12" i="6" s="1"/>
  <c r="C9" i="6"/>
  <c r="AB8" i="6"/>
  <c r="S8" i="6" s="1"/>
  <c r="S12" i="6" s="1"/>
  <c r="AA8" i="6"/>
  <c r="Y8" i="6"/>
  <c r="R8" i="6"/>
  <c r="O8" i="6"/>
  <c r="O12" i="6" s="1"/>
  <c r="N8" i="6"/>
  <c r="J8" i="6"/>
  <c r="C8" i="6"/>
  <c r="T27" i="3"/>
  <c r="T18" i="3"/>
  <c r="R14" i="3"/>
  <c r="F29" i="4"/>
  <c r="R30" i="5"/>
  <c r="R32" i="5"/>
  <c r="R43" i="5"/>
  <c r="R49" i="5"/>
  <c r="R38" i="3"/>
  <c r="R40" i="3"/>
  <c r="R32" i="3"/>
  <c r="R34" i="3"/>
  <c r="B28" i="3"/>
  <c r="D28" i="3"/>
  <c r="G28" i="3"/>
  <c r="Q28" i="3"/>
  <c r="R29" i="1"/>
  <c r="R12" i="1"/>
  <c r="S28" i="5"/>
  <c r="Q28" i="5"/>
  <c r="Q29" i="5" s="1"/>
  <c r="O28" i="5"/>
  <c r="M28" i="5"/>
  <c r="M29" i="5" s="1"/>
  <c r="K28" i="5"/>
  <c r="K29" i="5" s="1"/>
  <c r="I28" i="5"/>
  <c r="I29" i="5" s="1"/>
  <c r="G28" i="5"/>
  <c r="F28" i="5"/>
  <c r="F29" i="5" s="1"/>
  <c r="D28" i="5"/>
  <c r="D29" i="5" s="1"/>
  <c r="B26" i="5"/>
  <c r="B28" i="5" s="1"/>
  <c r="T25" i="5"/>
  <c r="T24" i="5"/>
  <c r="T23" i="5"/>
  <c r="T21" i="5"/>
  <c r="Q20" i="5"/>
  <c r="T20" i="5" s="1"/>
  <c r="T22" i="5" s="1"/>
  <c r="T19" i="5"/>
  <c r="Q13" i="5"/>
  <c r="M13" i="5"/>
  <c r="N8" i="5" s="1"/>
  <c r="K13" i="5"/>
  <c r="L8" i="5" s="1"/>
  <c r="I13" i="5"/>
  <c r="D13" i="5"/>
  <c r="E11" i="5" s="1"/>
  <c r="B13" i="5"/>
  <c r="C11" i="5" s="1"/>
  <c r="R12" i="5"/>
  <c r="R11" i="5"/>
  <c r="T11" i="5" s="1"/>
  <c r="J11" i="5"/>
  <c r="W10" i="5"/>
  <c r="S10" i="5" s="1"/>
  <c r="O10" i="5"/>
  <c r="R10" i="5" s="1"/>
  <c r="T10" i="5" s="1"/>
  <c r="N10" i="5"/>
  <c r="L10" i="5"/>
  <c r="J10" i="5"/>
  <c r="E10" i="5"/>
  <c r="C10" i="5"/>
  <c r="X9" i="5"/>
  <c r="S9" i="5" s="1"/>
  <c r="O9" i="5"/>
  <c r="O13" i="5" s="1"/>
  <c r="P11" i="5" s="1"/>
  <c r="N9" i="5"/>
  <c r="J9" i="5"/>
  <c r="G9" i="5"/>
  <c r="G13" i="5" s="1"/>
  <c r="E9" i="5"/>
  <c r="C9" i="5"/>
  <c r="AB8" i="5"/>
  <c r="AA8" i="5"/>
  <c r="Y8" i="5"/>
  <c r="S8" i="5"/>
  <c r="O8" i="5"/>
  <c r="R8" i="5" s="1"/>
  <c r="J8" i="5"/>
  <c r="O14" i="4"/>
  <c r="R12" i="4"/>
  <c r="R13" i="4" s="1"/>
  <c r="Q13" i="4"/>
  <c r="B28" i="4"/>
  <c r="R28" i="4"/>
  <c r="F28" i="4"/>
  <c r="S28" i="4"/>
  <c r="Q28" i="4"/>
  <c r="Q29" i="4" s="1"/>
  <c r="O28" i="4"/>
  <c r="M28" i="4"/>
  <c r="K28" i="4"/>
  <c r="I28" i="4"/>
  <c r="G28" i="4"/>
  <c r="D28" i="4"/>
  <c r="D29" i="4" s="1"/>
  <c r="B26" i="4"/>
  <c r="T25" i="4"/>
  <c r="T24" i="4"/>
  <c r="T23" i="4"/>
  <c r="T21" i="4"/>
  <c r="Q20" i="4"/>
  <c r="T20" i="4" s="1"/>
  <c r="T22" i="4" s="1"/>
  <c r="T19" i="4"/>
  <c r="M13" i="4"/>
  <c r="N11" i="4" s="1"/>
  <c r="K13" i="4"/>
  <c r="L11" i="4" s="1"/>
  <c r="I13" i="4"/>
  <c r="I29" i="4" s="1"/>
  <c r="G13" i="4"/>
  <c r="G29" i="4" s="1"/>
  <c r="D13" i="4"/>
  <c r="B13" i="4"/>
  <c r="C10" i="4" s="1"/>
  <c r="R11" i="4"/>
  <c r="T11" i="4" s="1"/>
  <c r="E11" i="4"/>
  <c r="C11" i="4"/>
  <c r="W10" i="4"/>
  <c r="S10" i="4"/>
  <c r="R10" i="4"/>
  <c r="T10" i="4" s="1"/>
  <c r="O10" i="4"/>
  <c r="E10" i="4"/>
  <c r="X9" i="4"/>
  <c r="S9" i="4"/>
  <c r="R9" i="4"/>
  <c r="T9" i="4" s="1"/>
  <c r="O9" i="4"/>
  <c r="N9" i="4"/>
  <c r="L9" i="4"/>
  <c r="J9" i="4"/>
  <c r="H9" i="4"/>
  <c r="G9" i="4"/>
  <c r="E9" i="4"/>
  <c r="C9" i="4"/>
  <c r="AB8" i="4"/>
  <c r="AA8" i="4"/>
  <c r="Y8" i="4"/>
  <c r="S8" i="4" s="1"/>
  <c r="S13" i="4" s="1"/>
  <c r="O8" i="4"/>
  <c r="E8" i="4"/>
  <c r="C8" i="4"/>
  <c r="S27" i="3"/>
  <c r="O27" i="3"/>
  <c r="O28" i="3" s="1"/>
  <c r="M27" i="3"/>
  <c r="M28" i="3" s="1"/>
  <c r="K27" i="3"/>
  <c r="K28" i="3" s="1"/>
  <c r="I27" i="3"/>
  <c r="I28" i="3" s="1"/>
  <c r="G27" i="3"/>
  <c r="D27" i="3"/>
  <c r="B25" i="3"/>
  <c r="B27" i="3" s="1"/>
  <c r="T24" i="3"/>
  <c r="T23" i="3"/>
  <c r="T22" i="3"/>
  <c r="T20" i="3"/>
  <c r="Q19" i="3"/>
  <c r="Q27" i="3" s="1"/>
  <c r="M12" i="3"/>
  <c r="N11" i="3" s="1"/>
  <c r="K12" i="3"/>
  <c r="I12" i="3"/>
  <c r="J10" i="3" s="1"/>
  <c r="D12" i="3"/>
  <c r="E10" i="3" s="1"/>
  <c r="B12" i="3"/>
  <c r="C11" i="3" s="1"/>
  <c r="R11" i="3"/>
  <c r="T11" i="3" s="1"/>
  <c r="L11" i="3"/>
  <c r="J11" i="3"/>
  <c r="E11" i="3"/>
  <c r="W10" i="3"/>
  <c r="S10" i="3"/>
  <c r="R10" i="3"/>
  <c r="T10" i="3" s="1"/>
  <c r="O10" i="3"/>
  <c r="L10" i="3"/>
  <c r="X9" i="3"/>
  <c r="S9" i="3"/>
  <c r="O9" i="3"/>
  <c r="N9" i="3"/>
  <c r="L9" i="3"/>
  <c r="J9" i="3"/>
  <c r="G9" i="3"/>
  <c r="G12" i="3" s="1"/>
  <c r="E9" i="3"/>
  <c r="C9" i="3"/>
  <c r="AB8" i="3"/>
  <c r="AA8" i="3"/>
  <c r="S8" i="3" s="1"/>
  <c r="Y8" i="3"/>
  <c r="R8" i="3"/>
  <c r="O8" i="3"/>
  <c r="L8" i="3"/>
  <c r="J8" i="3"/>
  <c r="E8" i="3"/>
  <c r="D27" i="1"/>
  <c r="R27" i="1"/>
  <c r="T8" i="8" l="1"/>
  <c r="R12" i="8"/>
  <c r="L9" i="7"/>
  <c r="J8" i="7"/>
  <c r="D14" i="7"/>
  <c r="D31" i="7" s="1"/>
  <c r="L8" i="7"/>
  <c r="G31" i="7"/>
  <c r="I14" i="7"/>
  <c r="I31" i="7" s="1"/>
  <c r="J10" i="7"/>
  <c r="L10" i="7"/>
  <c r="B14" i="7"/>
  <c r="B31" i="7" s="1"/>
  <c r="F31" i="7"/>
  <c r="S8" i="7"/>
  <c r="T8" i="7" s="1"/>
  <c r="T10" i="7"/>
  <c r="E9" i="7"/>
  <c r="R30" i="7"/>
  <c r="H11" i="7"/>
  <c r="H8" i="7"/>
  <c r="H10" i="7"/>
  <c r="C10" i="7"/>
  <c r="C8" i="7"/>
  <c r="H9" i="7"/>
  <c r="R9" i="7"/>
  <c r="T9" i="7" s="1"/>
  <c r="E10" i="7"/>
  <c r="C11" i="7"/>
  <c r="O12" i="7"/>
  <c r="O14" i="7" s="1"/>
  <c r="O31" i="7" s="1"/>
  <c r="T22" i="7"/>
  <c r="T24" i="7" s="1"/>
  <c r="E8" i="7"/>
  <c r="T27" i="6"/>
  <c r="B28" i="6"/>
  <c r="P11" i="6"/>
  <c r="O28" i="6"/>
  <c r="P9" i="6"/>
  <c r="H11" i="6"/>
  <c r="H10" i="6"/>
  <c r="H8" i="6"/>
  <c r="T8" i="6"/>
  <c r="H9" i="6"/>
  <c r="R9" i="6"/>
  <c r="T9" i="6" s="1"/>
  <c r="E10" i="6"/>
  <c r="P10" i="6"/>
  <c r="D28" i="6"/>
  <c r="N11" i="6"/>
  <c r="E8" i="6"/>
  <c r="P8" i="6"/>
  <c r="E11" i="6"/>
  <c r="L10" i="6"/>
  <c r="K28" i="6"/>
  <c r="L8" i="6"/>
  <c r="R30" i="4"/>
  <c r="R34" i="4" s="1"/>
  <c r="R37" i="4" s="1"/>
  <c r="B29" i="5"/>
  <c r="R28" i="5"/>
  <c r="T28" i="5" s="1"/>
  <c r="O29" i="5"/>
  <c r="T8" i="5"/>
  <c r="S13" i="5"/>
  <c r="H11" i="5"/>
  <c r="H8" i="5"/>
  <c r="H10" i="5"/>
  <c r="R14" i="5"/>
  <c r="G29" i="5"/>
  <c r="L11" i="5"/>
  <c r="P9" i="5"/>
  <c r="N11" i="5"/>
  <c r="C8" i="5"/>
  <c r="H9" i="5"/>
  <c r="R9" i="5"/>
  <c r="T9" i="5" s="1"/>
  <c r="P10" i="5"/>
  <c r="E8" i="5"/>
  <c r="P8" i="5"/>
  <c r="L9" i="5"/>
  <c r="T28" i="4"/>
  <c r="B29" i="4"/>
  <c r="H10" i="4"/>
  <c r="H8" i="4"/>
  <c r="R8" i="4"/>
  <c r="J10" i="4"/>
  <c r="H11" i="4"/>
  <c r="K29" i="4"/>
  <c r="J8" i="4"/>
  <c r="L10" i="4"/>
  <c r="J11" i="4"/>
  <c r="M29" i="4"/>
  <c r="L8" i="4"/>
  <c r="N10" i="4"/>
  <c r="O13" i="4"/>
  <c r="N8" i="4"/>
  <c r="S12" i="3"/>
  <c r="T8" i="3"/>
  <c r="P10" i="3"/>
  <c r="R27" i="3"/>
  <c r="P9" i="3"/>
  <c r="H11" i="3"/>
  <c r="H8" i="3"/>
  <c r="H10" i="3"/>
  <c r="T19" i="3"/>
  <c r="T21" i="3" s="1"/>
  <c r="N10" i="3"/>
  <c r="O12" i="3"/>
  <c r="N8" i="3"/>
  <c r="C10" i="3"/>
  <c r="C8" i="3"/>
  <c r="H9" i="3"/>
  <c r="R9" i="3"/>
  <c r="T9" i="3" s="1"/>
  <c r="T12" i="8" l="1"/>
  <c r="U8" i="8" s="1"/>
  <c r="R36" i="7"/>
  <c r="S12" i="7"/>
  <c r="R14" i="7"/>
  <c r="P8" i="7"/>
  <c r="P11" i="7"/>
  <c r="R12" i="7"/>
  <c r="T30" i="7"/>
  <c r="R44" i="7"/>
  <c r="P10" i="7"/>
  <c r="T12" i="7"/>
  <c r="U8" i="7" s="1"/>
  <c r="P9" i="7"/>
  <c r="T12" i="6"/>
  <c r="U8" i="6"/>
  <c r="U9" i="6"/>
  <c r="R12" i="6"/>
  <c r="T13" i="5"/>
  <c r="U8" i="5"/>
  <c r="R13" i="5"/>
  <c r="T8" i="4"/>
  <c r="P11" i="4"/>
  <c r="P10" i="4"/>
  <c r="O29" i="4"/>
  <c r="P9" i="4"/>
  <c r="P8" i="4"/>
  <c r="T12" i="3"/>
  <c r="U8" i="3"/>
  <c r="P8" i="3"/>
  <c r="P11" i="3"/>
  <c r="U9" i="3"/>
  <c r="R12" i="3"/>
  <c r="U10" i="8" l="1"/>
  <c r="U11" i="8"/>
  <c r="U9" i="8"/>
  <c r="R38" i="7"/>
  <c r="R40" i="7" s="1"/>
  <c r="R43" i="7" s="1"/>
  <c r="R46" i="7" s="1"/>
  <c r="U11" i="7"/>
  <c r="U10" i="7"/>
  <c r="U9" i="7"/>
  <c r="R32" i="6"/>
  <c r="R34" i="6" s="1"/>
  <c r="R37" i="6" s="1"/>
  <c r="R40" i="6" s="1"/>
  <c r="R14" i="6"/>
  <c r="U10" i="6"/>
  <c r="U11" i="6"/>
  <c r="U11" i="5"/>
  <c r="U10" i="5"/>
  <c r="U9" i="5"/>
  <c r="T13" i="4"/>
  <c r="U10" i="3"/>
  <c r="U11" i="3"/>
  <c r="U11" i="4" l="1"/>
  <c r="U9" i="4"/>
  <c r="U10" i="4"/>
  <c r="U8" i="4"/>
  <c r="N8" i="2" l="1"/>
  <c r="X8" i="2"/>
  <c r="W8" i="2"/>
  <c r="U8" i="2"/>
  <c r="G8" i="2"/>
  <c r="O8" i="2" l="1"/>
  <c r="P8" i="2" s="1"/>
  <c r="B27" i="1" l="1"/>
  <c r="B28" i="1" l="1"/>
  <c r="F28" i="1"/>
  <c r="Q28" i="1"/>
  <c r="O28" i="1"/>
  <c r="M28" i="1"/>
  <c r="K28" i="1"/>
  <c r="I28" i="1"/>
  <c r="G28" i="1"/>
  <c r="D28" i="1"/>
  <c r="R35" i="1"/>
  <c r="Y8" i="1"/>
  <c r="X9" i="1"/>
  <c r="S9" i="1" s="1"/>
  <c r="W10" i="1"/>
  <c r="S10" i="1" s="1"/>
  <c r="AA8" i="1"/>
  <c r="S27" i="1" l="1"/>
  <c r="T24" i="1"/>
  <c r="T23" i="1"/>
  <c r="T22" i="1"/>
  <c r="T18" i="1"/>
  <c r="R11" i="1"/>
  <c r="T11" i="1" s="1"/>
  <c r="O10" i="1" l="1"/>
  <c r="R10" i="1" s="1"/>
  <c r="T10" i="1" s="1"/>
  <c r="D12" i="1" l="1"/>
  <c r="AB8" i="1" l="1"/>
  <c r="S8" i="1" s="1"/>
  <c r="S12" i="1" s="1"/>
  <c r="O8" i="1" l="1"/>
  <c r="R8" i="1" s="1"/>
  <c r="T8" i="1" s="1"/>
  <c r="G9" i="1"/>
  <c r="O9" i="1"/>
  <c r="R9" i="1" l="1"/>
  <c r="T9" i="1" s="1"/>
  <c r="F27" i="1" l="1"/>
  <c r="G27" i="1"/>
  <c r="I27" i="1"/>
  <c r="K27" i="1"/>
  <c r="M27" i="1"/>
  <c r="O27" i="1"/>
  <c r="Q19" i="1"/>
  <c r="T19" i="1" s="1"/>
  <c r="Q27" i="1" l="1"/>
  <c r="B25" i="1" l="1"/>
  <c r="T20" i="1"/>
  <c r="T27" i="1" l="1"/>
  <c r="T21" i="1"/>
  <c r="G12" i="1"/>
  <c r="I12" i="1"/>
  <c r="K12" i="1"/>
  <c r="M12" i="1"/>
  <c r="O12" i="1"/>
  <c r="B12" i="1"/>
  <c r="H11" i="1" l="1"/>
  <c r="H8" i="1"/>
  <c r="H10" i="1"/>
  <c r="H9" i="1"/>
  <c r="C9" i="1"/>
  <c r="C11" i="1"/>
  <c r="C8" i="1"/>
  <c r="C10" i="1"/>
  <c r="N11" i="1"/>
  <c r="N8" i="1"/>
  <c r="N10" i="1"/>
  <c r="N9" i="1"/>
  <c r="L11" i="1"/>
  <c r="L8" i="1"/>
  <c r="L10" i="1"/>
  <c r="L9" i="1"/>
  <c r="P9" i="1"/>
  <c r="P8" i="1"/>
  <c r="P11" i="1"/>
  <c r="P10" i="1"/>
  <c r="J10" i="1"/>
  <c r="J9" i="1"/>
  <c r="J8" i="1"/>
  <c r="J11" i="1"/>
  <c r="E11" i="1"/>
  <c r="E10" i="1"/>
  <c r="E9" i="1"/>
  <c r="E8" i="1"/>
  <c r="T12" i="1" l="1"/>
  <c r="U10" i="1" s="1"/>
  <c r="U9" i="1" l="1"/>
  <c r="U11" i="1"/>
  <c r="U8" i="1"/>
  <c r="R28" i="3"/>
</calcChain>
</file>

<file path=xl/sharedStrings.xml><?xml version="1.0" encoding="utf-8"?>
<sst xmlns="http://schemas.openxmlformats.org/spreadsheetml/2006/main" count="404" uniqueCount="53">
  <si>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</si>
  <si>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</si>
  <si>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</si>
  <si>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</si>
  <si>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</si>
  <si>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</si>
  <si>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</si>
  <si>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</si>
  <si>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</si>
  <si>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</si>
  <si>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</si>
  <si>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</si>
  <si>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</si>
  <si>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</si>
  <si>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</si>
  <si>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</si>
  <si>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</si>
  <si>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</si>
  <si>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</si>
  <si>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</si>
  <si>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</si>
  <si>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</si>
  <si>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</si>
  <si>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</si>
  <si>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</si>
  <si>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</si>
  <si>
    <t>SABA</t>
  </si>
  <si>
    <t>Kostenzusammenstellung per 30.09.2023</t>
  </si>
  <si>
    <t>Zwischentotal</t>
  </si>
  <si>
    <t>Digitalisierung</t>
  </si>
  <si>
    <t>PL</t>
  </si>
  <si>
    <t>MK T-U</t>
  </si>
  <si>
    <t>MK K</t>
  </si>
  <si>
    <t>Myparm</t>
  </si>
  <si>
    <t>off. Leistungen</t>
  </si>
  <si>
    <t>diff</t>
  </si>
  <si>
    <t>Rechnungsstellung</t>
  </si>
  <si>
    <t>Differenz Vertrag-Rechnungsstellung</t>
  </si>
  <si>
    <t>diff Rechnunsstellung - Vertrag</t>
  </si>
  <si>
    <t>Nachtrag</t>
  </si>
  <si>
    <t>Vertrag aktuell</t>
  </si>
  <si>
    <t>Vertragsstand 30.09.2023</t>
  </si>
  <si>
    <t>Vertrag total</t>
  </si>
  <si>
    <t>Verbleibt per Ende Januar</t>
  </si>
  <si>
    <t>Diff per Ende September</t>
  </si>
  <si>
    <t>offene Rechnungen</t>
  </si>
  <si>
    <t>Kostenzusammenstellung per 31.01.2023</t>
  </si>
  <si>
    <t>Leistungen Februar - September 2023</t>
  </si>
  <si>
    <t>zur Verfügung</t>
  </si>
  <si>
    <t>Offene Rechnungen</t>
  </si>
  <si>
    <t>Differenz</t>
  </si>
  <si>
    <t>NO1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</si>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</sst>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4" fontId="4" fillId="0" borderId="0" xfId="0" applyNumberFormat="1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9" fontId="0" fillId="2" borderId="1" xfId="1" applyFont="1" applyFill="1" applyBorder="1" applyAlignment="1">
      <alignment vertical="center"/>
    </xf>
    <xf numFmtId="0" fontId="1" fillId="2" borderId="1" xfId="0" applyFont="1" applyFill="1" applyBorder="1"/>
    <xf numFmtId="4" fontId="1" fillId="2" borderId="1" xfId="0" applyNumberFormat="1" applyFont="1" applyFill="1" applyBorder="1"/>
    <xf numFmtId="9" fontId="0" fillId="0" borderId="0" xfId="1" applyFont="1" applyFill="1" applyBorder="1" applyAlignment="1">
      <alignment vertical="center"/>
    </xf>
    <xf numFmtId="10" fontId="0" fillId="2" borderId="1" xfId="1" applyNumberFormat="1" applyFont="1" applyFill="1" applyBorder="1" applyAlignment="1">
      <alignment vertical="center"/>
    </xf>
    <xf numFmtId="4" fontId="0" fillId="2" borderId="0" xfId="0" applyNumberFormat="1" applyFill="1" applyBorder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2" borderId="1" xfId="1" applyNumberFormat="1" applyFont="1" applyFill="1" applyBorder="1" applyAlignment="1">
      <alignment vertical="center"/>
    </xf>
    <xf numFmtId="4" fontId="1" fillId="2" borderId="0" xfId="0" applyNumberFormat="1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10" fontId="0" fillId="2" borderId="0" xfId="1" applyNumberFormat="1" applyFont="1" applyFill="1" applyBorder="1" applyAlignment="1">
      <alignment vertical="center"/>
    </xf>
    <xf numFmtId="2" fontId="0" fillId="0" borderId="0" xfId="0" applyNumberFormat="1" applyBorder="1" applyAlignment="1"/>
    <xf numFmtId="2" fontId="0" fillId="0" borderId="0" xfId="0" applyNumberFormat="1" applyAlignment="1"/>
    <xf numFmtId="4" fontId="0" fillId="4" borderId="0" xfId="0" applyNumberFormat="1" applyFill="1"/>
    <xf numFmtId="4" fontId="1" fillId="4" borderId="1" xfId="0" applyNumberFormat="1" applyFont="1" applyFill="1" applyBorder="1" applyAlignment="1">
      <alignment vertical="center"/>
    </xf>
    <xf numFmtId="4" fontId="1" fillId="5" borderId="0" xfId="0" applyNumberFormat="1" applyFont="1" applyFill="1"/>
    <xf numFmtId="4" fontId="1" fillId="5" borderId="0" xfId="0" applyNumberFormat="1" applyFont="1" applyFill="1" applyBorder="1"/>
    <xf numFmtId="4" fontId="0" fillId="6" borderId="0" xfId="0" applyNumberFormat="1" applyFill="1" applyBorder="1"/>
    <xf numFmtId="4" fontId="0" fillId="7" borderId="0" xfId="0" applyNumberFormat="1" applyFill="1" applyBorder="1"/>
    <xf numFmtId="4" fontId="1" fillId="7" borderId="0" xfId="0" applyNumberFormat="1" applyFont="1" applyFill="1" applyBorder="1"/>
    <xf numFmtId="4" fontId="1" fillId="3" borderId="0" xfId="0" applyNumberFormat="1" applyFont="1" applyFill="1"/>
    <xf numFmtId="4" fontId="0" fillId="3" borderId="0" xfId="0" applyNumberFormat="1" applyFill="1"/>
    <xf numFmtId="0" fontId="1" fillId="2" borderId="0" xfId="0" applyFont="1" applyFill="1" applyBorder="1"/>
    <xf numFmtId="4" fontId="0" fillId="6" borderId="0" xfId="0" applyNumberFormat="1" applyFill="1"/>
    <xf numFmtId="4" fontId="0" fillId="0" borderId="0" xfId="0" applyNumberFormat="1" applyFill="1" applyBorder="1"/>
    <xf numFmtId="4" fontId="0" fillId="8" borderId="0" xfId="0" applyNumberFormat="1" applyFill="1" applyBorder="1"/>
    <xf numFmtId="4" fontId="1" fillId="8" borderId="0" xfId="0" applyNumberFormat="1" applyFont="1" applyFill="1" applyBorder="1"/>
    <xf numFmtId="4" fontId="1" fillId="2" borderId="3" xfId="0" applyNumberFormat="1" applyFont="1" applyFill="1" applyBorder="1"/>
    <xf numFmtId="4" fontId="1" fillId="2" borderId="8" xfId="0" applyNumberFormat="1" applyFont="1" applyFill="1" applyBorder="1"/>
    <xf numFmtId="4" fontId="1" fillId="7" borderId="8" xfId="0" applyNumberFormat="1" applyFont="1" applyFill="1" applyBorder="1"/>
    <xf numFmtId="4" fontId="1" fillId="5" borderId="4" xfId="0" applyNumberFormat="1" applyFont="1" applyFill="1" applyBorder="1"/>
    <xf numFmtId="2" fontId="0" fillId="0" borderId="0" xfId="0" applyNumberFormat="1" applyBorder="1" applyAlignment="1"/>
    <xf numFmtId="2" fontId="0" fillId="0" borderId="0" xfId="0" applyNumberFormat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zoomScale="90" zoomScaleNormal="90" workbookViewId="0">
      <selection activeCell="F15" sqref="F15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x14ac:dyDescent="0.2"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B8/B$12</f>
        <v>0.56733839475452708</v>
      </c>
      <c r="D8" s="41">
        <v>739371</v>
      </c>
      <c r="E8" s="42">
        <f>D8/D$12</f>
        <v>0.48999631693083534</v>
      </c>
      <c r="F8" s="41"/>
      <c r="G8" s="41"/>
      <c r="H8" s="42">
        <f>G8/G$12</f>
        <v>0</v>
      </c>
      <c r="I8" s="41">
        <v>519211.75</v>
      </c>
      <c r="J8" s="42">
        <f>I8/I$12</f>
        <v>0.65754531048904774</v>
      </c>
      <c r="K8" s="41"/>
      <c r="L8" s="42">
        <f>K8/K$12</f>
        <v>0</v>
      </c>
      <c r="M8" s="41"/>
      <c r="N8" s="42">
        <f>M8/M$12</f>
        <v>0</v>
      </c>
      <c r="O8" s="41">
        <f>4179.25+86</f>
        <v>4265.25</v>
      </c>
      <c r="P8" s="42">
        <f>O8/O$12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T8/T$12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 t="shared" ref="C9:C11" si="0">B9/B$12</f>
        <v>0.37748878435076377</v>
      </c>
      <c r="D9" s="41">
        <v>700952</v>
      </c>
      <c r="E9" s="42">
        <f t="shared" ref="E9" si="1">D9/D$12</f>
        <v>0.46453525813874619</v>
      </c>
      <c r="F9" s="41"/>
      <c r="G9" s="41">
        <f>79011+95+5149.25+142.5+155</f>
        <v>84552.75</v>
      </c>
      <c r="H9" s="42">
        <f t="shared" ref="H9:H11" si="2">G9/G$12</f>
        <v>1</v>
      </c>
      <c r="I9" s="41">
        <v>28773.75</v>
      </c>
      <c r="J9" s="42">
        <f t="shared" ref="J9:J11" si="3">I9/I$12</f>
        <v>3.6439938768111926E-2</v>
      </c>
      <c r="K9" s="41">
        <v>44043</v>
      </c>
      <c r="L9" s="42">
        <f t="shared" ref="L9:L11" si="4">K9/K$12</f>
        <v>1</v>
      </c>
      <c r="M9" s="41">
        <v>45439.75</v>
      </c>
      <c r="N9" s="42">
        <f t="shared" ref="N9:N11" si="5">M9/M$12</f>
        <v>1</v>
      </c>
      <c r="O9" s="41">
        <f>51133.25</f>
        <v>51133.25</v>
      </c>
      <c r="P9" s="42">
        <f t="shared" ref="P9:P11" si="6">O9/O$12</f>
        <v>0.54557263881183049</v>
      </c>
      <c r="Q9" s="41"/>
      <c r="R9" s="41">
        <f t="shared" ref="R9:R11" si="7">B9+D9+F9+G9+I9+K9+M9+O9+Q9</f>
        <v>1474479.5</v>
      </c>
      <c r="S9" s="41">
        <f>W9+X9+Y9+Z9+AA9+AB9</f>
        <v>2474.1</v>
      </c>
      <c r="T9" s="41">
        <f t="shared" ref="T9:T11" si="8">R9+S9</f>
        <v>1476953.6</v>
      </c>
      <c r="U9" s="46">
        <f t="shared" ref="U9" si="9">T9/T$12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 t="shared" si="0"/>
        <v>3.6913017418311933E-2</v>
      </c>
      <c r="D10" s="41">
        <v>51093</v>
      </c>
      <c r="E10" s="42">
        <f t="shared" ref="E10" si="10">D10/D$12</f>
        <v>3.3860378376954423E-2</v>
      </c>
      <c r="F10" s="41"/>
      <c r="G10" s="41"/>
      <c r="H10" s="42">
        <f t="shared" si="2"/>
        <v>0</v>
      </c>
      <c r="I10" s="41">
        <v>53999.5</v>
      </c>
      <c r="J10" s="42">
        <f t="shared" si="3"/>
        <v>6.8386584074326767E-2</v>
      </c>
      <c r="K10" s="41"/>
      <c r="L10" s="42">
        <f t="shared" si="4"/>
        <v>0</v>
      </c>
      <c r="M10" s="41"/>
      <c r="N10" s="42">
        <f t="shared" si="5"/>
        <v>0</v>
      </c>
      <c r="O10" s="41">
        <f>17613.5+1342+1647+793+12503+122+1037+488+2658+122</f>
        <v>38325.5</v>
      </c>
      <c r="P10" s="42">
        <f t="shared" si="6"/>
        <v>0.4089187401305962</v>
      </c>
      <c r="Q10" s="41"/>
      <c r="R10" s="41">
        <f t="shared" si="7"/>
        <v>194226</v>
      </c>
      <c r="S10" s="41">
        <f>W10</f>
        <v>1453.15</v>
      </c>
      <c r="T10" s="41">
        <f t="shared" si="8"/>
        <v>195679.15</v>
      </c>
      <c r="U10" s="46">
        <f>T10/T$12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 t="shared" si="0"/>
        <v>1.8259803476397187E-2</v>
      </c>
      <c r="D11" s="41">
        <v>17515.75</v>
      </c>
      <c r="E11" s="42">
        <f t="shared" ref="E11" si="11">D11/D$12</f>
        <v>1.1608046553464065E-2</v>
      </c>
      <c r="F11" s="41"/>
      <c r="G11" s="41"/>
      <c r="H11" s="42">
        <f t="shared" si="2"/>
        <v>0</v>
      </c>
      <c r="I11" s="41">
        <v>187636.25</v>
      </c>
      <c r="J11" s="42">
        <f t="shared" si="3"/>
        <v>0.23762816666851355</v>
      </c>
      <c r="K11" s="41"/>
      <c r="L11" s="42">
        <f t="shared" si="4"/>
        <v>0</v>
      </c>
      <c r="M11" s="41"/>
      <c r="N11" s="42">
        <f t="shared" si="5"/>
        <v>0</v>
      </c>
      <c r="O11" s="41"/>
      <c r="P11" s="42">
        <f t="shared" si="6"/>
        <v>0</v>
      </c>
      <c r="Q11" s="41"/>
      <c r="R11" s="41">
        <f t="shared" si="7"/>
        <v>230285.25</v>
      </c>
      <c r="S11" s="41"/>
      <c r="T11" s="41">
        <f t="shared" si="8"/>
        <v>230285.25</v>
      </c>
      <c r="U11" s="46">
        <f>T11/T$12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ht="27" customHeight="1" x14ac:dyDescent="0.2">
      <c r="A12" s="43" t="s">
        <v>12</v>
      </c>
      <c r="B12" s="44">
        <f>SUM(B8:B11)</f>
        <v>1376425</v>
      </c>
      <c r="C12" s="44"/>
      <c r="D12" s="44">
        <f>SUM(D8:D11)</f>
        <v>1508931.75</v>
      </c>
      <c r="E12" s="44"/>
      <c r="F12" s="44"/>
      <c r="G12" s="44">
        <f t="shared" ref="G12:O12" si="12">SUM(G8:G11)</f>
        <v>84552.75</v>
      </c>
      <c r="H12" s="44"/>
      <c r="I12" s="44">
        <f t="shared" si="12"/>
        <v>789621.25</v>
      </c>
      <c r="J12" s="44"/>
      <c r="K12" s="44">
        <f t="shared" si="12"/>
        <v>44043</v>
      </c>
      <c r="L12" s="44"/>
      <c r="M12" s="44">
        <f t="shared" si="12"/>
        <v>45439.75</v>
      </c>
      <c r="N12" s="44"/>
      <c r="O12" s="44">
        <f t="shared" si="12"/>
        <v>93724</v>
      </c>
      <c r="P12" s="44"/>
      <c r="Q12" s="44"/>
      <c r="R12" s="44">
        <f>SUM(R8:R11)</f>
        <v>3942737.5</v>
      </c>
      <c r="S12" s="44">
        <f>SUM(S8:S11)</f>
        <v>51762.01</v>
      </c>
      <c r="T12" s="44">
        <f>SUM(T8:T11)</f>
        <v>3994499.5100000002</v>
      </c>
      <c r="U12" s="32"/>
      <c r="V12" s="32"/>
      <c r="W12" s="32"/>
      <c r="X12" s="32"/>
      <c r="Y12" s="32"/>
      <c r="Z12" s="32"/>
      <c r="AA12" s="32"/>
      <c r="AB12" s="32"/>
      <c r="AC12" s="35"/>
      <c r="AF12" s="36"/>
    </row>
    <row r="13" spans="1:32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32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ht="18" x14ac:dyDescent="0.2">
      <c r="A16" s="24" t="s">
        <v>22</v>
      </c>
    </row>
    <row r="17" spans="1:20" ht="28.5" customHeight="1" x14ac:dyDescent="0.2">
      <c r="A17" s="3"/>
      <c r="B17" s="53" t="s">
        <v>0</v>
      </c>
      <c r="C17" s="53"/>
      <c r="D17" s="54" t="s">
        <v>1</v>
      </c>
      <c r="E17" s="54"/>
      <c r="F17" s="54" t="s">
        <v>16</v>
      </c>
      <c r="G17" s="54" t="s">
        <v>5</v>
      </c>
      <c r="H17" s="54"/>
      <c r="I17" s="54" t="s">
        <v>6</v>
      </c>
      <c r="J17" s="54"/>
      <c r="K17" s="54" t="s">
        <v>3</v>
      </c>
      <c r="L17" s="54"/>
      <c r="M17" s="54" t="s">
        <v>4</v>
      </c>
      <c r="N17" s="54"/>
      <c r="O17" s="54" t="s">
        <v>2</v>
      </c>
      <c r="P17" s="54"/>
      <c r="Q17" s="4" t="s">
        <v>18</v>
      </c>
      <c r="R17" s="4"/>
      <c r="S17" s="4" t="s">
        <v>19</v>
      </c>
      <c r="T17" s="4" t="s">
        <v>12</v>
      </c>
    </row>
    <row r="18" spans="1:20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/>
      <c r="S18" s="10">
        <v>39525</v>
      </c>
      <c r="T18" s="5">
        <f>SUM(B18:S18)</f>
        <v>3117050</v>
      </c>
    </row>
    <row r="19" spans="1:20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10"/>
      <c r="T19" s="5">
        <f>SUM(K19:S19)</f>
        <v>371784.94</v>
      </c>
    </row>
    <row r="20" spans="1:20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5">
        <f>SUM(B20:O20)</f>
        <v>20682.82</v>
      </c>
    </row>
    <row r="21" spans="1:20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0"/>
      <c r="T21" s="5">
        <f>SUM(T18:T20)</f>
        <v>3509517.76</v>
      </c>
    </row>
    <row r="22" spans="1:20" ht="16.5" customHeight="1" x14ac:dyDescent="0.2">
      <c r="A22" s="13" t="s">
        <v>23</v>
      </c>
      <c r="B22" s="14">
        <v>150933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17860</v>
      </c>
      <c r="T22" s="15">
        <f>SUM(B22:S22)</f>
        <v>168793</v>
      </c>
    </row>
    <row r="23" spans="1:20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>
        <v>0</v>
      </c>
      <c r="T23" s="21">
        <f>SUM(B23:S23)</f>
        <v>69900</v>
      </c>
    </row>
    <row r="24" spans="1:20" ht="16.5" customHeight="1" x14ac:dyDescent="0.2">
      <c r="A24" s="16" t="s">
        <v>24</v>
      </c>
      <c r="B24" s="17">
        <v>162587.75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12255.6</v>
      </c>
      <c r="T24" s="18">
        <f>SUM(B24:S24)</f>
        <v>174843.35</v>
      </c>
    </row>
    <row r="25" spans="1:20" ht="19.5" customHeight="1" x14ac:dyDescent="0.2">
      <c r="A25" s="27" t="s">
        <v>21</v>
      </c>
      <c r="B25" s="28">
        <f>SUM(B22:B24)</f>
        <v>383420.75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"/>
    </row>
    <row r="26" spans="1:20" ht="19.5" customHeight="1" x14ac:dyDescent="0.2">
      <c r="A26" s="9"/>
      <c r="B26" s="10"/>
      <c r="C26" s="10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"/>
      <c r="R26" s="3"/>
      <c r="S26" s="3"/>
      <c r="T26" s="5"/>
    </row>
    <row r="27" spans="1:20" ht="28.5" customHeight="1" x14ac:dyDescent="0.2">
      <c r="A27" s="25" t="s">
        <v>25</v>
      </c>
      <c r="B27" s="10">
        <f>B18+B20+B25+B19</f>
        <v>1424067.63</v>
      </c>
      <c r="C27" s="10"/>
      <c r="D27" s="10">
        <f>D18+D20+D25+D19</f>
        <v>1133743.75</v>
      </c>
      <c r="E27" s="10"/>
      <c r="F27" s="10">
        <f t="shared" ref="F27:Q27" si="13">F18+F20+F25+F19</f>
        <v>92075</v>
      </c>
      <c r="G27" s="10">
        <f t="shared" si="13"/>
        <v>140304.69</v>
      </c>
      <c r="H27" s="10"/>
      <c r="I27" s="10">
        <f t="shared" si="13"/>
        <v>691437.5</v>
      </c>
      <c r="J27" s="10"/>
      <c r="K27" s="10">
        <f t="shared" si="13"/>
        <v>35085</v>
      </c>
      <c r="L27" s="10"/>
      <c r="M27" s="10">
        <f t="shared" si="13"/>
        <v>44925</v>
      </c>
      <c r="N27" s="10"/>
      <c r="O27" s="10">
        <f t="shared" si="13"/>
        <v>152200</v>
      </c>
      <c r="P27" s="10"/>
      <c r="Q27" s="10">
        <f t="shared" si="13"/>
        <v>139574.94</v>
      </c>
      <c r="R27" s="48">
        <f>SUM(B27:Q27)</f>
        <v>3853413.51</v>
      </c>
      <c r="S27" s="10">
        <f>S18+S20+S25+S22+S23+S24</f>
        <v>69640.600000000006</v>
      </c>
      <c r="T27" s="26">
        <f>SUM(B27:S27)</f>
        <v>7776467.6199999992</v>
      </c>
    </row>
    <row r="28" spans="1:20" ht="16.5" customHeight="1" x14ac:dyDescent="0.2">
      <c r="A28" s="7"/>
      <c r="B28" s="8">
        <f>B27-B12</f>
        <v>47642.629999999888</v>
      </c>
      <c r="C28" s="8"/>
      <c r="D28" s="8">
        <f>D27-D12</f>
        <v>-375188</v>
      </c>
      <c r="E28" s="56"/>
      <c r="F28" s="8">
        <f>F27-F12</f>
        <v>92075</v>
      </c>
      <c r="G28" s="8">
        <f>G27-G12</f>
        <v>55751.94</v>
      </c>
      <c r="H28" s="56"/>
      <c r="I28" s="8">
        <f>I27-I12</f>
        <v>-98183.75</v>
      </c>
      <c r="J28" s="56"/>
      <c r="K28" s="8">
        <f>K27-K12</f>
        <v>-8958</v>
      </c>
      <c r="L28" s="56"/>
      <c r="M28" s="8">
        <f>M27-M12</f>
        <v>-514.75</v>
      </c>
      <c r="N28" s="56"/>
      <c r="O28" s="8">
        <f>O27-O12</f>
        <v>58476</v>
      </c>
      <c r="P28" s="56"/>
      <c r="Q28" s="8">
        <f>Q27-Q12</f>
        <v>139574.94</v>
      </c>
      <c r="R28" s="11"/>
      <c r="S28" s="11"/>
      <c r="T28" s="12"/>
    </row>
    <row r="29" spans="1:20" ht="16.5" customHeight="1" x14ac:dyDescent="0.2">
      <c r="A29" s="7"/>
      <c r="B29" s="8"/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>
        <f>R12-R27</f>
        <v>89323.990000000224</v>
      </c>
      <c r="S29" s="11"/>
      <c r="T29" s="12"/>
    </row>
    <row r="30" spans="1:20" x14ac:dyDescent="0.2">
      <c r="A30" t="s">
        <v>13</v>
      </c>
    </row>
    <row r="31" spans="1:20" x14ac:dyDescent="0.2">
      <c r="R31">
        <v>111439.25</v>
      </c>
    </row>
    <row r="32" spans="1:20" x14ac:dyDescent="0.2">
      <c r="R32">
        <v>92075</v>
      </c>
    </row>
    <row r="35" spans="18:18" x14ac:dyDescent="0.2">
      <c r="R35" s="50">
        <f>R31-R29</f>
        <v>22115.259999999776</v>
      </c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"/>
  <sheetViews>
    <sheetView zoomScale="90" zoomScaleNormal="90" workbookViewId="0">
      <selection activeCell="A7" sqref="A7"/>
    </sheetView>
  </sheetViews>
  <sheetFormatPr baseColWidth="10" defaultRowHeight="12.75" x14ac:dyDescent="0.2"/>
  <cols>
    <col min="1" max="1" width="32.7109375" customWidth="1"/>
    <col min="2" max="3" width="13.42578125" customWidth="1"/>
    <col min="4" max="5" width="18" customWidth="1"/>
    <col min="6" max="6" width="19.5703125" customWidth="1"/>
    <col min="7" max="9" width="13.42578125" customWidth="1"/>
    <col min="10" max="10" width="13.7109375" customWidth="1"/>
    <col min="11" max="11" width="13.42578125" customWidth="1"/>
    <col min="13" max="16" width="13.42578125" customWidth="1"/>
    <col min="23" max="23" width="13.42578125" customWidth="1"/>
  </cols>
  <sheetData>
    <row r="1" spans="1:28" ht="15.75" x14ac:dyDescent="0.25">
      <c r="A1" s="1" t="s">
        <v>11</v>
      </c>
    </row>
    <row r="4" spans="1:28" ht="18" x14ac:dyDescent="0.25">
      <c r="A4" s="2" t="s">
        <v>27</v>
      </c>
    </row>
    <row r="5" spans="1:28" ht="16.5" customHeight="1" x14ac:dyDescent="0.2"/>
    <row r="6" spans="1:28" x14ac:dyDescent="0.2">
      <c r="A6" t="s">
        <v>33</v>
      </c>
      <c r="S6" s="49" t="s">
        <v>19</v>
      </c>
      <c r="T6" s="49"/>
      <c r="U6" s="49"/>
      <c r="V6" s="49"/>
      <c r="W6" s="49"/>
      <c r="X6" s="49"/>
    </row>
    <row r="7" spans="1:28" ht="28.5" customHeight="1" x14ac:dyDescent="0.2">
      <c r="A7" s="37"/>
      <c r="B7" s="38" t="s">
        <v>0</v>
      </c>
      <c r="C7" s="39" t="s">
        <v>30</v>
      </c>
      <c r="D7" s="39" t="s">
        <v>31</v>
      </c>
      <c r="E7" s="39" t="s">
        <v>32</v>
      </c>
      <c r="F7" s="39" t="s">
        <v>29</v>
      </c>
      <c r="G7" s="39" t="s">
        <v>2</v>
      </c>
      <c r="H7" s="39" t="s">
        <v>5</v>
      </c>
      <c r="I7" s="39" t="s">
        <v>6</v>
      </c>
      <c r="J7" s="39" t="s">
        <v>3</v>
      </c>
      <c r="K7" s="39" t="s">
        <v>4</v>
      </c>
      <c r="M7" s="39" t="s">
        <v>18</v>
      </c>
      <c r="N7" s="39" t="s">
        <v>28</v>
      </c>
      <c r="O7" s="39" t="s">
        <v>19</v>
      </c>
      <c r="P7" s="39" t="s">
        <v>12</v>
      </c>
      <c r="Q7" s="32"/>
      <c r="R7" s="32"/>
      <c r="S7" s="39" t="s">
        <v>2</v>
      </c>
      <c r="T7" s="39" t="s">
        <v>4</v>
      </c>
      <c r="U7" s="39" t="s">
        <v>1</v>
      </c>
      <c r="V7" s="39" t="s">
        <v>26</v>
      </c>
      <c r="W7" s="39" t="s">
        <v>29</v>
      </c>
      <c r="X7" s="39" t="s">
        <v>0</v>
      </c>
      <c r="Y7" s="32"/>
      <c r="Z7" s="32"/>
    </row>
    <row r="8" spans="1:28" s="6" customFormat="1" ht="35.25" customHeight="1" x14ac:dyDescent="0.2">
      <c r="A8" s="40" t="s">
        <v>7</v>
      </c>
      <c r="B8" s="41">
        <v>607215.5</v>
      </c>
      <c r="C8" s="41">
        <v>94124.5</v>
      </c>
      <c r="D8" s="51">
        <v>372121.25</v>
      </c>
      <c r="E8" s="51">
        <v>276884.5</v>
      </c>
      <c r="F8" s="41">
        <v>178010.75</v>
      </c>
      <c r="G8" s="41">
        <f>4179.25+86</f>
        <v>4265.25</v>
      </c>
      <c r="H8" s="41">
        <v>0</v>
      </c>
      <c r="I8" s="41">
        <v>519354.25</v>
      </c>
      <c r="J8" s="41">
        <v>0</v>
      </c>
      <c r="K8" s="41">
        <v>0</v>
      </c>
      <c r="M8" s="41"/>
      <c r="N8" s="41">
        <f>SUM(B8:M8)</f>
        <v>2051976</v>
      </c>
      <c r="O8" s="41">
        <f>S8+T8+U8+V8+W8+X8</f>
        <v>47834.76</v>
      </c>
      <c r="P8" s="41">
        <f>N8+O8</f>
        <v>2099810.7599999998</v>
      </c>
      <c r="Q8" s="46"/>
      <c r="R8" s="45"/>
      <c r="S8" s="41"/>
      <c r="T8" s="41"/>
      <c r="U8" s="41">
        <f>4134.56+1427+468.9+3900</f>
        <v>9930.4599999999991</v>
      </c>
      <c r="V8" s="41">
        <v>1546.3</v>
      </c>
      <c r="W8" s="41">
        <f>2060+2760+2760+1900+1900+1900+8555.6+2760+2760+2760+2760</f>
        <v>32875.599999999999</v>
      </c>
      <c r="X8" s="41">
        <f>1982.4+1500</f>
        <v>3482.4</v>
      </c>
      <c r="Y8" s="33"/>
      <c r="Z8" s="33"/>
    </row>
    <row r="9" spans="1:28" s="6" customFormat="1" ht="35.25" customHeight="1" x14ac:dyDescent="0.2">
      <c r="A9" s="40"/>
      <c r="B9" s="41"/>
      <c r="C9" s="41"/>
      <c r="D9" s="42"/>
      <c r="E9" s="42"/>
      <c r="F9" s="41"/>
      <c r="G9" s="41"/>
      <c r="H9" s="41"/>
      <c r="I9" s="41"/>
      <c r="J9" s="41"/>
      <c r="K9" s="41"/>
      <c r="M9" s="41"/>
      <c r="N9" s="41"/>
      <c r="O9" s="41"/>
      <c r="P9" s="41"/>
      <c r="Q9" s="46"/>
      <c r="R9" s="45"/>
      <c r="S9" s="41"/>
      <c r="T9" s="41"/>
      <c r="U9" s="41"/>
      <c r="V9" s="41"/>
      <c r="W9" s="41"/>
      <c r="X9" s="41"/>
      <c r="Y9" s="33"/>
      <c r="Z9" s="33"/>
    </row>
    <row r="10" spans="1:28" s="6" customFormat="1" ht="35.25" customHeight="1" x14ac:dyDescent="0.2">
      <c r="A10" s="40"/>
      <c r="B10" s="41"/>
      <c r="C10" s="41"/>
      <c r="D10" s="42"/>
      <c r="E10" s="42"/>
      <c r="F10" s="41"/>
      <c r="G10" s="41"/>
      <c r="H10" s="41"/>
      <c r="I10" s="41"/>
      <c r="J10" s="41"/>
      <c r="K10" s="41"/>
      <c r="M10" s="41"/>
      <c r="N10" s="41"/>
      <c r="O10" s="41"/>
      <c r="P10" s="41"/>
      <c r="Q10" s="46"/>
      <c r="R10" s="45"/>
      <c r="S10" s="41"/>
      <c r="T10" s="41"/>
      <c r="U10" s="41"/>
      <c r="V10" s="41"/>
      <c r="W10" s="41"/>
      <c r="X10" s="41"/>
      <c r="Y10" s="33"/>
      <c r="Z10" s="33"/>
    </row>
    <row r="11" spans="1:28" s="6" customFormat="1" ht="35.25" customHeight="1" x14ac:dyDescent="0.2">
      <c r="A11" s="40"/>
      <c r="B11" s="41"/>
      <c r="C11" s="41"/>
      <c r="D11" s="42"/>
      <c r="E11" s="42"/>
      <c r="F11" s="41"/>
      <c r="G11" s="41"/>
      <c r="H11" s="41"/>
      <c r="I11" s="41"/>
      <c r="J11" s="41"/>
      <c r="K11" s="41"/>
      <c r="M11" s="41"/>
      <c r="N11" s="41"/>
      <c r="O11" s="41"/>
      <c r="P11" s="41"/>
      <c r="Q11" s="46"/>
      <c r="R11" s="45"/>
      <c r="S11" s="41"/>
      <c r="T11" s="41"/>
      <c r="U11" s="41"/>
      <c r="V11" s="41"/>
      <c r="W11" s="41"/>
      <c r="X11" s="41"/>
      <c r="Y11" s="34"/>
      <c r="Z11" s="34"/>
    </row>
    <row r="12" spans="1:28" ht="27" customHeight="1" x14ac:dyDescent="0.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M12" s="44"/>
      <c r="N12" s="44"/>
      <c r="O12" s="44"/>
      <c r="P12" s="44"/>
      <c r="Q12" s="32"/>
      <c r="R12" s="32"/>
      <c r="S12" s="32"/>
      <c r="T12" s="32"/>
      <c r="U12" s="32"/>
      <c r="V12" s="32"/>
      <c r="W12" s="32"/>
      <c r="X12" s="32"/>
      <c r="Y12" s="35"/>
      <c r="AB12" s="36"/>
    </row>
    <row r="13" spans="1:28" ht="27" customHeight="1" x14ac:dyDescent="0.2">
      <c r="A13" s="22"/>
      <c r="B13" s="23"/>
      <c r="C13" s="23"/>
      <c r="D13" s="23"/>
      <c r="E13" s="23"/>
      <c r="F13" s="44"/>
      <c r="G13" s="23"/>
      <c r="H13" s="23"/>
      <c r="I13" s="23"/>
      <c r="J13" s="23"/>
      <c r="K13" s="23"/>
      <c r="M13" s="23"/>
      <c r="N13" s="23"/>
      <c r="O13" s="23"/>
      <c r="P13" s="23"/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"/>
  <sheetViews>
    <sheetView topLeftCell="A10" zoomScale="90" zoomScaleNormal="90" workbookViewId="0">
      <selection activeCell="T37" sqref="T37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ht="18" x14ac:dyDescent="0.25">
      <c r="A6" s="2" t="s">
        <v>36</v>
      </c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B8/B$12</f>
        <v>0.56733839475452708</v>
      </c>
      <c r="D8" s="41">
        <v>739371</v>
      </c>
      <c r="E8" s="42">
        <f>D8/D$12</f>
        <v>0.48999631693083534</v>
      </c>
      <c r="F8" s="41"/>
      <c r="G8" s="41"/>
      <c r="H8" s="42">
        <f>G8/G$12</f>
        <v>0</v>
      </c>
      <c r="I8" s="41">
        <v>519211.75</v>
      </c>
      <c r="J8" s="42">
        <f>I8/I$12</f>
        <v>0.65754531048904774</v>
      </c>
      <c r="K8" s="41"/>
      <c r="L8" s="42">
        <f>K8/K$12</f>
        <v>0</v>
      </c>
      <c r="M8" s="41"/>
      <c r="N8" s="42">
        <f>M8/M$12</f>
        <v>0</v>
      </c>
      <c r="O8" s="41">
        <f>4179.25+86</f>
        <v>4265.25</v>
      </c>
      <c r="P8" s="42">
        <f>O8/O$12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T8/T$12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 t="shared" ref="C9:C11" si="0">B9/B$12</f>
        <v>0.37748878435076377</v>
      </c>
      <c r="D9" s="41">
        <v>700952</v>
      </c>
      <c r="E9" s="42">
        <f t="shared" ref="E9:E11" si="1">D9/D$12</f>
        <v>0.46453525813874619</v>
      </c>
      <c r="F9" s="41"/>
      <c r="G9" s="41">
        <f>79011+95+5149.25+142.5+155</f>
        <v>84552.75</v>
      </c>
      <c r="H9" s="42">
        <f t="shared" ref="H9:H11" si="2">G9/G$12</f>
        <v>1</v>
      </c>
      <c r="I9" s="41">
        <v>28773.75</v>
      </c>
      <c r="J9" s="42">
        <f t="shared" ref="J9:J11" si="3">I9/I$12</f>
        <v>3.6439938768111926E-2</v>
      </c>
      <c r="K9" s="41">
        <v>44043</v>
      </c>
      <c r="L9" s="42">
        <f t="shared" ref="L9:L11" si="4">K9/K$12</f>
        <v>1</v>
      </c>
      <c r="M9" s="41">
        <v>45439.75</v>
      </c>
      <c r="N9" s="42">
        <f t="shared" ref="N9:N11" si="5">M9/M$12</f>
        <v>1</v>
      </c>
      <c r="O9" s="41">
        <f>51133.25</f>
        <v>51133.25</v>
      </c>
      <c r="P9" s="42">
        <f t="shared" ref="P9:P11" si="6">O9/O$12</f>
        <v>0.54557263881183049</v>
      </c>
      <c r="Q9" s="41"/>
      <c r="R9" s="41">
        <f t="shared" ref="R9:R11" si="7">B9+D9+F9+G9+I9+K9+M9+O9+Q9</f>
        <v>1474479.5</v>
      </c>
      <c r="S9" s="41">
        <f>W9+X9+Y9+Z9+AA9+AB9</f>
        <v>2474.1</v>
      </c>
      <c r="T9" s="41">
        <f t="shared" ref="T9:T11" si="8">R9+S9</f>
        <v>1476953.6</v>
      </c>
      <c r="U9" s="46">
        <f t="shared" ref="U9" si="9">T9/T$12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 t="shared" si="0"/>
        <v>3.6913017418311933E-2</v>
      </c>
      <c r="D10" s="41">
        <v>51093</v>
      </c>
      <c r="E10" s="42">
        <f t="shared" si="1"/>
        <v>3.3860378376954423E-2</v>
      </c>
      <c r="F10" s="41"/>
      <c r="G10" s="41"/>
      <c r="H10" s="42">
        <f t="shared" si="2"/>
        <v>0</v>
      </c>
      <c r="I10" s="41">
        <v>53999.5</v>
      </c>
      <c r="J10" s="42">
        <f t="shared" si="3"/>
        <v>6.8386584074326767E-2</v>
      </c>
      <c r="K10" s="41"/>
      <c r="L10" s="42">
        <f t="shared" si="4"/>
        <v>0</v>
      </c>
      <c r="M10" s="41"/>
      <c r="N10" s="42">
        <f t="shared" si="5"/>
        <v>0</v>
      </c>
      <c r="O10" s="41">
        <f>17613.5+1342+1647+793+12503+122+1037+488+2658+122</f>
        <v>38325.5</v>
      </c>
      <c r="P10" s="42">
        <f t="shared" si="6"/>
        <v>0.4089187401305962</v>
      </c>
      <c r="Q10" s="41"/>
      <c r="R10" s="41">
        <f t="shared" si="7"/>
        <v>194226</v>
      </c>
      <c r="S10" s="41">
        <f>W10</f>
        <v>1453.15</v>
      </c>
      <c r="T10" s="41">
        <f t="shared" si="8"/>
        <v>195679.15</v>
      </c>
      <c r="U10" s="46">
        <f>T10/T$12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 t="shared" si="0"/>
        <v>1.8259803476397187E-2</v>
      </c>
      <c r="D11" s="41">
        <v>17515.75</v>
      </c>
      <c r="E11" s="42">
        <f t="shared" si="1"/>
        <v>1.1608046553464065E-2</v>
      </c>
      <c r="F11" s="41"/>
      <c r="G11" s="41"/>
      <c r="H11" s="42">
        <f t="shared" si="2"/>
        <v>0</v>
      </c>
      <c r="I11" s="41">
        <v>187636.25</v>
      </c>
      <c r="J11" s="42">
        <f t="shared" si="3"/>
        <v>0.23762816666851355</v>
      </c>
      <c r="K11" s="41"/>
      <c r="L11" s="42">
        <f t="shared" si="4"/>
        <v>0</v>
      </c>
      <c r="M11" s="41"/>
      <c r="N11" s="42">
        <f t="shared" si="5"/>
        <v>0</v>
      </c>
      <c r="O11" s="41"/>
      <c r="P11" s="42">
        <f t="shared" si="6"/>
        <v>0</v>
      </c>
      <c r="Q11" s="41"/>
      <c r="R11" s="41">
        <f t="shared" si="7"/>
        <v>230285.25</v>
      </c>
      <c r="S11" s="41"/>
      <c r="T11" s="41">
        <f t="shared" si="8"/>
        <v>230285.25</v>
      </c>
      <c r="U11" s="46">
        <f>T11/T$12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ht="27" customHeight="1" x14ac:dyDescent="0.2">
      <c r="A12" s="43" t="s">
        <v>12</v>
      </c>
      <c r="B12" s="44">
        <f>SUM(B8:B11)</f>
        <v>1376425</v>
      </c>
      <c r="C12" s="44"/>
      <c r="D12" s="44">
        <f>SUM(D8:D11)</f>
        <v>1508931.75</v>
      </c>
      <c r="E12" s="44"/>
      <c r="F12" s="44"/>
      <c r="G12" s="44">
        <f t="shared" ref="G12:O12" si="10">SUM(G8:G11)</f>
        <v>84552.75</v>
      </c>
      <c r="H12" s="44"/>
      <c r="I12" s="44">
        <f t="shared" si="10"/>
        <v>789621.25</v>
      </c>
      <c r="J12" s="44"/>
      <c r="K12" s="44">
        <f t="shared" si="10"/>
        <v>44043</v>
      </c>
      <c r="L12" s="44"/>
      <c r="M12" s="44">
        <f t="shared" si="10"/>
        <v>45439.75</v>
      </c>
      <c r="N12" s="44"/>
      <c r="O12" s="44">
        <f t="shared" si="10"/>
        <v>93724</v>
      </c>
      <c r="P12" s="44"/>
      <c r="Q12" s="44"/>
      <c r="R12" s="44">
        <f>SUM(R8:R11)</f>
        <v>3942737.5</v>
      </c>
      <c r="S12" s="44">
        <f>SUM(S8:S11)</f>
        <v>51762.01</v>
      </c>
      <c r="T12" s="44">
        <f>SUM(T8:T11)</f>
        <v>3994499.5100000002</v>
      </c>
      <c r="U12" s="32"/>
      <c r="V12" s="32"/>
      <c r="W12" s="32"/>
      <c r="X12" s="32"/>
      <c r="Y12" s="32"/>
      <c r="Z12" s="32"/>
      <c r="AA12" s="32"/>
      <c r="AB12" s="32"/>
      <c r="AC12" s="35"/>
      <c r="AF12" s="36"/>
    </row>
    <row r="13" spans="1:32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 t="s">
        <v>16</v>
      </c>
      <c r="R13" s="66">
        <v>92075</v>
      </c>
      <c r="S13" s="23"/>
      <c r="T13" s="23"/>
    </row>
    <row r="14" spans="1:32" ht="20.25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 t="s">
        <v>12</v>
      </c>
      <c r="R14" s="63">
        <f>SUM(R12:R13)</f>
        <v>4034812.5</v>
      </c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ht="18" x14ac:dyDescent="0.2">
      <c r="A16" s="24" t="s">
        <v>22</v>
      </c>
    </row>
    <row r="17" spans="1:20" ht="28.5" customHeight="1" x14ac:dyDescent="0.2">
      <c r="A17" s="3"/>
      <c r="B17" s="53" t="s">
        <v>0</v>
      </c>
      <c r="C17" s="53"/>
      <c r="D17" s="54" t="s">
        <v>1</v>
      </c>
      <c r="E17" s="54"/>
      <c r="F17" s="54" t="s">
        <v>16</v>
      </c>
      <c r="G17" s="54" t="s">
        <v>5</v>
      </c>
      <c r="H17" s="54"/>
      <c r="I17" s="54" t="s">
        <v>6</v>
      </c>
      <c r="J17" s="54"/>
      <c r="K17" s="54" t="s">
        <v>3</v>
      </c>
      <c r="L17" s="54"/>
      <c r="M17" s="54" t="s">
        <v>4</v>
      </c>
      <c r="N17" s="54"/>
      <c r="O17" s="54" t="s">
        <v>2</v>
      </c>
      <c r="P17" s="54"/>
      <c r="Q17" s="4" t="s">
        <v>18</v>
      </c>
      <c r="R17" s="4"/>
      <c r="S17" s="4" t="s">
        <v>19</v>
      </c>
      <c r="T17" s="4" t="s">
        <v>12</v>
      </c>
    </row>
    <row r="18" spans="1:20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/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/>
      <c r="S18" s="10">
        <v>39525</v>
      </c>
      <c r="T18" s="5">
        <f>SUM(B18:S18)</f>
        <v>3024975</v>
      </c>
    </row>
    <row r="19" spans="1:20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10"/>
      <c r="T19" s="5">
        <f>SUM(K19:S19)</f>
        <v>371784.94</v>
      </c>
    </row>
    <row r="20" spans="1:20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/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5">
        <f>SUM(B20:O20)</f>
        <v>20682.82</v>
      </c>
    </row>
    <row r="21" spans="1:20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0"/>
      <c r="T21" s="5">
        <f>SUM(T18:T20)</f>
        <v>3417442.76</v>
      </c>
    </row>
    <row r="22" spans="1:20" ht="16.5" customHeight="1" x14ac:dyDescent="0.2">
      <c r="A22" s="13" t="s">
        <v>23</v>
      </c>
      <c r="B22" s="14">
        <v>150933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17860</v>
      </c>
      <c r="T22" s="15">
        <f>SUM(B22:S22)</f>
        <v>168793</v>
      </c>
    </row>
    <row r="23" spans="1:20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>
        <v>0</v>
      </c>
      <c r="T23" s="21">
        <f>SUM(B23:S23)</f>
        <v>69900</v>
      </c>
    </row>
    <row r="24" spans="1:20" ht="16.5" customHeight="1" x14ac:dyDescent="0.2">
      <c r="A24" s="16" t="s">
        <v>24</v>
      </c>
      <c r="B24" s="17">
        <v>162587.75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12255.6</v>
      </c>
      <c r="T24" s="18">
        <f>SUM(B24:S24)</f>
        <v>174843.35</v>
      </c>
    </row>
    <row r="25" spans="1:20" ht="19.5" customHeight="1" x14ac:dyDescent="0.2">
      <c r="A25" s="27" t="s">
        <v>21</v>
      </c>
      <c r="B25" s="28">
        <f>SUM(B22:B24)</f>
        <v>383420.75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"/>
    </row>
    <row r="26" spans="1:20" ht="19.5" customHeight="1" x14ac:dyDescent="0.2">
      <c r="A26" s="9"/>
      <c r="B26" s="10"/>
      <c r="C26" s="10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"/>
      <c r="R26" s="3"/>
      <c r="S26" s="3"/>
      <c r="T26" s="5"/>
    </row>
    <row r="27" spans="1:20" ht="28.5" customHeight="1" x14ac:dyDescent="0.2">
      <c r="A27" s="25" t="s">
        <v>25</v>
      </c>
      <c r="B27" s="10">
        <f>B18+B20+B25+B19</f>
        <v>1424067.63</v>
      </c>
      <c r="C27" s="10"/>
      <c r="D27" s="10">
        <f>D18+D20+D25+D19</f>
        <v>1133743.75</v>
      </c>
      <c r="E27" s="10"/>
      <c r="F27" s="10"/>
      <c r="G27" s="10">
        <f t="shared" ref="G27:Q27" si="11">G18+G20+G25+G19</f>
        <v>140304.69</v>
      </c>
      <c r="H27" s="10"/>
      <c r="I27" s="10">
        <f t="shared" si="11"/>
        <v>691437.5</v>
      </c>
      <c r="J27" s="10"/>
      <c r="K27" s="10">
        <f t="shared" si="11"/>
        <v>35085</v>
      </c>
      <c r="L27" s="10"/>
      <c r="M27" s="10">
        <f t="shared" si="11"/>
        <v>44925</v>
      </c>
      <c r="N27" s="10"/>
      <c r="O27" s="10">
        <f t="shared" si="11"/>
        <v>152200</v>
      </c>
      <c r="P27" s="10"/>
      <c r="Q27" s="10">
        <f t="shared" si="11"/>
        <v>139574.94</v>
      </c>
      <c r="R27" s="61">
        <f>SUM(B27:Q27)</f>
        <v>3761338.51</v>
      </c>
      <c r="S27" s="10">
        <f>S18+S20+S25+S22+S23+S24</f>
        <v>69640.600000000006</v>
      </c>
      <c r="T27" s="26">
        <f>SUM(R27:S27)</f>
        <v>3830979.11</v>
      </c>
    </row>
    <row r="28" spans="1:20" ht="23.25" customHeight="1" x14ac:dyDescent="0.2">
      <c r="A28" s="7" t="s">
        <v>37</v>
      </c>
      <c r="B28" s="8">
        <f>B27-B12</f>
        <v>47642.629999999888</v>
      </c>
      <c r="C28" s="8"/>
      <c r="D28" s="8">
        <f>D27-D12</f>
        <v>-375188</v>
      </c>
      <c r="E28" s="56"/>
      <c r="F28" s="8"/>
      <c r="G28" s="8">
        <f>G27-G12</f>
        <v>55751.94</v>
      </c>
      <c r="H28" s="56"/>
      <c r="I28" s="8">
        <f>I27-I12</f>
        <v>-98183.75</v>
      </c>
      <c r="J28" s="56"/>
      <c r="K28" s="8">
        <f>K27-K12</f>
        <v>-8958</v>
      </c>
      <c r="L28" s="56"/>
      <c r="M28" s="8">
        <f>M27-M12</f>
        <v>-514.75</v>
      </c>
      <c r="N28" s="56"/>
      <c r="O28" s="8">
        <f>O27-O12</f>
        <v>58476</v>
      </c>
      <c r="P28" s="56"/>
      <c r="Q28" s="8">
        <f>Q27-Q12</f>
        <v>139574.94</v>
      </c>
      <c r="R28" s="64">
        <f ca="1">SUM(B28:S28)</f>
        <v>-181398.99000000011</v>
      </c>
      <c r="S28" s="11"/>
    </row>
    <row r="29" spans="1:20" ht="16.5" customHeight="1" x14ac:dyDescent="0.2">
      <c r="A29" s="7"/>
      <c r="B29" s="8"/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S29" s="11"/>
      <c r="T29" s="12"/>
    </row>
    <row r="30" spans="1:20" x14ac:dyDescent="0.2">
      <c r="A30" t="s">
        <v>13</v>
      </c>
      <c r="S30" s="50"/>
    </row>
    <row r="31" spans="1:20" x14ac:dyDescent="0.2">
      <c r="S31" s="50"/>
    </row>
    <row r="32" spans="1:20" ht="27.75" customHeight="1" x14ac:dyDescent="0.2">
      <c r="O32" s="78" t="s">
        <v>38</v>
      </c>
      <c r="P32" s="79"/>
      <c r="Q32" s="79"/>
      <c r="R32" s="64">
        <f>R12-R27</f>
        <v>181398.99000000022</v>
      </c>
      <c r="T32" s="50"/>
    </row>
    <row r="33" spans="15:20" ht="25.5" customHeight="1" x14ac:dyDescent="0.2">
      <c r="O33" s="78" t="s">
        <v>16</v>
      </c>
      <c r="P33" s="79"/>
      <c r="Q33" s="79"/>
      <c r="R33" s="65">
        <v>92075</v>
      </c>
    </row>
    <row r="34" spans="15:20" ht="19.5" customHeight="1" x14ac:dyDescent="0.2">
      <c r="O34" s="78" t="s">
        <v>12</v>
      </c>
      <c r="P34" s="79"/>
      <c r="Q34" s="79"/>
      <c r="R34" s="67">
        <f>SUM(R32:R33)</f>
        <v>273473.99000000022</v>
      </c>
    </row>
    <row r="35" spans="15:20" ht="19.5" customHeight="1" x14ac:dyDescent="0.2">
      <c r="O35" s="78"/>
      <c r="P35" s="79"/>
      <c r="Q35" s="79"/>
      <c r="R35" s="12"/>
    </row>
    <row r="36" spans="15:20" ht="19.5" customHeight="1" x14ac:dyDescent="0.2"/>
    <row r="37" spans="15:20" ht="19.5" customHeight="1" x14ac:dyDescent="0.2">
      <c r="O37" t="s">
        <v>39</v>
      </c>
      <c r="R37" s="68">
        <v>273474</v>
      </c>
    </row>
    <row r="38" spans="15:20" ht="19.5" customHeight="1" x14ac:dyDescent="0.2">
      <c r="O38" t="s">
        <v>41</v>
      </c>
      <c r="R38" s="60">
        <f>3761338.51</f>
        <v>3761338.51</v>
      </c>
    </row>
    <row r="40" spans="15:20" ht="21.75" customHeight="1" x14ac:dyDescent="0.2">
      <c r="O40" t="s">
        <v>42</v>
      </c>
      <c r="R40" s="62">
        <f>SUM(R37:R38)</f>
        <v>4034812.51</v>
      </c>
      <c r="S40" s="50"/>
      <c r="T40" s="50"/>
    </row>
  </sheetData>
  <mergeCells count="4">
    <mergeCell ref="O32:Q32"/>
    <mergeCell ref="O33:Q33"/>
    <mergeCell ref="O34:Q34"/>
    <mergeCell ref="O35:Q35"/>
  </mergeCells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8"/>
  <sheetViews>
    <sheetView zoomScale="90" zoomScaleNormal="90" workbookViewId="0">
      <selection activeCell="D38" sqref="D38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ht="18" x14ac:dyDescent="0.25">
      <c r="A6" s="2" t="s">
        <v>36</v>
      </c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B8/B$12</f>
        <v>0.56733839475452708</v>
      </c>
      <c r="D8" s="41">
        <v>739371</v>
      </c>
      <c r="E8" s="42">
        <f>D8/D$12</f>
        <v>0.48999631693083534</v>
      </c>
      <c r="F8" s="41"/>
      <c r="G8" s="41"/>
      <c r="H8" s="42">
        <f>G8/G$12</f>
        <v>0</v>
      </c>
      <c r="I8" s="41">
        <v>519211.75</v>
      </c>
      <c r="J8" s="42">
        <f>I8/I$12</f>
        <v>0.65754531048904774</v>
      </c>
      <c r="K8" s="41"/>
      <c r="L8" s="42">
        <f>K8/K$12</f>
        <v>0</v>
      </c>
      <c r="M8" s="41"/>
      <c r="N8" s="42">
        <f>M8/M$12</f>
        <v>0</v>
      </c>
      <c r="O8" s="41">
        <f>4179.25+86</f>
        <v>4265.25</v>
      </c>
      <c r="P8" s="42">
        <f>O8/O$12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T8/T$12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 t="shared" ref="C9:C11" si="0">B9/B$12</f>
        <v>0.37748878435076377</v>
      </c>
      <c r="D9" s="41">
        <v>700952</v>
      </c>
      <c r="E9" s="42">
        <f t="shared" ref="E9:E11" si="1">D9/D$12</f>
        <v>0.46453525813874619</v>
      </c>
      <c r="F9" s="41"/>
      <c r="G9" s="41">
        <f>79011+95+5149.25+142.5+155</f>
        <v>84552.75</v>
      </c>
      <c r="H9" s="42">
        <f t="shared" ref="H9:H11" si="2">G9/G$12</f>
        <v>1</v>
      </c>
      <c r="I9" s="41">
        <v>28773.75</v>
      </c>
      <c r="J9" s="42">
        <f t="shared" ref="J9:J11" si="3">I9/I$12</f>
        <v>3.6439938768111926E-2</v>
      </c>
      <c r="K9" s="41">
        <v>44043</v>
      </c>
      <c r="L9" s="42">
        <f t="shared" ref="L9:L11" si="4">K9/K$12</f>
        <v>1</v>
      </c>
      <c r="M9" s="41">
        <v>45439.75</v>
      </c>
      <c r="N9" s="42">
        <f t="shared" ref="N9:N11" si="5">M9/M$12</f>
        <v>1</v>
      </c>
      <c r="O9" s="41">
        <f>51133.25</f>
        <v>51133.25</v>
      </c>
      <c r="P9" s="42">
        <f t="shared" ref="P9:P11" si="6">O9/O$12</f>
        <v>0.54557263881183049</v>
      </c>
      <c r="Q9" s="41"/>
      <c r="R9" s="41">
        <f t="shared" ref="R9:R11" si="7">B9+D9+F9+G9+I9+K9+M9+O9+Q9</f>
        <v>1474479.5</v>
      </c>
      <c r="S9" s="41">
        <f>W9+X9+Y9+Z9+AA9+AB9</f>
        <v>2474.1</v>
      </c>
      <c r="T9" s="41">
        <f t="shared" ref="T9:T11" si="8">R9+S9</f>
        <v>1476953.6</v>
      </c>
      <c r="U9" s="46">
        <f t="shared" ref="U9" si="9">T9/T$12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 t="shared" si="0"/>
        <v>3.6913017418311933E-2</v>
      </c>
      <c r="D10" s="41">
        <v>51093</v>
      </c>
      <c r="E10" s="42">
        <f t="shared" si="1"/>
        <v>3.3860378376954423E-2</v>
      </c>
      <c r="F10" s="41"/>
      <c r="G10" s="41"/>
      <c r="H10" s="42">
        <f t="shared" si="2"/>
        <v>0</v>
      </c>
      <c r="I10" s="41">
        <v>53999.5</v>
      </c>
      <c r="J10" s="42">
        <f t="shared" si="3"/>
        <v>6.8386584074326767E-2</v>
      </c>
      <c r="K10" s="41"/>
      <c r="L10" s="42">
        <f t="shared" si="4"/>
        <v>0</v>
      </c>
      <c r="M10" s="41"/>
      <c r="N10" s="42">
        <f t="shared" si="5"/>
        <v>0</v>
      </c>
      <c r="O10" s="41">
        <f>17613.5+1342+1647+793+12503+122+1037+488+2658+122</f>
        <v>38325.5</v>
      </c>
      <c r="P10" s="42">
        <f t="shared" si="6"/>
        <v>0.4089187401305962</v>
      </c>
      <c r="Q10" s="41"/>
      <c r="R10" s="41">
        <f t="shared" si="7"/>
        <v>194226</v>
      </c>
      <c r="S10" s="41">
        <f>W10</f>
        <v>1453.15</v>
      </c>
      <c r="T10" s="41">
        <f t="shared" si="8"/>
        <v>195679.15</v>
      </c>
      <c r="U10" s="46">
        <f>T10/T$12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 t="shared" si="0"/>
        <v>1.8259803476397187E-2</v>
      </c>
      <c r="D11" s="41">
        <v>17515.75</v>
      </c>
      <c r="E11" s="42">
        <f t="shared" si="1"/>
        <v>1.1608046553464065E-2</v>
      </c>
      <c r="F11" s="41"/>
      <c r="G11" s="41"/>
      <c r="H11" s="42">
        <f t="shared" si="2"/>
        <v>0</v>
      </c>
      <c r="I11" s="41">
        <v>187636.25</v>
      </c>
      <c r="J11" s="42">
        <f t="shared" si="3"/>
        <v>0.23762816666851355</v>
      </c>
      <c r="K11" s="41"/>
      <c r="L11" s="42">
        <f t="shared" si="4"/>
        <v>0</v>
      </c>
      <c r="M11" s="41"/>
      <c r="N11" s="42">
        <f t="shared" si="5"/>
        <v>0</v>
      </c>
      <c r="O11" s="41"/>
      <c r="P11" s="42">
        <f t="shared" si="6"/>
        <v>0</v>
      </c>
      <c r="Q11" s="41"/>
      <c r="R11" s="41">
        <f t="shared" si="7"/>
        <v>230285.25</v>
      </c>
      <c r="S11" s="41"/>
      <c r="T11" s="41">
        <f t="shared" si="8"/>
        <v>230285.25</v>
      </c>
      <c r="U11" s="46">
        <f>T11/T$12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ht="27" customHeight="1" x14ac:dyDescent="0.2">
      <c r="A12" s="43" t="s">
        <v>12</v>
      </c>
      <c r="B12" s="44">
        <f>SUM(B8:B11)</f>
        <v>1376425</v>
      </c>
      <c r="C12" s="44"/>
      <c r="D12" s="44">
        <f>SUM(D8:D11)</f>
        <v>1508931.75</v>
      </c>
      <c r="E12" s="44"/>
      <c r="F12" s="44"/>
      <c r="G12" s="44">
        <f t="shared" ref="G12:O12" si="10">SUM(G8:G11)</f>
        <v>84552.75</v>
      </c>
      <c r="H12" s="44"/>
      <c r="I12" s="44">
        <f t="shared" si="10"/>
        <v>789621.25</v>
      </c>
      <c r="J12" s="44"/>
      <c r="K12" s="44">
        <f t="shared" si="10"/>
        <v>44043</v>
      </c>
      <c r="L12" s="44"/>
      <c r="M12" s="44">
        <f t="shared" si="10"/>
        <v>45439.75</v>
      </c>
      <c r="N12" s="44"/>
      <c r="O12" s="44">
        <f t="shared" si="10"/>
        <v>93724</v>
      </c>
      <c r="P12" s="44"/>
      <c r="Q12" s="44"/>
      <c r="R12" s="44">
        <f>SUM(R8:R11)</f>
        <v>3942737.5</v>
      </c>
      <c r="S12" s="44">
        <f>SUM(S8:S11)</f>
        <v>51762.01</v>
      </c>
      <c r="T12" s="44">
        <f>SUM(T8:T11)</f>
        <v>3994499.5100000002</v>
      </c>
      <c r="U12" s="32"/>
      <c r="V12" s="32"/>
      <c r="W12" s="32"/>
      <c r="X12" s="32"/>
      <c r="Y12" s="32"/>
      <c r="Z12" s="32"/>
      <c r="AA12" s="32"/>
      <c r="AB12" s="32"/>
      <c r="AC12" s="35"/>
      <c r="AF12" s="36"/>
    </row>
    <row r="13" spans="1:32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 t="s">
        <v>16</v>
      </c>
      <c r="R13" s="66">
        <v>92075</v>
      </c>
      <c r="S13" s="23"/>
      <c r="T13" s="23"/>
    </row>
    <row r="14" spans="1:32" ht="20.25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 t="s">
        <v>12</v>
      </c>
      <c r="R14" s="63">
        <f>SUM(R12:R13)</f>
        <v>4034812.5</v>
      </c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ht="18" x14ac:dyDescent="0.2">
      <c r="A16" s="24" t="s">
        <v>22</v>
      </c>
    </row>
    <row r="17" spans="1:20" ht="28.5" customHeight="1" x14ac:dyDescent="0.2">
      <c r="A17" s="3"/>
      <c r="B17" s="53" t="s">
        <v>0</v>
      </c>
      <c r="C17" s="53"/>
      <c r="D17" s="54" t="s">
        <v>1</v>
      </c>
      <c r="E17" s="54"/>
      <c r="F17" s="54" t="s">
        <v>16</v>
      </c>
      <c r="G17" s="54" t="s">
        <v>5</v>
      </c>
      <c r="H17" s="54"/>
      <c r="I17" s="54" t="s">
        <v>6</v>
      </c>
      <c r="J17" s="54"/>
      <c r="K17" s="54" t="s">
        <v>3</v>
      </c>
      <c r="L17" s="54"/>
      <c r="M17" s="54" t="s">
        <v>4</v>
      </c>
      <c r="N17" s="54"/>
      <c r="O17" s="54" t="s">
        <v>2</v>
      </c>
      <c r="P17" s="54"/>
      <c r="Q17" s="4" t="s">
        <v>18</v>
      </c>
      <c r="R17" s="4"/>
      <c r="S17" s="4" t="s">
        <v>19</v>
      </c>
      <c r="T17" s="4" t="s">
        <v>12</v>
      </c>
    </row>
    <row r="18" spans="1:20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/>
      <c r="S18" s="10">
        <v>39525</v>
      </c>
      <c r="T18" s="5">
        <f>SUM(B18:S18)</f>
        <v>3117050</v>
      </c>
    </row>
    <row r="19" spans="1:20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10"/>
      <c r="T19" s="5">
        <f>SUM(K19:S19)</f>
        <v>371784.94</v>
      </c>
    </row>
    <row r="20" spans="1:20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/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5">
        <f>SUM(B20:O20)</f>
        <v>20682.82</v>
      </c>
    </row>
    <row r="21" spans="1:20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0"/>
      <c r="T21" s="5">
        <f>SUM(T18:T20)</f>
        <v>3509517.76</v>
      </c>
    </row>
    <row r="22" spans="1:20" ht="16.5" customHeight="1" x14ac:dyDescent="0.2">
      <c r="A22" s="13" t="s">
        <v>23</v>
      </c>
      <c r="B22" s="14">
        <v>150933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17860</v>
      </c>
      <c r="T22" s="15">
        <f>SUM(B22:S22)</f>
        <v>168793</v>
      </c>
    </row>
    <row r="23" spans="1:20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>
        <v>0</v>
      </c>
      <c r="T23" s="21">
        <f>SUM(B23:S23)</f>
        <v>69900</v>
      </c>
    </row>
    <row r="24" spans="1:20" ht="16.5" customHeight="1" x14ac:dyDescent="0.2">
      <c r="A24" s="16" t="s">
        <v>24</v>
      </c>
      <c r="B24" s="17">
        <v>162587.75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12255.6</v>
      </c>
      <c r="T24" s="18">
        <f>SUM(B24:S24)</f>
        <v>174843.35</v>
      </c>
    </row>
    <row r="25" spans="1:20" ht="19.5" customHeight="1" x14ac:dyDescent="0.2">
      <c r="A25" s="27" t="s">
        <v>21</v>
      </c>
      <c r="B25" s="28">
        <f>SUM(B22:B24)</f>
        <v>383420.75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"/>
    </row>
    <row r="26" spans="1:20" ht="19.5" customHeight="1" x14ac:dyDescent="0.2">
      <c r="A26" s="9"/>
      <c r="B26" s="10"/>
      <c r="C26" s="10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"/>
      <c r="R26" s="3"/>
      <c r="S26" s="3"/>
      <c r="T26" s="5"/>
    </row>
    <row r="27" spans="1:20" ht="28.5" customHeight="1" x14ac:dyDescent="0.2">
      <c r="A27" s="25" t="s">
        <v>25</v>
      </c>
      <c r="B27" s="10">
        <f>B18+B20+B25+B19</f>
        <v>1424067.63</v>
      </c>
      <c r="C27" s="10"/>
      <c r="D27" s="10">
        <f>D18+D20+D25+D19</f>
        <v>1133743.75</v>
      </c>
      <c r="E27" s="10"/>
      <c r="F27" s="10">
        <f>F18+F20+F25+F19</f>
        <v>92075</v>
      </c>
      <c r="G27" s="10">
        <f t="shared" ref="G27:Q27" si="11">G18+G20+G25+G19</f>
        <v>140304.69</v>
      </c>
      <c r="H27" s="10"/>
      <c r="I27" s="10">
        <f t="shared" si="11"/>
        <v>691437.5</v>
      </c>
      <c r="J27" s="10"/>
      <c r="K27" s="10">
        <f t="shared" si="11"/>
        <v>35085</v>
      </c>
      <c r="L27" s="10"/>
      <c r="M27" s="10">
        <f t="shared" si="11"/>
        <v>44925</v>
      </c>
      <c r="N27" s="10"/>
      <c r="O27" s="10">
        <f t="shared" si="11"/>
        <v>152200</v>
      </c>
      <c r="P27" s="10"/>
      <c r="Q27" s="10">
        <f t="shared" si="11"/>
        <v>139574.94</v>
      </c>
      <c r="R27" s="61">
        <f>SUM(B27:Q27)</f>
        <v>3853413.51</v>
      </c>
      <c r="S27" s="10">
        <f>S18+S20+S25+S22+S23+S24</f>
        <v>69640.600000000006</v>
      </c>
      <c r="T27" s="26">
        <f>SUM(R27:S27)</f>
        <v>3923054.11</v>
      </c>
    </row>
    <row r="28" spans="1:20" ht="23.25" customHeight="1" x14ac:dyDescent="0.2">
      <c r="A28" s="7" t="s">
        <v>37</v>
      </c>
      <c r="B28" s="8">
        <f>B27-B12</f>
        <v>47642.629999999888</v>
      </c>
      <c r="C28" s="8"/>
      <c r="D28" s="8">
        <f>D27-D12</f>
        <v>-375188</v>
      </c>
      <c r="E28" s="56"/>
      <c r="F28" s="8">
        <f>F27-F12</f>
        <v>92075</v>
      </c>
      <c r="G28" s="8">
        <f>G27-G12</f>
        <v>55751.94</v>
      </c>
      <c r="H28" s="56"/>
      <c r="I28" s="8">
        <f>I27-I12</f>
        <v>-98183.75</v>
      </c>
      <c r="J28" s="56"/>
      <c r="K28" s="8">
        <f>K27-K12</f>
        <v>-8958</v>
      </c>
      <c r="L28" s="56"/>
      <c r="M28" s="8">
        <f>M27-M12</f>
        <v>-514.75</v>
      </c>
      <c r="N28" s="56"/>
      <c r="O28" s="8">
        <f>O27-O12</f>
        <v>58476</v>
      </c>
      <c r="P28" s="56"/>
      <c r="Q28" s="8">
        <f>Q27-Q12</f>
        <v>139574.94</v>
      </c>
      <c r="R28" s="64">
        <f>SUM(B28:Q28)</f>
        <v>-89323.990000000107</v>
      </c>
      <c r="S28" s="11"/>
    </row>
    <row r="29" spans="1:20" ht="16.5" customHeight="1" x14ac:dyDescent="0.2">
      <c r="A29" s="7"/>
      <c r="B29" s="8"/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S29" s="11"/>
      <c r="T29" s="12"/>
    </row>
    <row r="30" spans="1:20" x14ac:dyDescent="0.2">
      <c r="A30" t="s">
        <v>13</v>
      </c>
      <c r="S30" s="50"/>
    </row>
    <row r="31" spans="1:20" x14ac:dyDescent="0.2">
      <c r="S31" s="50"/>
    </row>
    <row r="32" spans="1:20" ht="27.75" customHeight="1" x14ac:dyDescent="0.2">
      <c r="O32" s="78" t="s">
        <v>38</v>
      </c>
      <c r="P32" s="79"/>
      <c r="Q32" s="79"/>
      <c r="R32" s="64">
        <f>R12-R27</f>
        <v>89323.990000000224</v>
      </c>
      <c r="T32" s="50"/>
    </row>
    <row r="33" spans="15:20" ht="25.5" customHeight="1" x14ac:dyDescent="0.2">
      <c r="O33" s="78" t="s">
        <v>16</v>
      </c>
      <c r="P33" s="79"/>
      <c r="Q33" s="79"/>
      <c r="R33" s="65">
        <v>92075</v>
      </c>
    </row>
    <row r="34" spans="15:20" ht="19.5" customHeight="1" x14ac:dyDescent="0.2">
      <c r="O34" s="78" t="s">
        <v>12</v>
      </c>
      <c r="P34" s="79"/>
      <c r="Q34" s="79"/>
      <c r="R34" s="67">
        <f>SUM(R32:R33)</f>
        <v>181398.99000000022</v>
      </c>
    </row>
    <row r="35" spans="15:20" ht="19.5" customHeight="1" x14ac:dyDescent="0.2">
      <c r="O35" s="78"/>
      <c r="P35" s="79"/>
      <c r="Q35" s="79"/>
      <c r="R35" s="12"/>
    </row>
    <row r="36" spans="15:20" ht="19.5" customHeight="1" x14ac:dyDescent="0.2"/>
    <row r="37" spans="15:20" ht="19.5" customHeight="1" x14ac:dyDescent="0.2">
      <c r="O37" t="s">
        <v>39</v>
      </c>
      <c r="R37" s="68">
        <f>R34</f>
        <v>181398.99000000022</v>
      </c>
    </row>
    <row r="38" spans="15:20" ht="19.5" customHeight="1" x14ac:dyDescent="0.2">
      <c r="O38" t="s">
        <v>41</v>
      </c>
      <c r="R38" s="60">
        <f>R27</f>
        <v>3853413.51</v>
      </c>
    </row>
    <row r="40" spans="15:20" ht="21.75" customHeight="1" x14ac:dyDescent="0.2">
      <c r="O40" t="s">
        <v>42</v>
      </c>
      <c r="R40" s="62">
        <f>SUM(R37:R38)</f>
        <v>4034812.5</v>
      </c>
      <c r="S40" s="50"/>
      <c r="T40" s="50"/>
    </row>
    <row r="46" spans="15:20" x14ac:dyDescent="0.2">
      <c r="O46" t="s">
        <v>43</v>
      </c>
      <c r="R46">
        <v>22116</v>
      </c>
    </row>
    <row r="47" spans="15:20" x14ac:dyDescent="0.2">
      <c r="O47" t="s">
        <v>44</v>
      </c>
      <c r="R47">
        <v>89324</v>
      </c>
    </row>
    <row r="48" spans="15:20" x14ac:dyDescent="0.2">
      <c r="O48" t="s">
        <v>45</v>
      </c>
      <c r="R48">
        <f>SUM(R46:R47)</f>
        <v>111440</v>
      </c>
    </row>
  </sheetData>
  <mergeCells count="4">
    <mergeCell ref="O32:Q32"/>
    <mergeCell ref="O33:Q33"/>
    <mergeCell ref="O34:Q34"/>
    <mergeCell ref="O35:Q35"/>
  </mergeCells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6"/>
  <sheetViews>
    <sheetView zoomScale="90" zoomScaleNormal="90" workbookViewId="0">
      <selection activeCell="K37" sqref="K37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46</v>
      </c>
    </row>
    <row r="5" spans="1:32" ht="16.5" customHeight="1" x14ac:dyDescent="0.2">
      <c r="D5" s="50"/>
      <c r="F5" s="50"/>
    </row>
    <row r="6" spans="1:32" ht="18" x14ac:dyDescent="0.25">
      <c r="A6" s="2" t="s">
        <v>36</v>
      </c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B8/B$12</f>
        <v>0.56733839475452708</v>
      </c>
      <c r="D8" s="41">
        <v>739371</v>
      </c>
      <c r="E8" s="42">
        <f>D8/D$12</f>
        <v>0.48999631693083534</v>
      </c>
      <c r="F8" s="41"/>
      <c r="G8" s="41"/>
      <c r="H8" s="42">
        <f>G8/G$12</f>
        <v>0</v>
      </c>
      <c r="I8" s="41">
        <v>519211.75</v>
      </c>
      <c r="J8" s="42">
        <f>I8/I$12</f>
        <v>0.65754531048904774</v>
      </c>
      <c r="K8" s="41"/>
      <c r="L8" s="42">
        <f>K8/K$12</f>
        <v>0</v>
      </c>
      <c r="M8" s="41"/>
      <c r="N8" s="42">
        <f>M8/M$12</f>
        <v>0</v>
      </c>
      <c r="O8" s="41">
        <f>4179.25+86</f>
        <v>4265.25</v>
      </c>
      <c r="P8" s="42">
        <f>O8/O$12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T8/T$12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 t="shared" ref="C9:C11" si="0">B9/B$12</f>
        <v>0.37748878435076377</v>
      </c>
      <c r="D9" s="41">
        <v>700952</v>
      </c>
      <c r="E9" s="42">
        <f t="shared" ref="E9:E11" si="1">D9/D$12</f>
        <v>0.46453525813874619</v>
      </c>
      <c r="F9" s="41"/>
      <c r="G9" s="41">
        <f>79011+95+5149.25+142.5+155</f>
        <v>84552.75</v>
      </c>
      <c r="H9" s="42">
        <f t="shared" ref="H9:H11" si="2">G9/G$12</f>
        <v>1</v>
      </c>
      <c r="I9" s="41">
        <v>28773.75</v>
      </c>
      <c r="J9" s="42">
        <f t="shared" ref="J9:J11" si="3">I9/I$12</f>
        <v>3.6439938768111926E-2</v>
      </c>
      <c r="K9" s="41">
        <v>44043</v>
      </c>
      <c r="L9" s="42">
        <f t="shared" ref="L9:L11" si="4">K9/K$12</f>
        <v>1</v>
      </c>
      <c r="M9" s="41">
        <v>45439.75</v>
      </c>
      <c r="N9" s="42">
        <f t="shared" ref="N9:N11" si="5">M9/M$12</f>
        <v>1</v>
      </c>
      <c r="O9" s="41">
        <f>51133.25</f>
        <v>51133.25</v>
      </c>
      <c r="P9" s="42">
        <f t="shared" ref="P9:P11" si="6">O9/O$12</f>
        <v>0.54557263881183049</v>
      </c>
      <c r="Q9" s="41"/>
      <c r="R9" s="41">
        <f t="shared" ref="R9:R11" si="7">B9+D9+F9+G9+I9+K9+M9+O9+Q9</f>
        <v>1474479.5</v>
      </c>
      <c r="S9" s="41">
        <f>W9+X9+Y9+Z9+AA9+AB9</f>
        <v>2474.1</v>
      </c>
      <c r="T9" s="41">
        <f t="shared" ref="T9:T11" si="8">R9+S9</f>
        <v>1476953.6</v>
      </c>
      <c r="U9" s="46">
        <f t="shared" ref="U9" si="9">T9/T$12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 t="shared" si="0"/>
        <v>3.6913017418311933E-2</v>
      </c>
      <c r="D10" s="41">
        <v>51093</v>
      </c>
      <c r="E10" s="42">
        <f t="shared" si="1"/>
        <v>3.3860378376954423E-2</v>
      </c>
      <c r="F10" s="41"/>
      <c r="G10" s="41"/>
      <c r="H10" s="42">
        <f t="shared" si="2"/>
        <v>0</v>
      </c>
      <c r="I10" s="41">
        <v>53999.5</v>
      </c>
      <c r="J10" s="42">
        <f t="shared" si="3"/>
        <v>6.8386584074326767E-2</v>
      </c>
      <c r="K10" s="41"/>
      <c r="L10" s="42">
        <f t="shared" si="4"/>
        <v>0</v>
      </c>
      <c r="M10" s="41"/>
      <c r="N10" s="42">
        <f t="shared" si="5"/>
        <v>0</v>
      </c>
      <c r="O10" s="41">
        <f>17613.5+1342+1647+793+12503+122+1037+488+2658+122</f>
        <v>38325.5</v>
      </c>
      <c r="P10" s="42">
        <f t="shared" si="6"/>
        <v>0.4089187401305962</v>
      </c>
      <c r="Q10" s="41"/>
      <c r="R10" s="41">
        <f t="shared" si="7"/>
        <v>194226</v>
      </c>
      <c r="S10" s="41">
        <f>W10</f>
        <v>1453.15</v>
      </c>
      <c r="T10" s="41">
        <f t="shared" si="8"/>
        <v>195679.15</v>
      </c>
      <c r="U10" s="46">
        <f>T10/T$12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 t="shared" si="0"/>
        <v>1.8259803476397187E-2</v>
      </c>
      <c r="D11" s="41">
        <v>17515.75</v>
      </c>
      <c r="E11" s="42">
        <f t="shared" si="1"/>
        <v>1.1608046553464065E-2</v>
      </c>
      <c r="F11" s="41"/>
      <c r="G11" s="41"/>
      <c r="H11" s="42">
        <f t="shared" si="2"/>
        <v>0</v>
      </c>
      <c r="I11" s="41">
        <v>187636.25</v>
      </c>
      <c r="J11" s="42">
        <f t="shared" si="3"/>
        <v>0.23762816666851355</v>
      </c>
      <c r="K11" s="41"/>
      <c r="L11" s="42">
        <f t="shared" si="4"/>
        <v>0</v>
      </c>
      <c r="M11" s="41"/>
      <c r="N11" s="42">
        <f t="shared" si="5"/>
        <v>0</v>
      </c>
      <c r="O11" s="41"/>
      <c r="P11" s="42">
        <f t="shared" si="6"/>
        <v>0</v>
      </c>
      <c r="Q11" s="41"/>
      <c r="R11" s="41">
        <f t="shared" si="7"/>
        <v>230285.25</v>
      </c>
      <c r="S11" s="41"/>
      <c r="T11" s="41">
        <f t="shared" si="8"/>
        <v>230285.25</v>
      </c>
      <c r="U11" s="46">
        <f>T11/T$12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ht="27" customHeight="1" x14ac:dyDescent="0.2">
      <c r="A12" s="43" t="s">
        <v>12</v>
      </c>
      <c r="B12" s="44">
        <f>SUM(B8:B11)</f>
        <v>1376425</v>
      </c>
      <c r="C12" s="44"/>
      <c r="D12" s="44">
        <f>SUM(D8:D11)</f>
        <v>1508931.75</v>
      </c>
      <c r="E12" s="44"/>
      <c r="F12" s="44"/>
      <c r="G12" s="44">
        <f t="shared" ref="G12:O12" si="10">SUM(G8:G11)</f>
        <v>84552.75</v>
      </c>
      <c r="H12" s="44"/>
      <c r="I12" s="44">
        <f t="shared" si="10"/>
        <v>789621.25</v>
      </c>
      <c r="J12" s="44"/>
      <c r="K12" s="44">
        <f t="shared" si="10"/>
        <v>44043</v>
      </c>
      <c r="L12" s="44"/>
      <c r="M12" s="44">
        <f t="shared" si="10"/>
        <v>45439.75</v>
      </c>
      <c r="N12" s="44"/>
      <c r="O12" s="44">
        <f t="shared" si="10"/>
        <v>93724</v>
      </c>
      <c r="P12" s="44"/>
      <c r="Q12" s="44"/>
      <c r="R12" s="44">
        <f>SUM(R8:R11)</f>
        <v>3942737.5</v>
      </c>
      <c r="S12" s="44">
        <f>SUM(S8:S11)</f>
        <v>51762.01</v>
      </c>
      <c r="T12" s="44">
        <f>SUM(T8:T11)</f>
        <v>3994499.5100000002</v>
      </c>
      <c r="U12" s="32"/>
      <c r="V12" s="32"/>
      <c r="W12" s="32"/>
      <c r="X12" s="32"/>
      <c r="Y12" s="32"/>
      <c r="Z12" s="32"/>
      <c r="AA12" s="32"/>
      <c r="AB12" s="32"/>
      <c r="AC12" s="35"/>
      <c r="AF12" s="36"/>
    </row>
    <row r="13" spans="1:32" ht="27" customHeight="1" x14ac:dyDescent="0.2">
      <c r="A13" s="69" t="s">
        <v>47</v>
      </c>
      <c r="B13" s="52"/>
      <c r="C13" s="52"/>
      <c r="D13" s="52">
        <v>-64944.5</v>
      </c>
      <c r="E13" s="52"/>
      <c r="F13" s="52"/>
      <c r="G13" s="52"/>
      <c r="H13" s="52"/>
      <c r="I13" s="52">
        <v>-30750.25</v>
      </c>
      <c r="J13" s="52"/>
      <c r="K13" s="52">
        <v>-5427.25</v>
      </c>
      <c r="L13" s="52"/>
      <c r="M13" s="52">
        <v>-7537.25</v>
      </c>
      <c r="N13" s="52"/>
      <c r="O13" s="52">
        <v>-2780</v>
      </c>
      <c r="P13" s="52"/>
      <c r="Q13" s="52"/>
      <c r="R13" s="73">
        <f>SUM(D13:Q13)</f>
        <v>-111439.25</v>
      </c>
      <c r="S13" s="52"/>
      <c r="T13" s="52"/>
      <c r="U13" s="32"/>
      <c r="V13" s="32"/>
      <c r="W13" s="32"/>
      <c r="X13" s="32"/>
      <c r="Y13" s="32"/>
      <c r="Z13" s="32"/>
      <c r="AA13" s="32"/>
      <c r="AB13" s="32"/>
      <c r="AC13" s="35"/>
      <c r="AF13" s="36"/>
    </row>
    <row r="14" spans="1:32" ht="27" customHeight="1" x14ac:dyDescent="0.2">
      <c r="A14" s="69" t="s">
        <v>12</v>
      </c>
      <c r="B14" s="52">
        <f>SUM(B12+B13)</f>
        <v>1376425</v>
      </c>
      <c r="C14" s="52"/>
      <c r="D14" s="52">
        <f t="shared" ref="D14:O14" si="11">SUM(D12+D13)</f>
        <v>1443987.25</v>
      </c>
      <c r="E14" s="52"/>
      <c r="F14" s="52">
        <f t="shared" si="11"/>
        <v>0</v>
      </c>
      <c r="G14" s="52">
        <f t="shared" si="11"/>
        <v>84552.75</v>
      </c>
      <c r="H14" s="52"/>
      <c r="I14" s="52">
        <f t="shared" si="11"/>
        <v>758871</v>
      </c>
      <c r="J14" s="52"/>
      <c r="K14" s="52">
        <f t="shared" si="11"/>
        <v>38615.75</v>
      </c>
      <c r="L14" s="52"/>
      <c r="M14" s="52">
        <f t="shared" si="11"/>
        <v>37902.5</v>
      </c>
      <c r="N14" s="52"/>
      <c r="O14" s="52">
        <f t="shared" si="11"/>
        <v>90944</v>
      </c>
      <c r="P14" s="52"/>
      <c r="Q14" s="52"/>
      <c r="R14" s="74">
        <f>SUM(B14:Q14)</f>
        <v>3831298.25</v>
      </c>
      <c r="S14" s="52"/>
      <c r="T14" s="52"/>
      <c r="U14" s="32"/>
      <c r="V14" s="32"/>
      <c r="W14" s="32"/>
      <c r="X14" s="32"/>
      <c r="Y14" s="32"/>
      <c r="Z14" s="32"/>
      <c r="AA14" s="32"/>
      <c r="AB14" s="32"/>
      <c r="AC14" s="35"/>
      <c r="AF14" s="36"/>
    </row>
    <row r="15" spans="1:32" ht="27" customHeight="1" x14ac:dyDescent="0.2">
      <c r="A15" s="6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75">
        <v>111440</v>
      </c>
      <c r="S15" s="52"/>
      <c r="T15" s="52"/>
      <c r="U15" s="32"/>
      <c r="V15" s="32"/>
      <c r="W15" s="32"/>
      <c r="X15" s="32"/>
      <c r="Y15" s="32"/>
      <c r="Z15" s="32"/>
      <c r="AA15" s="32"/>
      <c r="AB15" s="32"/>
      <c r="AC15" s="35"/>
      <c r="AF15" s="36"/>
    </row>
    <row r="16" spans="1:32" ht="27" customHeight="1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 t="s">
        <v>16</v>
      </c>
      <c r="R16" s="76">
        <v>92075</v>
      </c>
      <c r="S16" s="23"/>
      <c r="T16" s="23"/>
    </row>
    <row r="17" spans="1:20" ht="20.25" customHeight="1" x14ac:dyDescent="0.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 t="s">
        <v>12</v>
      </c>
      <c r="R17" s="77">
        <f>SUM(R14:R16)</f>
        <v>4034813.25</v>
      </c>
      <c r="S17" s="23"/>
      <c r="T17" s="23"/>
    </row>
    <row r="18" spans="1:20" x14ac:dyDescent="0.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8" x14ac:dyDescent="0.2">
      <c r="A19" s="24" t="s">
        <v>22</v>
      </c>
    </row>
    <row r="20" spans="1:20" ht="28.5" customHeight="1" x14ac:dyDescent="0.2">
      <c r="A20" s="3"/>
      <c r="B20" s="53" t="s">
        <v>0</v>
      </c>
      <c r="C20" s="53"/>
      <c r="D20" s="54" t="s">
        <v>1</v>
      </c>
      <c r="E20" s="54"/>
      <c r="F20" s="54" t="s">
        <v>16</v>
      </c>
      <c r="G20" s="54" t="s">
        <v>5</v>
      </c>
      <c r="H20" s="54"/>
      <c r="I20" s="54" t="s">
        <v>6</v>
      </c>
      <c r="J20" s="54"/>
      <c r="K20" s="54" t="s">
        <v>3</v>
      </c>
      <c r="L20" s="54"/>
      <c r="M20" s="54" t="s">
        <v>4</v>
      </c>
      <c r="N20" s="54"/>
      <c r="O20" s="54" t="s">
        <v>2</v>
      </c>
      <c r="P20" s="54"/>
      <c r="Q20" s="4" t="s">
        <v>18</v>
      </c>
      <c r="R20" s="4"/>
      <c r="S20" s="4" t="s">
        <v>19</v>
      </c>
      <c r="T20" s="4" t="s">
        <v>12</v>
      </c>
    </row>
    <row r="21" spans="1:20" ht="16.5" customHeight="1" x14ac:dyDescent="0.2">
      <c r="A21" s="9" t="s">
        <v>15</v>
      </c>
      <c r="B21" s="10">
        <v>1030475</v>
      </c>
      <c r="C21" s="10"/>
      <c r="D21" s="10">
        <v>1129675</v>
      </c>
      <c r="E21" s="10"/>
      <c r="F21" s="10">
        <v>92075</v>
      </c>
      <c r="G21" s="10">
        <v>136575</v>
      </c>
      <c r="H21" s="10"/>
      <c r="I21" s="10">
        <v>688725</v>
      </c>
      <c r="J21" s="10"/>
      <c r="K21" s="10"/>
      <c r="L21" s="10"/>
      <c r="M21" s="10"/>
      <c r="N21" s="10"/>
      <c r="O21" s="10"/>
      <c r="P21" s="10"/>
      <c r="Q21" s="10"/>
      <c r="R21" s="10"/>
      <c r="S21" s="10">
        <v>39525</v>
      </c>
      <c r="T21" s="5">
        <f>SUM(B21:S21)</f>
        <v>3117050</v>
      </c>
    </row>
    <row r="22" spans="1:20" ht="16.5" customHeight="1" x14ac:dyDescent="0.2">
      <c r="A22" s="9" t="s">
        <v>18</v>
      </c>
      <c r="B22" s="10"/>
      <c r="C22" s="10"/>
      <c r="D22" s="10"/>
      <c r="E22" s="10"/>
      <c r="F22" s="10"/>
      <c r="G22" s="10"/>
      <c r="H22" s="10"/>
      <c r="I22" s="10"/>
      <c r="J22" s="10"/>
      <c r="K22" s="10">
        <v>35085</v>
      </c>
      <c r="L22" s="10"/>
      <c r="M22" s="10">
        <v>44925</v>
      </c>
      <c r="N22" s="10"/>
      <c r="O22" s="10">
        <v>152200</v>
      </c>
      <c r="P22" s="10"/>
      <c r="Q22" s="10">
        <f>371784.94-K22-M22-O22</f>
        <v>139574.94</v>
      </c>
      <c r="R22" s="10"/>
      <c r="S22" s="10"/>
      <c r="T22" s="5">
        <f>SUM(K22:S22)</f>
        <v>371784.94</v>
      </c>
    </row>
    <row r="23" spans="1:20" ht="16.5" customHeight="1" x14ac:dyDescent="0.2">
      <c r="A23" s="9" t="s">
        <v>17</v>
      </c>
      <c r="B23" s="10">
        <v>10171.879999999999</v>
      </c>
      <c r="C23" s="10"/>
      <c r="D23" s="10">
        <v>4068.75</v>
      </c>
      <c r="E23" s="10"/>
      <c r="F23" s="10"/>
      <c r="G23" s="10">
        <v>3729.69</v>
      </c>
      <c r="H23" s="10"/>
      <c r="I23" s="10">
        <v>2712.5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5">
        <f>SUM(B23:O23)</f>
        <v>20682.82</v>
      </c>
    </row>
    <row r="24" spans="1:20" ht="16.5" customHeight="1" x14ac:dyDescent="0.2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0"/>
      <c r="T24" s="5">
        <f>SUM(T21:T23)</f>
        <v>3509517.76</v>
      </c>
    </row>
    <row r="25" spans="1:20" ht="16.5" customHeight="1" x14ac:dyDescent="0.2">
      <c r="A25" s="13" t="s">
        <v>23</v>
      </c>
      <c r="B25" s="14">
        <v>150933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>
        <v>17860</v>
      </c>
      <c r="T25" s="15">
        <f>SUM(B25:S25)</f>
        <v>168793</v>
      </c>
    </row>
    <row r="26" spans="1:20" ht="16.5" customHeight="1" x14ac:dyDescent="0.2">
      <c r="A26" s="19" t="s">
        <v>20</v>
      </c>
      <c r="B26" s="20">
        <v>69900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>
        <v>0</v>
      </c>
      <c r="T26" s="21">
        <f>SUM(B26:S26)</f>
        <v>69900</v>
      </c>
    </row>
    <row r="27" spans="1:20" ht="16.5" customHeight="1" x14ac:dyDescent="0.2">
      <c r="A27" s="16" t="s">
        <v>24</v>
      </c>
      <c r="B27" s="17">
        <v>162587.75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>
        <v>12255.6</v>
      </c>
      <c r="T27" s="18">
        <f>SUM(B27:S27)</f>
        <v>174843.35</v>
      </c>
    </row>
    <row r="28" spans="1:20" ht="19.5" customHeight="1" x14ac:dyDescent="0.2">
      <c r="A28" s="27" t="s">
        <v>21</v>
      </c>
      <c r="B28" s="28">
        <f>SUM(B25:B27)</f>
        <v>383420.75</v>
      </c>
      <c r="C28" s="28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"/>
    </row>
    <row r="29" spans="1:20" ht="19.5" customHeight="1" x14ac:dyDescent="0.2">
      <c r="A29" s="9"/>
      <c r="B29" s="10"/>
      <c r="C29" s="10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3"/>
      <c r="R29" s="3"/>
      <c r="S29" s="3"/>
      <c r="T29" s="5"/>
    </row>
    <row r="30" spans="1:20" ht="28.5" customHeight="1" x14ac:dyDescent="0.2">
      <c r="A30" s="25" t="s">
        <v>25</v>
      </c>
      <c r="B30" s="10">
        <f>B21+B23+B28+B22</f>
        <v>1424067.63</v>
      </c>
      <c r="C30" s="10"/>
      <c r="D30" s="10">
        <f>D21+D23+D28+D22</f>
        <v>1133743.75</v>
      </c>
      <c r="E30" s="10"/>
      <c r="F30" s="10">
        <f>F21+F23+F28+F22</f>
        <v>92075</v>
      </c>
      <c r="G30" s="10">
        <f t="shared" ref="G30:Q30" si="12">G21+G23+G28+G22</f>
        <v>140304.69</v>
      </c>
      <c r="H30" s="10"/>
      <c r="I30" s="10">
        <f t="shared" si="12"/>
        <v>691437.5</v>
      </c>
      <c r="J30" s="10"/>
      <c r="K30" s="10">
        <f t="shared" si="12"/>
        <v>35085</v>
      </c>
      <c r="L30" s="10"/>
      <c r="M30" s="10">
        <f t="shared" si="12"/>
        <v>44925</v>
      </c>
      <c r="N30" s="10"/>
      <c r="O30" s="10">
        <f t="shared" si="12"/>
        <v>152200</v>
      </c>
      <c r="P30" s="10"/>
      <c r="Q30" s="10">
        <f t="shared" si="12"/>
        <v>139574.94</v>
      </c>
      <c r="R30" s="61">
        <f>SUM(B30:Q30)</f>
        <v>3853413.51</v>
      </c>
      <c r="S30" s="10">
        <f>S21+S23+S28+S25+S26+S27</f>
        <v>69640.600000000006</v>
      </c>
      <c r="T30" s="26">
        <f>SUM(R30:S30)</f>
        <v>3923054.11</v>
      </c>
    </row>
    <row r="31" spans="1:20" ht="23.25" customHeight="1" x14ac:dyDescent="0.2">
      <c r="A31" s="7" t="s">
        <v>37</v>
      </c>
      <c r="B31" s="8">
        <f>B30-B14</f>
        <v>47642.629999999888</v>
      </c>
      <c r="C31" s="8"/>
      <c r="D31" s="8">
        <f>D30-D14</f>
        <v>-310243.5</v>
      </c>
      <c r="E31" s="56"/>
      <c r="F31" s="8">
        <f>F30-F14</f>
        <v>92075</v>
      </c>
      <c r="G31" s="8">
        <f>G30-G14</f>
        <v>55751.94</v>
      </c>
      <c r="H31" s="56"/>
      <c r="I31" s="8">
        <f>I30-I14</f>
        <v>-67433.5</v>
      </c>
      <c r="J31" s="56"/>
      <c r="K31" s="8">
        <f>K30-K14</f>
        <v>-3530.75</v>
      </c>
      <c r="L31" s="56"/>
      <c r="M31" s="8">
        <f>M30-M14</f>
        <v>7022.5</v>
      </c>
      <c r="N31" s="56"/>
      <c r="O31" s="8">
        <f>O30-O14</f>
        <v>61256</v>
      </c>
      <c r="P31" s="56"/>
      <c r="Q31" s="8">
        <f>Q30-Q14</f>
        <v>139574.94</v>
      </c>
      <c r="R31" s="64">
        <f>SUM(B31:Q31)</f>
        <v>22115.259999999893</v>
      </c>
      <c r="S31" s="12"/>
    </row>
    <row r="32" spans="1:20" ht="16.5" customHeight="1" x14ac:dyDescent="0.2">
      <c r="A32" s="7"/>
      <c r="B32" s="8"/>
      <c r="C32" s="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S32" s="11"/>
      <c r="T32" s="12"/>
    </row>
    <row r="33" spans="1:20" x14ac:dyDescent="0.2">
      <c r="A33" t="s">
        <v>13</v>
      </c>
      <c r="S33" s="50"/>
    </row>
    <row r="35" spans="1:20" ht="27.75" customHeight="1" x14ac:dyDescent="0.2">
      <c r="O35" s="78" t="s">
        <v>49</v>
      </c>
      <c r="P35" s="79"/>
      <c r="Q35" s="79"/>
      <c r="R35" s="72">
        <v>111440</v>
      </c>
      <c r="T35" s="50"/>
    </row>
    <row r="36" spans="1:20" ht="21.75" customHeight="1" x14ac:dyDescent="0.2">
      <c r="O36" t="s">
        <v>48</v>
      </c>
      <c r="R36" s="70">
        <f>R31</f>
        <v>22115.259999999893</v>
      </c>
      <c r="S36" s="50"/>
    </row>
    <row r="38" spans="1:20" ht="27.75" customHeight="1" x14ac:dyDescent="0.2">
      <c r="O38" s="58" t="s">
        <v>50</v>
      </c>
      <c r="P38" s="59"/>
      <c r="Q38" s="59"/>
      <c r="R38" s="71">
        <f>R35-R36</f>
        <v>89324.740000000107</v>
      </c>
      <c r="T38" s="50"/>
    </row>
    <row r="39" spans="1:20" ht="25.5" customHeight="1" x14ac:dyDescent="0.2">
      <c r="O39" s="78" t="s">
        <v>16</v>
      </c>
      <c r="P39" s="79"/>
      <c r="Q39" s="79"/>
      <c r="R39" s="65">
        <v>92075</v>
      </c>
    </row>
    <row r="40" spans="1:20" ht="19.5" customHeight="1" x14ac:dyDescent="0.2">
      <c r="O40" s="78" t="s">
        <v>12</v>
      </c>
      <c r="P40" s="79"/>
      <c r="Q40" s="79"/>
      <c r="R40" s="67">
        <f>SUM(R38:R39)</f>
        <v>181399.74000000011</v>
      </c>
    </row>
    <row r="41" spans="1:20" ht="19.5" customHeight="1" x14ac:dyDescent="0.2">
      <c r="O41" s="78"/>
      <c r="P41" s="79"/>
      <c r="Q41" s="79"/>
      <c r="R41" s="12"/>
    </row>
    <row r="42" spans="1:20" ht="19.5" customHeight="1" x14ac:dyDescent="0.2"/>
    <row r="43" spans="1:20" ht="19.5" customHeight="1" x14ac:dyDescent="0.2">
      <c r="O43" t="s">
        <v>39</v>
      </c>
      <c r="R43" s="68">
        <f>R40</f>
        <v>181399.74000000011</v>
      </c>
    </row>
    <row r="44" spans="1:20" ht="19.5" customHeight="1" x14ac:dyDescent="0.2">
      <c r="O44" t="s">
        <v>41</v>
      </c>
      <c r="R44" s="60">
        <f>R30</f>
        <v>3853413.51</v>
      </c>
    </row>
    <row r="46" spans="1:20" ht="21.75" customHeight="1" x14ac:dyDescent="0.2">
      <c r="O46" t="s">
        <v>42</v>
      </c>
      <c r="R46" s="62">
        <f>SUM(R43:R44)</f>
        <v>4034813.25</v>
      </c>
      <c r="S46" s="50"/>
      <c r="T46" s="50"/>
    </row>
  </sheetData>
  <mergeCells count="4">
    <mergeCell ref="O35:Q35"/>
    <mergeCell ref="O39:Q39"/>
    <mergeCell ref="O40:Q40"/>
    <mergeCell ref="O41:Q41"/>
  </mergeCells>
  <pageMargins left="0.55118110236220474" right="0.15748031496062992" top="0.51181102362204722" bottom="0.55118110236220474" header="0.31496062992125984" footer="0.31496062992125984"/>
  <pageSetup paperSize="9" scale="53" orientation="landscape" r:id="rId1"/>
  <headerFooter>
    <oddFooter>&amp;L&amp;F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7"/>
  <sheetViews>
    <sheetView topLeftCell="A4" zoomScale="90" zoomScaleNormal="90" workbookViewId="0">
      <selection activeCell="S32" sqref="S32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x14ac:dyDescent="0.2"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B8/B$13</f>
        <v>0.56733839475452708</v>
      </c>
      <c r="D8" s="41">
        <v>739371</v>
      </c>
      <c r="E8" s="42">
        <f>D8/D$13</f>
        <v>0.48999631693083534</v>
      </c>
      <c r="F8" s="41"/>
      <c r="G8" s="41"/>
      <c r="H8" s="42">
        <f>G8/G$13</f>
        <v>0</v>
      </c>
      <c r="I8" s="41">
        <v>519211.75</v>
      </c>
      <c r="J8" s="42">
        <f>I8/I$13</f>
        <v>0.65754531048904774</v>
      </c>
      <c r="K8" s="41"/>
      <c r="L8" s="42">
        <f>K8/K$13</f>
        <v>0</v>
      </c>
      <c r="M8" s="41"/>
      <c r="N8" s="42">
        <f>M8/M$13</f>
        <v>0</v>
      </c>
      <c r="O8" s="41">
        <f>4179.25+86</f>
        <v>4265.25</v>
      </c>
      <c r="P8" s="42">
        <f>O8/O$13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T8/T$13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>B9/B$13</f>
        <v>0.37748878435076377</v>
      </c>
      <c r="D9" s="41">
        <v>700952</v>
      </c>
      <c r="E9" s="42">
        <f>D9/D$13</f>
        <v>0.46453525813874619</v>
      </c>
      <c r="F9" s="41"/>
      <c r="G9" s="41">
        <f>79011+95+5149.25+142.5+155</f>
        <v>84552.75</v>
      </c>
      <c r="H9" s="42">
        <f>G9/G$13</f>
        <v>1</v>
      </c>
      <c r="I9" s="41">
        <v>28773.75</v>
      </c>
      <c r="J9" s="42">
        <f>I9/I$13</f>
        <v>3.6439938768111926E-2</v>
      </c>
      <c r="K9" s="41">
        <v>44043</v>
      </c>
      <c r="L9" s="42">
        <f>K9/K$13</f>
        <v>1</v>
      </c>
      <c r="M9" s="41">
        <v>45439.75</v>
      </c>
      <c r="N9" s="42">
        <f>M9/M$13</f>
        <v>1</v>
      </c>
      <c r="O9" s="41">
        <f>51133.25</f>
        <v>51133.25</v>
      </c>
      <c r="P9" s="42">
        <f>O9/O$13</f>
        <v>0.54557263881183049</v>
      </c>
      <c r="Q9" s="41"/>
      <c r="R9" s="41">
        <f t="shared" ref="R9:R11" si="0">B9+D9+F9+G9+I9+K9+M9+O9+Q9</f>
        <v>1474479.5</v>
      </c>
      <c r="S9" s="41">
        <f>W9+X9+Y9+Z9+AA9+AB9</f>
        <v>2474.1</v>
      </c>
      <c r="T9" s="41">
        <f t="shared" ref="T9:T11" si="1">R9+S9</f>
        <v>1476953.6</v>
      </c>
      <c r="U9" s="46">
        <f t="shared" ref="U9" si="2">T9/T$13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>B10/B$13</f>
        <v>3.6913017418311933E-2</v>
      </c>
      <c r="D10" s="41">
        <v>51093</v>
      </c>
      <c r="E10" s="42">
        <f>D10/D$13</f>
        <v>3.3860378376954423E-2</v>
      </c>
      <c r="F10" s="41"/>
      <c r="G10" s="41"/>
      <c r="H10" s="42">
        <f>G10/G$13</f>
        <v>0</v>
      </c>
      <c r="I10" s="41">
        <v>53999.5</v>
      </c>
      <c r="J10" s="42">
        <f>I10/I$13</f>
        <v>6.8386584074326767E-2</v>
      </c>
      <c r="K10" s="41"/>
      <c r="L10" s="42">
        <f>K10/K$13</f>
        <v>0</v>
      </c>
      <c r="M10" s="41"/>
      <c r="N10" s="42">
        <f>M10/M$13</f>
        <v>0</v>
      </c>
      <c r="O10" s="41">
        <f>17613.5+1342+1647+793+12503+122+1037+488+2658+122</f>
        <v>38325.5</v>
      </c>
      <c r="P10" s="42">
        <f>O10/O$13</f>
        <v>0.4089187401305962</v>
      </c>
      <c r="Q10" s="41"/>
      <c r="R10" s="41">
        <f t="shared" si="0"/>
        <v>194226</v>
      </c>
      <c r="S10" s="41">
        <f>W10</f>
        <v>1453.15</v>
      </c>
      <c r="T10" s="41">
        <f t="shared" si="1"/>
        <v>195679.15</v>
      </c>
      <c r="U10" s="46">
        <f>T10/T$13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>B11/B$13</f>
        <v>1.8259803476397187E-2</v>
      </c>
      <c r="D11" s="41">
        <v>17515.75</v>
      </c>
      <c r="E11" s="42">
        <f>D11/D$13</f>
        <v>1.1608046553464065E-2</v>
      </c>
      <c r="F11" s="41"/>
      <c r="G11" s="41"/>
      <c r="H11" s="42">
        <f>G11/G$13</f>
        <v>0</v>
      </c>
      <c r="I11" s="41">
        <v>187636.25</v>
      </c>
      <c r="J11" s="42">
        <f>I11/I$13</f>
        <v>0.23762816666851355</v>
      </c>
      <c r="K11" s="41"/>
      <c r="L11" s="42">
        <f>K11/K$13</f>
        <v>0</v>
      </c>
      <c r="M11" s="41"/>
      <c r="N11" s="42">
        <f>M11/M$13</f>
        <v>0</v>
      </c>
      <c r="O11" s="41"/>
      <c r="P11" s="42">
        <f>O11/O$13</f>
        <v>0</v>
      </c>
      <c r="Q11" s="41"/>
      <c r="R11" s="41">
        <f t="shared" si="0"/>
        <v>230285.25</v>
      </c>
      <c r="S11" s="41"/>
      <c r="T11" s="41">
        <f t="shared" si="1"/>
        <v>230285.25</v>
      </c>
      <c r="U11" s="46">
        <f>T11/T$13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s="6" customFormat="1" ht="35.25" customHeight="1" x14ac:dyDescent="0.2">
      <c r="A12" s="40"/>
      <c r="B12" s="41"/>
      <c r="C12" s="42"/>
      <c r="D12" s="41"/>
      <c r="E12" s="42"/>
      <c r="F12" s="41">
        <v>92075</v>
      </c>
      <c r="G12" s="41"/>
      <c r="H12" s="42"/>
      <c r="I12" s="41"/>
      <c r="J12" s="42"/>
      <c r="K12" s="41"/>
      <c r="L12" s="42"/>
      <c r="M12" s="41"/>
      <c r="N12" s="42"/>
      <c r="O12" s="41"/>
      <c r="P12" s="42"/>
      <c r="Q12" s="41"/>
      <c r="R12" s="41">
        <f>B12+D12+F12+G12+I12+K12+M12+O12+Q12</f>
        <v>92075</v>
      </c>
      <c r="S12" s="41"/>
      <c r="T12" s="41"/>
      <c r="U12" s="57"/>
      <c r="V12" s="45"/>
      <c r="W12" s="47"/>
      <c r="X12" s="47"/>
      <c r="Y12" s="47"/>
      <c r="Z12" s="47"/>
      <c r="AA12" s="47"/>
      <c r="AB12" s="47"/>
      <c r="AC12" s="34"/>
      <c r="AD12" s="34"/>
    </row>
    <row r="13" spans="1:32" ht="27" customHeight="1" x14ac:dyDescent="0.2">
      <c r="A13" s="43" t="s">
        <v>12</v>
      </c>
      <c r="B13" s="44">
        <f>SUM(B8:B11)</f>
        <v>1376425</v>
      </c>
      <c r="C13" s="44"/>
      <c r="D13" s="44">
        <f>SUM(D8:D11)</f>
        <v>1508931.75</v>
      </c>
      <c r="E13" s="44"/>
      <c r="F13" s="44">
        <v>92075</v>
      </c>
      <c r="G13" s="44">
        <f t="shared" ref="G13:O13" si="3">SUM(G8:G11)</f>
        <v>84552.75</v>
      </c>
      <c r="H13" s="44"/>
      <c r="I13" s="44">
        <f t="shared" si="3"/>
        <v>789621.25</v>
      </c>
      <c r="J13" s="44"/>
      <c r="K13" s="44">
        <f t="shared" si="3"/>
        <v>44043</v>
      </c>
      <c r="L13" s="44"/>
      <c r="M13" s="44">
        <f t="shared" si="3"/>
        <v>45439.75</v>
      </c>
      <c r="N13" s="44"/>
      <c r="O13" s="44">
        <f t="shared" si="3"/>
        <v>93724</v>
      </c>
      <c r="P13" s="44"/>
      <c r="Q13" s="44">
        <f>SUM(Q8:Q12)</f>
        <v>0</v>
      </c>
      <c r="R13" s="44">
        <f>SUM(R8:R12)</f>
        <v>4034812.5</v>
      </c>
      <c r="S13" s="44">
        <f>SUM(S8:S11)</f>
        <v>51762.01</v>
      </c>
      <c r="T13" s="44">
        <f>SUM(T8:T11)</f>
        <v>3994499.5100000002</v>
      </c>
      <c r="U13" s="32"/>
      <c r="V13" s="32"/>
      <c r="W13" s="32"/>
      <c r="X13" s="32"/>
      <c r="Y13" s="32"/>
      <c r="Z13" s="32"/>
      <c r="AA13" s="32"/>
      <c r="AB13" s="32"/>
      <c r="AC13" s="35"/>
      <c r="AF13" s="36"/>
    </row>
    <row r="14" spans="1:32" ht="27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>
        <f>SUM(B13:O13)</f>
        <v>4034812.5</v>
      </c>
      <c r="P14" s="23"/>
      <c r="Q14" s="23"/>
      <c r="R14" s="23"/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8" x14ac:dyDescent="0.2">
      <c r="A17" s="24" t="s">
        <v>22</v>
      </c>
    </row>
    <row r="18" spans="1:20" ht="28.5" customHeight="1" x14ac:dyDescent="0.2">
      <c r="A18" s="3"/>
      <c r="B18" s="53" t="s">
        <v>0</v>
      </c>
      <c r="C18" s="53"/>
      <c r="D18" s="54" t="s">
        <v>1</v>
      </c>
      <c r="E18" s="54"/>
      <c r="F18" s="54" t="s">
        <v>16</v>
      </c>
      <c r="G18" s="54" t="s">
        <v>5</v>
      </c>
      <c r="H18" s="54"/>
      <c r="I18" s="54" t="s">
        <v>6</v>
      </c>
      <c r="J18" s="54"/>
      <c r="K18" s="54" t="s">
        <v>3</v>
      </c>
      <c r="L18" s="54"/>
      <c r="M18" s="54" t="s">
        <v>4</v>
      </c>
      <c r="N18" s="54"/>
      <c r="O18" s="54" t="s">
        <v>2</v>
      </c>
      <c r="P18" s="54"/>
      <c r="Q18" s="4" t="s">
        <v>18</v>
      </c>
      <c r="R18" s="4"/>
      <c r="S18" s="4" t="s">
        <v>19</v>
      </c>
      <c r="T18" s="4" t="s">
        <v>12</v>
      </c>
    </row>
    <row r="19" spans="1:20" ht="16.5" customHeight="1" x14ac:dyDescent="0.2">
      <c r="A19" s="9" t="s">
        <v>15</v>
      </c>
      <c r="B19" s="10">
        <v>1030475</v>
      </c>
      <c r="C19" s="10"/>
      <c r="D19" s="10">
        <v>1129675</v>
      </c>
      <c r="E19" s="10"/>
      <c r="F19" s="10">
        <v>92075</v>
      </c>
      <c r="G19" s="10">
        <v>136575</v>
      </c>
      <c r="H19" s="10"/>
      <c r="I19" s="10">
        <v>688725</v>
      </c>
      <c r="J19" s="10"/>
      <c r="K19" s="10"/>
      <c r="L19" s="10"/>
      <c r="M19" s="10"/>
      <c r="N19" s="10"/>
      <c r="O19" s="10"/>
      <c r="P19" s="10"/>
      <c r="Q19" s="10"/>
      <c r="R19" s="10"/>
      <c r="S19" s="10">
        <v>39525</v>
      </c>
      <c r="T19" s="5">
        <f>SUM(B19:S19)</f>
        <v>3117050</v>
      </c>
    </row>
    <row r="20" spans="1:20" ht="16.5" customHeight="1" x14ac:dyDescent="0.2">
      <c r="A20" s="9" t="s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>
        <v>35085</v>
      </c>
      <c r="L20" s="10"/>
      <c r="M20" s="10">
        <v>44925</v>
      </c>
      <c r="N20" s="10"/>
      <c r="O20" s="10">
        <v>152200</v>
      </c>
      <c r="P20" s="10"/>
      <c r="Q20" s="10">
        <f>371784.94-K20-M20-O20</f>
        <v>139574.94</v>
      </c>
      <c r="R20" s="10"/>
      <c r="S20" s="10"/>
      <c r="T20" s="5">
        <f>SUM(K20:S20)</f>
        <v>371784.94</v>
      </c>
    </row>
    <row r="21" spans="1:20" ht="16.5" customHeight="1" x14ac:dyDescent="0.2">
      <c r="A21" s="9" t="s">
        <v>17</v>
      </c>
      <c r="B21" s="10">
        <v>10171.879999999999</v>
      </c>
      <c r="C21" s="10"/>
      <c r="D21" s="10">
        <v>4068.75</v>
      </c>
      <c r="E21" s="10"/>
      <c r="F21" s="10">
        <v>0</v>
      </c>
      <c r="G21" s="10">
        <v>3729.69</v>
      </c>
      <c r="H21" s="10"/>
      <c r="I21" s="10">
        <v>2712.5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5">
        <f>SUM(B21:O21)</f>
        <v>20682.82</v>
      </c>
    </row>
    <row r="22" spans="1:20" ht="16.5" customHeight="1" x14ac:dyDescent="0.2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0"/>
      <c r="T22" s="5">
        <f>SUM(T19:T21)</f>
        <v>3509517.76</v>
      </c>
    </row>
    <row r="23" spans="1:20" ht="16.5" customHeight="1" x14ac:dyDescent="0.2">
      <c r="A23" s="13" t="s">
        <v>23</v>
      </c>
      <c r="B23" s="14">
        <v>150933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v>17860</v>
      </c>
      <c r="T23" s="15">
        <f>SUM(B23:S23)</f>
        <v>168793</v>
      </c>
    </row>
    <row r="24" spans="1:20" ht="16.5" customHeight="1" x14ac:dyDescent="0.2">
      <c r="A24" s="19" t="s">
        <v>20</v>
      </c>
      <c r="B24" s="20">
        <v>69900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>
        <v>0</v>
      </c>
      <c r="T24" s="21">
        <f>SUM(B24:S24)</f>
        <v>69900</v>
      </c>
    </row>
    <row r="25" spans="1:20" ht="16.5" customHeight="1" x14ac:dyDescent="0.2">
      <c r="A25" s="16" t="s">
        <v>24</v>
      </c>
      <c r="B25" s="17">
        <v>162587.75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>
        <v>12255.6</v>
      </c>
      <c r="T25" s="18">
        <f>SUM(B25:S25)</f>
        <v>174843.35</v>
      </c>
    </row>
    <row r="26" spans="1:20" ht="19.5" customHeight="1" x14ac:dyDescent="0.2">
      <c r="A26" s="27" t="s">
        <v>21</v>
      </c>
      <c r="B26" s="28">
        <f>SUM(B23:B25)</f>
        <v>383420.75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5"/>
    </row>
    <row r="27" spans="1:20" ht="19.5" customHeight="1" x14ac:dyDescent="0.2">
      <c r="A27" s="9"/>
      <c r="B27" s="10"/>
      <c r="C27" s="10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3"/>
      <c r="R27" s="3"/>
      <c r="S27" s="3"/>
      <c r="T27" s="5"/>
    </row>
    <row r="28" spans="1:20" ht="28.5" customHeight="1" x14ac:dyDescent="0.2">
      <c r="A28" s="25" t="s">
        <v>25</v>
      </c>
      <c r="B28" s="10">
        <f>B19+B21+B26+B20</f>
        <v>1424067.63</v>
      </c>
      <c r="C28" s="10"/>
      <c r="D28" s="10">
        <f>D19+D21+D26+D20</f>
        <v>1133743.75</v>
      </c>
      <c r="E28" s="10"/>
      <c r="F28" s="10">
        <f t="shared" ref="F28" si="4">F19+F21+F26+F20</f>
        <v>92075</v>
      </c>
      <c r="G28" s="10">
        <f t="shared" ref="G28:Q28" si="5">G19+G21+G26+G20</f>
        <v>140304.69</v>
      </c>
      <c r="H28" s="10"/>
      <c r="I28" s="10">
        <f t="shared" si="5"/>
        <v>691437.5</v>
      </c>
      <c r="J28" s="10"/>
      <c r="K28" s="10">
        <f t="shared" si="5"/>
        <v>35085</v>
      </c>
      <c r="L28" s="10"/>
      <c r="M28" s="10">
        <f t="shared" si="5"/>
        <v>44925</v>
      </c>
      <c r="N28" s="10"/>
      <c r="O28" s="10">
        <f t="shared" si="5"/>
        <v>152200</v>
      </c>
      <c r="P28" s="10"/>
      <c r="Q28" s="10">
        <f t="shared" si="5"/>
        <v>139574.94</v>
      </c>
      <c r="R28" s="48">
        <f>SUM(B28:Q28)</f>
        <v>3853413.51</v>
      </c>
      <c r="S28" s="10">
        <f>S19+S21+S26+S23+S24+S25</f>
        <v>69640.600000000006</v>
      </c>
      <c r="T28" s="26">
        <f>SUM(B28:S28)</f>
        <v>7776467.6199999992</v>
      </c>
    </row>
    <row r="29" spans="1:20" ht="16.5" customHeight="1" x14ac:dyDescent="0.2">
      <c r="A29" s="7"/>
      <c r="B29" s="8">
        <f>B28-B13</f>
        <v>47642.629999999888</v>
      </c>
      <c r="C29" s="8"/>
      <c r="D29" s="8">
        <f>D28-D13</f>
        <v>-375188</v>
      </c>
      <c r="E29" s="56"/>
      <c r="F29" s="8">
        <f>F28-F13</f>
        <v>0</v>
      </c>
      <c r="G29" s="8">
        <f>G28-G13</f>
        <v>55751.94</v>
      </c>
      <c r="H29" s="56"/>
      <c r="I29" s="8">
        <f>I28-I13</f>
        <v>-98183.75</v>
      </c>
      <c r="J29" s="56"/>
      <c r="K29" s="8">
        <f>K28-K13</f>
        <v>-8958</v>
      </c>
      <c r="L29" s="56"/>
      <c r="M29" s="8">
        <f>M28-M13</f>
        <v>-514.75</v>
      </c>
      <c r="N29" s="56"/>
      <c r="O29" s="8">
        <f>O28-O13</f>
        <v>58476</v>
      </c>
      <c r="P29" s="56"/>
      <c r="Q29" s="8">
        <f>Q28-Q13</f>
        <v>139574.94</v>
      </c>
      <c r="R29" s="11"/>
      <c r="S29" s="11"/>
      <c r="T29" s="12"/>
    </row>
    <row r="30" spans="1:20" ht="16.5" customHeight="1" x14ac:dyDescent="0.2">
      <c r="A30" s="7"/>
      <c r="B30" s="8"/>
      <c r="C30" s="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 t="s">
        <v>35</v>
      </c>
      <c r="R30" s="12">
        <f>R13-R28</f>
        <v>181398.99000000022</v>
      </c>
      <c r="S30" s="11"/>
      <c r="T30" s="12"/>
    </row>
    <row r="31" spans="1:20" x14ac:dyDescent="0.2">
      <c r="A31" t="s">
        <v>13</v>
      </c>
    </row>
    <row r="32" spans="1:20" x14ac:dyDescent="0.2">
      <c r="Q32" t="s">
        <v>34</v>
      </c>
      <c r="R32">
        <v>111439.25</v>
      </c>
    </row>
    <row r="34" spans="18:18" x14ac:dyDescent="0.2">
      <c r="R34" s="50">
        <f>SUM(R30-R32)</f>
        <v>69959.740000000224</v>
      </c>
    </row>
    <row r="36" spans="18:18" x14ac:dyDescent="0.2">
      <c r="R36">
        <v>92075</v>
      </c>
    </row>
    <row r="37" spans="18:18" x14ac:dyDescent="0.2">
      <c r="R37" s="50">
        <f>R34+R36</f>
        <v>162034.74000000022</v>
      </c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9"/>
  <sheetViews>
    <sheetView zoomScale="90" zoomScaleNormal="90" workbookViewId="0">
      <selection activeCell="R43" sqref="R43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x14ac:dyDescent="0.2"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B8/B$13</f>
        <v>0.56733839475452708</v>
      </c>
      <c r="D8" s="41">
        <v>739371</v>
      </c>
      <c r="E8" s="42">
        <f>D8/D$13</f>
        <v>0.48999631693083534</v>
      </c>
      <c r="F8" s="41"/>
      <c r="G8" s="41"/>
      <c r="H8" s="42">
        <f>G8/G$13</f>
        <v>0</v>
      </c>
      <c r="I8" s="41">
        <v>519211.75</v>
      </c>
      <c r="J8" s="42">
        <f>I8/I$13</f>
        <v>0.65754531048904774</v>
      </c>
      <c r="K8" s="41"/>
      <c r="L8" s="42">
        <f>K8/K$13</f>
        <v>0</v>
      </c>
      <c r="M8" s="41"/>
      <c r="N8" s="42">
        <f>M8/M$13</f>
        <v>0</v>
      </c>
      <c r="O8" s="41">
        <f>4179.25+86</f>
        <v>4265.25</v>
      </c>
      <c r="P8" s="42">
        <f>O8/O$13</f>
        <v>4.5508621057573299E-2</v>
      </c>
      <c r="Q8" s="41"/>
      <c r="R8" s="41">
        <f>B8+D8+F8+G8+I8+K8+M8+O8+Q8</f>
        <v>2043746.75</v>
      </c>
      <c r="S8" s="41">
        <f>W8+X8+Y8+Z8+AA8+AB8</f>
        <v>47834.76</v>
      </c>
      <c r="T8" s="41">
        <f>R8+S8</f>
        <v>2091581.51</v>
      </c>
      <c r="U8" s="46">
        <f>T8/T$13</f>
        <v>0.52361541283553692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2060+2760+2760+1900+1900+1900+8555.6+2760+2760+2760+2760</f>
        <v>32875.599999999999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>B9/B$13</f>
        <v>0.37748878435076377</v>
      </c>
      <c r="D9" s="41">
        <v>700952</v>
      </c>
      <c r="E9" s="42">
        <f>D9/D$13</f>
        <v>0.46453525813874619</v>
      </c>
      <c r="F9" s="41"/>
      <c r="G9" s="41">
        <f>79011+95+5149.25+142.5+155</f>
        <v>84552.75</v>
      </c>
      <c r="H9" s="42">
        <f>G9/G$13</f>
        <v>1</v>
      </c>
      <c r="I9" s="41">
        <v>28773.75</v>
      </c>
      <c r="J9" s="42">
        <f>I9/I$13</f>
        <v>3.6439938768111926E-2</v>
      </c>
      <c r="K9" s="41">
        <v>44043</v>
      </c>
      <c r="L9" s="42">
        <f>K9/K$13</f>
        <v>1</v>
      </c>
      <c r="M9" s="41">
        <v>45439.75</v>
      </c>
      <c r="N9" s="42">
        <f>M9/M$13</f>
        <v>1</v>
      </c>
      <c r="O9" s="41">
        <f>51133.25</f>
        <v>51133.25</v>
      </c>
      <c r="P9" s="42">
        <f>O9/O$13</f>
        <v>0.54557263881183049</v>
      </c>
      <c r="Q9" s="41"/>
      <c r="R9" s="41">
        <f t="shared" ref="R9:R11" si="0">B9+D9+F9+G9+I9+K9+M9+O9+Q9</f>
        <v>1474479.5</v>
      </c>
      <c r="S9" s="41">
        <f>W9+X9+Y9+Z9+AA9+AB9</f>
        <v>2474.1</v>
      </c>
      <c r="T9" s="41">
        <f t="shared" ref="T9:T11" si="1">R9+S9</f>
        <v>1476953.6</v>
      </c>
      <c r="U9" s="46">
        <f t="shared" ref="U9" si="2">T9/T$13</f>
        <v>0.369746847208901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>B10/B$13</f>
        <v>3.6913017418311933E-2</v>
      </c>
      <c r="D10" s="41">
        <v>51093</v>
      </c>
      <c r="E10" s="42">
        <f>D10/D$13</f>
        <v>3.3860378376954423E-2</v>
      </c>
      <c r="F10" s="41"/>
      <c r="G10" s="41"/>
      <c r="H10" s="42">
        <f>G10/G$13</f>
        <v>0</v>
      </c>
      <c r="I10" s="41">
        <v>53999.5</v>
      </c>
      <c r="J10" s="42">
        <f>I10/I$13</f>
        <v>6.8386584074326767E-2</v>
      </c>
      <c r="K10" s="41"/>
      <c r="L10" s="42">
        <f>K10/K$13</f>
        <v>0</v>
      </c>
      <c r="M10" s="41"/>
      <c r="N10" s="42">
        <f>M10/M$13</f>
        <v>0</v>
      </c>
      <c r="O10" s="41">
        <f>17613.5+1342+1647+793+12503+122+1037+488+2658+122</f>
        <v>38325.5</v>
      </c>
      <c r="P10" s="42">
        <f>O10/O$13</f>
        <v>0.4089187401305962</v>
      </c>
      <c r="Q10" s="41"/>
      <c r="R10" s="41">
        <f t="shared" si="0"/>
        <v>194226</v>
      </c>
      <c r="S10" s="41">
        <f>W10</f>
        <v>1453.15</v>
      </c>
      <c r="T10" s="41">
        <f t="shared" si="1"/>
        <v>195679.15</v>
      </c>
      <c r="U10" s="46">
        <f>T10/T$13</f>
        <v>4.8987150833321787E-2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>B11/B$13</f>
        <v>1.8259803476397187E-2</v>
      </c>
      <c r="D11" s="41">
        <v>17515.75</v>
      </c>
      <c r="E11" s="42">
        <f>D11/D$13</f>
        <v>1.1608046553464065E-2</v>
      </c>
      <c r="F11" s="41"/>
      <c r="G11" s="41"/>
      <c r="H11" s="42">
        <f>G11/G$13</f>
        <v>0</v>
      </c>
      <c r="I11" s="41">
        <v>187636.25</v>
      </c>
      <c r="J11" s="42">
        <f>I11/I$13</f>
        <v>0.23762816666851355</v>
      </c>
      <c r="K11" s="41"/>
      <c r="L11" s="42">
        <f>K11/K$13</f>
        <v>0</v>
      </c>
      <c r="M11" s="41"/>
      <c r="N11" s="42">
        <f>M11/M$13</f>
        <v>0</v>
      </c>
      <c r="O11" s="41"/>
      <c r="P11" s="42">
        <f>O11/O$13</f>
        <v>0</v>
      </c>
      <c r="Q11" s="41"/>
      <c r="R11" s="41">
        <f t="shared" si="0"/>
        <v>230285.25</v>
      </c>
      <c r="S11" s="41"/>
      <c r="T11" s="41">
        <f t="shared" si="1"/>
        <v>230285.25</v>
      </c>
      <c r="U11" s="46">
        <f>T11/T$13</f>
        <v>5.7650589122240248E-2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s="6" customFormat="1" ht="35.25" customHeight="1" x14ac:dyDescent="0.2">
      <c r="A12" s="40"/>
      <c r="B12" s="41"/>
      <c r="C12" s="42"/>
      <c r="D12" s="41"/>
      <c r="E12" s="42"/>
      <c r="F12" s="41"/>
      <c r="G12" s="41"/>
      <c r="H12" s="42"/>
      <c r="I12" s="41"/>
      <c r="J12" s="42"/>
      <c r="K12" s="41"/>
      <c r="L12" s="42"/>
      <c r="M12" s="41"/>
      <c r="N12" s="42"/>
      <c r="O12" s="41"/>
      <c r="P12" s="42"/>
      <c r="Q12" s="41"/>
      <c r="R12" s="41">
        <f>B12+D12+F12+G12+I12+K12+M12+O12+Q12</f>
        <v>0</v>
      </c>
      <c r="S12" s="41"/>
      <c r="T12" s="41"/>
      <c r="U12" s="57"/>
      <c r="V12" s="45"/>
      <c r="W12" s="47"/>
      <c r="X12" s="47"/>
      <c r="Y12" s="47"/>
      <c r="Z12" s="47"/>
      <c r="AA12" s="47"/>
      <c r="AB12" s="47"/>
      <c r="AC12" s="34"/>
      <c r="AD12" s="34"/>
    </row>
    <row r="13" spans="1:32" ht="27" customHeight="1" x14ac:dyDescent="0.2">
      <c r="A13" s="43" t="s">
        <v>12</v>
      </c>
      <c r="B13" s="44">
        <f>SUM(B8:B11)</f>
        <v>1376425</v>
      </c>
      <c r="C13" s="44"/>
      <c r="D13" s="44">
        <f>SUM(D8:D11)</f>
        <v>1508931.75</v>
      </c>
      <c r="E13" s="44"/>
      <c r="F13" s="44"/>
      <c r="G13" s="44">
        <f t="shared" ref="G13:O13" si="3">SUM(G8:G11)</f>
        <v>84552.75</v>
      </c>
      <c r="H13" s="44"/>
      <c r="I13" s="44">
        <f t="shared" si="3"/>
        <v>789621.25</v>
      </c>
      <c r="J13" s="44"/>
      <c r="K13" s="44">
        <f t="shared" si="3"/>
        <v>44043</v>
      </c>
      <c r="L13" s="44"/>
      <c r="M13" s="44">
        <f t="shared" si="3"/>
        <v>45439.75</v>
      </c>
      <c r="N13" s="44"/>
      <c r="O13" s="44">
        <f t="shared" si="3"/>
        <v>93724</v>
      </c>
      <c r="P13" s="44"/>
      <c r="Q13" s="44">
        <f>SUM(Q8:Q12)</f>
        <v>0</v>
      </c>
      <c r="R13" s="44">
        <f>SUM(R8:R12)</f>
        <v>3942737.5</v>
      </c>
      <c r="S13" s="44">
        <f>SUM(S8:S11)</f>
        <v>51762.01</v>
      </c>
      <c r="T13" s="44">
        <f>SUM(T8:T11)</f>
        <v>3994499.5100000002</v>
      </c>
      <c r="U13" s="32"/>
      <c r="V13" s="32"/>
      <c r="W13" s="32"/>
      <c r="X13" s="32"/>
      <c r="Y13" s="32"/>
      <c r="Z13" s="32"/>
      <c r="AA13" s="32"/>
      <c r="AB13" s="32"/>
      <c r="AC13" s="35"/>
      <c r="AF13" s="36"/>
    </row>
    <row r="14" spans="1:32" ht="27" customHeight="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P14" s="23"/>
      <c r="Q14" s="23"/>
      <c r="R14" s="23">
        <f>SUM(B13:O13)</f>
        <v>3942737.5</v>
      </c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8" x14ac:dyDescent="0.2">
      <c r="A17" s="24" t="s">
        <v>22</v>
      </c>
    </row>
    <row r="18" spans="1:20" ht="28.5" customHeight="1" x14ac:dyDescent="0.2">
      <c r="A18" s="3"/>
      <c r="B18" s="53" t="s">
        <v>0</v>
      </c>
      <c r="C18" s="53"/>
      <c r="D18" s="54" t="s">
        <v>1</v>
      </c>
      <c r="E18" s="54"/>
      <c r="F18" s="54" t="s">
        <v>16</v>
      </c>
      <c r="G18" s="54" t="s">
        <v>5</v>
      </c>
      <c r="H18" s="54"/>
      <c r="I18" s="54" t="s">
        <v>6</v>
      </c>
      <c r="J18" s="54"/>
      <c r="K18" s="54" t="s">
        <v>3</v>
      </c>
      <c r="L18" s="54"/>
      <c r="M18" s="54" t="s">
        <v>4</v>
      </c>
      <c r="N18" s="54"/>
      <c r="O18" s="54" t="s">
        <v>2</v>
      </c>
      <c r="P18" s="54"/>
      <c r="Q18" s="4" t="s">
        <v>18</v>
      </c>
      <c r="R18" s="4"/>
      <c r="S18" s="4" t="s">
        <v>19</v>
      </c>
      <c r="T18" s="4" t="s">
        <v>12</v>
      </c>
    </row>
    <row r="19" spans="1:20" ht="16.5" customHeight="1" x14ac:dyDescent="0.2">
      <c r="A19" s="9" t="s">
        <v>15</v>
      </c>
      <c r="B19" s="10">
        <v>1030475</v>
      </c>
      <c r="C19" s="10"/>
      <c r="D19" s="10">
        <v>1129675</v>
      </c>
      <c r="E19" s="10"/>
      <c r="F19" s="10">
        <v>92075</v>
      </c>
      <c r="G19" s="10">
        <v>136575</v>
      </c>
      <c r="H19" s="10"/>
      <c r="I19" s="10">
        <v>688725</v>
      </c>
      <c r="J19" s="10"/>
      <c r="K19" s="10"/>
      <c r="L19" s="10"/>
      <c r="M19" s="10"/>
      <c r="N19" s="10"/>
      <c r="O19" s="10"/>
      <c r="P19" s="10"/>
      <c r="Q19" s="10"/>
      <c r="R19" s="10"/>
      <c r="S19" s="10">
        <v>39525</v>
      </c>
      <c r="T19" s="5">
        <f>SUM(B19:S19)</f>
        <v>3117050</v>
      </c>
    </row>
    <row r="20" spans="1:20" ht="16.5" customHeight="1" x14ac:dyDescent="0.2">
      <c r="A20" s="9" t="s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>
        <v>35085</v>
      </c>
      <c r="L20" s="10"/>
      <c r="M20" s="10">
        <v>44925</v>
      </c>
      <c r="N20" s="10"/>
      <c r="O20" s="10">
        <v>152200</v>
      </c>
      <c r="P20" s="10"/>
      <c r="Q20" s="10">
        <f>371784.94-K20-M20-O20</f>
        <v>139574.94</v>
      </c>
      <c r="R20" s="10"/>
      <c r="S20" s="10"/>
      <c r="T20" s="5">
        <f>SUM(K20:S20)</f>
        <v>371784.94</v>
      </c>
    </row>
    <row r="21" spans="1:20" ht="16.5" customHeight="1" x14ac:dyDescent="0.2">
      <c r="A21" s="9" t="s">
        <v>17</v>
      </c>
      <c r="B21" s="10">
        <v>10171.879999999999</v>
      </c>
      <c r="C21" s="10"/>
      <c r="D21" s="10">
        <v>4068.75</v>
      </c>
      <c r="E21" s="10"/>
      <c r="F21" s="10">
        <v>0</v>
      </c>
      <c r="G21" s="10">
        <v>3729.69</v>
      </c>
      <c r="H21" s="10"/>
      <c r="I21" s="10">
        <v>2712.5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5">
        <f>SUM(B21:O21)</f>
        <v>20682.82</v>
      </c>
    </row>
    <row r="22" spans="1:20" ht="16.5" customHeight="1" x14ac:dyDescent="0.2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0"/>
      <c r="T22" s="5">
        <f>SUM(T19:T21)</f>
        <v>3509517.76</v>
      </c>
    </row>
    <row r="23" spans="1:20" ht="16.5" customHeight="1" x14ac:dyDescent="0.2">
      <c r="A23" s="13" t="s">
        <v>23</v>
      </c>
      <c r="B23" s="14">
        <v>150933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v>17860</v>
      </c>
      <c r="T23" s="15">
        <f>SUM(B23:S23)</f>
        <v>168793</v>
      </c>
    </row>
    <row r="24" spans="1:20" ht="16.5" customHeight="1" x14ac:dyDescent="0.2">
      <c r="A24" s="19" t="s">
        <v>20</v>
      </c>
      <c r="B24" s="20">
        <v>69900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>
        <v>0</v>
      </c>
      <c r="T24" s="21">
        <f>SUM(B24:S24)</f>
        <v>69900</v>
      </c>
    </row>
    <row r="25" spans="1:20" ht="16.5" customHeight="1" x14ac:dyDescent="0.2">
      <c r="A25" s="16" t="s">
        <v>24</v>
      </c>
      <c r="B25" s="17">
        <v>162587.75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>
        <v>12255.6</v>
      </c>
      <c r="T25" s="18">
        <f>SUM(B25:S25)</f>
        <v>174843.35</v>
      </c>
    </row>
    <row r="26" spans="1:20" ht="19.5" customHeight="1" x14ac:dyDescent="0.2">
      <c r="A26" s="27" t="s">
        <v>21</v>
      </c>
      <c r="B26" s="28">
        <f>SUM(B23:B25)</f>
        <v>383420.75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5"/>
    </row>
    <row r="27" spans="1:20" ht="19.5" customHeight="1" x14ac:dyDescent="0.2">
      <c r="A27" s="9"/>
      <c r="B27" s="10"/>
      <c r="C27" s="10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3"/>
      <c r="R27" s="3"/>
      <c r="S27" s="3"/>
      <c r="T27" s="5"/>
    </row>
    <row r="28" spans="1:20" ht="28.5" customHeight="1" x14ac:dyDescent="0.2">
      <c r="A28" s="25" t="s">
        <v>25</v>
      </c>
      <c r="B28" s="10">
        <f>B19+B21+B26+B20</f>
        <v>1424067.63</v>
      </c>
      <c r="C28" s="10"/>
      <c r="D28" s="10">
        <f>D19+D21+D26+D20</f>
        <v>1133743.75</v>
      </c>
      <c r="E28" s="10"/>
      <c r="F28" s="10">
        <f t="shared" ref="F28:Q28" si="4">F19+F21+F26+F20</f>
        <v>92075</v>
      </c>
      <c r="G28" s="10">
        <f t="shared" si="4"/>
        <v>140304.69</v>
      </c>
      <c r="H28" s="10"/>
      <c r="I28" s="10">
        <f t="shared" si="4"/>
        <v>691437.5</v>
      </c>
      <c r="J28" s="10"/>
      <c r="K28" s="10">
        <f t="shared" si="4"/>
        <v>35085</v>
      </c>
      <c r="L28" s="10"/>
      <c r="M28" s="10">
        <f t="shared" si="4"/>
        <v>44925</v>
      </c>
      <c r="N28" s="10"/>
      <c r="O28" s="10">
        <f t="shared" si="4"/>
        <v>152200</v>
      </c>
      <c r="P28" s="10"/>
      <c r="Q28" s="10">
        <f t="shared" si="4"/>
        <v>139574.94</v>
      </c>
      <c r="R28" s="48">
        <f>SUM(B28:Q28)</f>
        <v>3853413.51</v>
      </c>
      <c r="S28" s="10">
        <f>S19+S21+S26+S23+S24+S25</f>
        <v>69640.600000000006</v>
      </c>
      <c r="T28" s="26">
        <f>SUM(B28:S28)</f>
        <v>7776467.6199999992</v>
      </c>
    </row>
    <row r="29" spans="1:20" ht="16.5" customHeight="1" x14ac:dyDescent="0.2">
      <c r="A29" s="7"/>
      <c r="B29" s="8">
        <f>B28-B13</f>
        <v>47642.629999999888</v>
      </c>
      <c r="C29" s="8"/>
      <c r="D29" s="8">
        <f>D28-D13</f>
        <v>-375188</v>
      </c>
      <c r="E29" s="56"/>
      <c r="F29" s="8">
        <f>F28-F13</f>
        <v>92075</v>
      </c>
      <c r="G29" s="8">
        <f>G28-G13</f>
        <v>55751.94</v>
      </c>
      <c r="H29" s="56"/>
      <c r="I29" s="8">
        <f>I28-I13</f>
        <v>-98183.75</v>
      </c>
      <c r="J29" s="56"/>
      <c r="K29" s="8">
        <f>K28-K13</f>
        <v>-8958</v>
      </c>
      <c r="L29" s="56"/>
      <c r="M29" s="8">
        <f>M28-M13</f>
        <v>-514.75</v>
      </c>
      <c r="N29" s="56"/>
      <c r="O29" s="8">
        <f>O28-O13</f>
        <v>58476</v>
      </c>
      <c r="P29" s="56"/>
      <c r="Q29" s="8">
        <f>Q28-Q13</f>
        <v>139574.94</v>
      </c>
      <c r="R29" s="11"/>
      <c r="S29" s="11"/>
      <c r="T29" s="12"/>
    </row>
    <row r="30" spans="1:20" ht="16.5" customHeight="1" x14ac:dyDescent="0.2">
      <c r="A30" s="7"/>
      <c r="B30" s="8"/>
      <c r="C30" s="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 t="s">
        <v>35</v>
      </c>
      <c r="R30" s="12">
        <f>R14-R28</f>
        <v>89323.990000000224</v>
      </c>
      <c r="S30" s="11"/>
      <c r="T30" s="12"/>
    </row>
    <row r="31" spans="1:20" x14ac:dyDescent="0.2">
      <c r="A31" t="s">
        <v>13</v>
      </c>
      <c r="Q31" t="s">
        <v>16</v>
      </c>
      <c r="R31">
        <v>92075</v>
      </c>
    </row>
    <row r="32" spans="1:20" x14ac:dyDescent="0.2">
      <c r="Q32" t="s">
        <v>12</v>
      </c>
      <c r="R32" s="50">
        <f>SUM(R30:R31)</f>
        <v>181398.99000000022</v>
      </c>
    </row>
    <row r="34" spans="15:18" x14ac:dyDescent="0.2">
      <c r="Q34" t="s">
        <v>34</v>
      </c>
      <c r="R34">
        <v>111439.25</v>
      </c>
    </row>
    <row r="36" spans="15:18" x14ac:dyDescent="0.2">
      <c r="R36" s="50"/>
    </row>
    <row r="39" spans="15:18" x14ac:dyDescent="0.2">
      <c r="R39" s="50"/>
    </row>
    <row r="41" spans="15:18" x14ac:dyDescent="0.2">
      <c r="O41" t="s">
        <v>38</v>
      </c>
      <c r="R41">
        <v>89234</v>
      </c>
    </row>
    <row r="42" spans="15:18" x14ac:dyDescent="0.2">
      <c r="O42" t="s">
        <v>16</v>
      </c>
      <c r="R42">
        <v>92075</v>
      </c>
    </row>
    <row r="43" spans="15:18" x14ac:dyDescent="0.2">
      <c r="O43" t="s">
        <v>12</v>
      </c>
      <c r="R43">
        <f>SUM(R41:R42)</f>
        <v>181309</v>
      </c>
    </row>
    <row r="46" spans="15:18" x14ac:dyDescent="0.2">
      <c r="O46" t="s">
        <v>39</v>
      </c>
      <c r="R46">
        <v>181309</v>
      </c>
    </row>
    <row r="47" spans="15:18" x14ac:dyDescent="0.2">
      <c r="O47" t="s">
        <v>40</v>
      </c>
      <c r="R47">
        <v>3853413.51</v>
      </c>
    </row>
    <row r="49" spans="18:18" x14ac:dyDescent="0.2">
      <c r="R49">
        <f>SUM(R46:R48)</f>
        <v>4034722.51</v>
      </c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topLeftCell="E1" zoomScale="90" zoomScaleNormal="90" workbookViewId="0">
      <selection activeCell="Y8" sqref="Y8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20" width="13.42578125" customWidth="1"/>
    <col min="21" max="21" width="8.42578125" customWidth="1"/>
    <col min="27" max="27" width="13.42578125" customWidth="1"/>
  </cols>
  <sheetData>
    <row r="1" spans="1:32" ht="15.75" x14ac:dyDescent="0.25">
      <c r="A1" s="1" t="s">
        <v>11</v>
      </c>
    </row>
    <row r="4" spans="1:32" ht="18" x14ac:dyDescent="0.25">
      <c r="A4" s="2" t="s">
        <v>27</v>
      </c>
    </row>
    <row r="5" spans="1:32" ht="16.5" customHeight="1" x14ac:dyDescent="0.2">
      <c r="D5" s="50"/>
      <c r="F5" s="50"/>
    </row>
    <row r="6" spans="1:32" ht="18" x14ac:dyDescent="0.25">
      <c r="A6" s="2" t="s">
        <v>36</v>
      </c>
      <c r="W6" s="49" t="s">
        <v>19</v>
      </c>
      <c r="X6" s="49"/>
      <c r="Y6" s="49"/>
      <c r="Z6" s="49"/>
      <c r="AA6" s="49"/>
      <c r="AB6" s="49"/>
    </row>
    <row r="7" spans="1:32" ht="28.5" customHeight="1" x14ac:dyDescent="0.2">
      <c r="A7" s="37"/>
      <c r="B7" s="38" t="s">
        <v>14</v>
      </c>
      <c r="C7" s="38"/>
      <c r="D7" s="39" t="s">
        <v>1</v>
      </c>
      <c r="E7" s="39"/>
      <c r="F7" s="39" t="s">
        <v>16</v>
      </c>
      <c r="G7" s="39" t="s">
        <v>5</v>
      </c>
      <c r="H7" s="39"/>
      <c r="I7" s="39" t="s">
        <v>6</v>
      </c>
      <c r="J7" s="39"/>
      <c r="K7" s="39" t="s">
        <v>3</v>
      </c>
      <c r="L7" s="39"/>
      <c r="M7" s="39" t="s">
        <v>4</v>
      </c>
      <c r="N7" s="39"/>
      <c r="O7" s="39" t="s">
        <v>2</v>
      </c>
      <c r="P7" s="39"/>
      <c r="Q7" s="39" t="s">
        <v>18</v>
      </c>
      <c r="R7" s="39" t="s">
        <v>28</v>
      </c>
      <c r="S7" s="39" t="s">
        <v>19</v>
      </c>
      <c r="T7" s="39" t="s">
        <v>12</v>
      </c>
      <c r="U7" s="32"/>
      <c r="V7" s="32"/>
      <c r="W7" s="39" t="s">
        <v>2</v>
      </c>
      <c r="X7" s="39" t="s">
        <v>4</v>
      </c>
      <c r="Y7" s="39" t="s">
        <v>1</v>
      </c>
      <c r="Z7" s="39" t="s">
        <v>26</v>
      </c>
      <c r="AA7" s="39" t="s">
        <v>29</v>
      </c>
      <c r="AB7" s="39" t="s">
        <v>0</v>
      </c>
      <c r="AC7" s="32"/>
      <c r="AD7" s="32"/>
    </row>
    <row r="8" spans="1:32" s="6" customFormat="1" ht="35.25" customHeight="1" x14ac:dyDescent="0.2">
      <c r="A8" s="40" t="s">
        <v>7</v>
      </c>
      <c r="B8" s="41">
        <v>780898.75</v>
      </c>
      <c r="C8" s="42">
        <f>B8/B$12</f>
        <v>0.56733839475452708</v>
      </c>
      <c r="D8" s="41">
        <v>739371</v>
      </c>
      <c r="E8" s="42">
        <f>D8/D$12</f>
        <v>0.48999631693083534</v>
      </c>
      <c r="F8" s="41"/>
      <c r="G8" s="41"/>
      <c r="H8" s="42">
        <f>G8/G$12</f>
        <v>0</v>
      </c>
      <c r="I8" s="41">
        <v>519211.75</v>
      </c>
      <c r="J8" s="42">
        <f>I8/I$12</f>
        <v>0.65754531048904774</v>
      </c>
      <c r="K8" s="41"/>
      <c r="L8" s="42">
        <f>K8/K$12</f>
        <v>0</v>
      </c>
      <c r="M8" s="41"/>
      <c r="N8" s="42">
        <f>M8/M$12</f>
        <v>0</v>
      </c>
      <c r="O8" s="41">
        <f>4179.25+86</f>
        <v>4265.25</v>
      </c>
      <c r="P8" s="42">
        <f>O8/O$12</f>
        <v>4.5508621057573299E-2</v>
      </c>
      <c r="Q8" s="41"/>
      <c r="R8" s="41">
        <f>B8+D8+F8+G8+I8+K8+M8+O8+Q8</f>
        <v>2043746.75</v>
      </c>
      <c r="S8" s="41">
        <f>W8+X8+Y8+Z8+AA8+AB8</f>
        <v>45074.76</v>
      </c>
      <c r="T8" s="41">
        <f>R8+S8</f>
        <v>2088821.51</v>
      </c>
      <c r="U8" s="46">
        <f>T8/T$12</f>
        <v>0.52328602724880713</v>
      </c>
      <c r="V8" s="45"/>
      <c r="W8" s="41"/>
      <c r="X8" s="41"/>
      <c r="Y8" s="41">
        <f>4134.56+1427+468.9+3900</f>
        <v>9930.4599999999991</v>
      </c>
      <c r="Z8" s="41">
        <v>1546.3</v>
      </c>
      <c r="AA8" s="41">
        <f>2060+2760+2760+1900+1900+1900+8555.6+2760+2760+2760</f>
        <v>30115.599999999999</v>
      </c>
      <c r="AB8" s="41">
        <f>1982.4+1500</f>
        <v>3482.4</v>
      </c>
      <c r="AC8" s="33"/>
      <c r="AD8" s="33"/>
    </row>
    <row r="9" spans="1:32" s="6" customFormat="1" ht="35.25" customHeight="1" x14ac:dyDescent="0.2">
      <c r="A9" s="40" t="s">
        <v>8</v>
      </c>
      <c r="B9" s="41">
        <v>519585</v>
      </c>
      <c r="C9" s="42">
        <f t="shared" ref="C9:C11" si="0">B9/B$12</f>
        <v>0.37748878435076377</v>
      </c>
      <c r="D9" s="41">
        <v>700952</v>
      </c>
      <c r="E9" s="42">
        <f t="shared" ref="E9:E11" si="1">D9/D$12</f>
        <v>0.46453525813874619</v>
      </c>
      <c r="F9" s="41"/>
      <c r="G9" s="41">
        <f>79011+95+5149.25+142.5+155</f>
        <v>84552.75</v>
      </c>
      <c r="H9" s="42">
        <f t="shared" ref="H9:H11" si="2">G9/G$12</f>
        <v>1</v>
      </c>
      <c r="I9" s="41">
        <v>28773.75</v>
      </c>
      <c r="J9" s="42">
        <f t="shared" ref="J9:J11" si="3">I9/I$12</f>
        <v>3.6439938768111926E-2</v>
      </c>
      <c r="K9" s="41">
        <v>44043</v>
      </c>
      <c r="L9" s="42">
        <f t="shared" ref="L9:L11" si="4">K9/K$12</f>
        <v>1</v>
      </c>
      <c r="M9" s="41">
        <v>45439.75</v>
      </c>
      <c r="N9" s="42">
        <f t="shared" ref="N9:N11" si="5">M9/M$12</f>
        <v>1</v>
      </c>
      <c r="O9" s="41">
        <f>51133.25</f>
        <v>51133.25</v>
      </c>
      <c r="P9" s="42">
        <f t="shared" ref="P9:P11" si="6">O9/O$12</f>
        <v>0.54557263881183049</v>
      </c>
      <c r="Q9" s="41"/>
      <c r="R9" s="41">
        <f t="shared" ref="R9:R11" si="7">B9+D9+F9+G9+I9+K9+M9+O9+Q9</f>
        <v>1474479.5</v>
      </c>
      <c r="S9" s="41">
        <f>W9+X9+Y9+Z9+AA9+AB9</f>
        <v>2474.1</v>
      </c>
      <c r="T9" s="41">
        <f t="shared" ref="T9:T11" si="8">R9+S9</f>
        <v>1476953.6</v>
      </c>
      <c r="U9" s="46">
        <f t="shared" ref="U9" si="9">T9/T$12</f>
        <v>0.37000250048881572</v>
      </c>
      <c r="V9" s="45"/>
      <c r="W9" s="41"/>
      <c r="X9" s="41">
        <f>1407+158+622+171.36</f>
        <v>2358.36</v>
      </c>
      <c r="Y9" s="41">
        <v>115.74</v>
      </c>
      <c r="Z9" s="41"/>
      <c r="AA9" s="41"/>
      <c r="AB9" s="41"/>
      <c r="AC9" s="33"/>
      <c r="AD9" s="33"/>
    </row>
    <row r="10" spans="1:32" s="6" customFormat="1" ht="35.25" customHeight="1" x14ac:dyDescent="0.2">
      <c r="A10" s="40" t="s">
        <v>9</v>
      </c>
      <c r="B10" s="41">
        <v>50808</v>
      </c>
      <c r="C10" s="42">
        <f t="shared" si="0"/>
        <v>3.6913017418311933E-2</v>
      </c>
      <c r="D10" s="41">
        <v>51093</v>
      </c>
      <c r="E10" s="42">
        <f t="shared" si="1"/>
        <v>3.3860378376954423E-2</v>
      </c>
      <c r="F10" s="41"/>
      <c r="G10" s="41"/>
      <c r="H10" s="42">
        <f t="shared" si="2"/>
        <v>0</v>
      </c>
      <c r="I10" s="41">
        <v>53999.5</v>
      </c>
      <c r="J10" s="42">
        <f t="shared" si="3"/>
        <v>6.8386584074326767E-2</v>
      </c>
      <c r="K10" s="41"/>
      <c r="L10" s="42">
        <f t="shared" si="4"/>
        <v>0</v>
      </c>
      <c r="M10" s="41"/>
      <c r="N10" s="42">
        <f t="shared" si="5"/>
        <v>0</v>
      </c>
      <c r="O10" s="41">
        <f>17613.5+1342+1647+793+12503+122+1037+488+2658+122</f>
        <v>38325.5</v>
      </c>
      <c r="P10" s="42">
        <f t="shared" si="6"/>
        <v>0.4089187401305962</v>
      </c>
      <c r="Q10" s="41"/>
      <c r="R10" s="41">
        <f t="shared" si="7"/>
        <v>194226</v>
      </c>
      <c r="S10" s="41">
        <f>W10</f>
        <v>1453.15</v>
      </c>
      <c r="T10" s="41">
        <f t="shared" si="8"/>
        <v>195679.15</v>
      </c>
      <c r="U10" s="46">
        <f>T10/T$12</f>
        <v>4.9021021915330337E-2</v>
      </c>
      <c r="V10" s="45"/>
      <c r="W10" s="41">
        <f>658.15+795</f>
        <v>1453.15</v>
      </c>
      <c r="X10" s="41"/>
      <c r="Y10" s="41"/>
      <c r="Z10" s="41"/>
      <c r="AA10" s="41"/>
      <c r="AB10" s="41"/>
      <c r="AC10" s="33"/>
      <c r="AD10" s="33"/>
    </row>
    <row r="11" spans="1:32" s="6" customFormat="1" ht="35.25" customHeight="1" x14ac:dyDescent="0.2">
      <c r="A11" s="40" t="s">
        <v>10</v>
      </c>
      <c r="B11" s="41">
        <v>25133.25</v>
      </c>
      <c r="C11" s="42">
        <f t="shared" si="0"/>
        <v>1.8259803476397187E-2</v>
      </c>
      <c r="D11" s="41">
        <v>17515.75</v>
      </c>
      <c r="E11" s="42">
        <f t="shared" si="1"/>
        <v>1.1608046553464065E-2</v>
      </c>
      <c r="F11" s="41"/>
      <c r="G11" s="41"/>
      <c r="H11" s="42">
        <f t="shared" si="2"/>
        <v>0</v>
      </c>
      <c r="I11" s="41">
        <v>187636.25</v>
      </c>
      <c r="J11" s="42">
        <f t="shared" si="3"/>
        <v>0.23762816666851355</v>
      </c>
      <c r="K11" s="41"/>
      <c r="L11" s="42">
        <f t="shared" si="4"/>
        <v>0</v>
      </c>
      <c r="M11" s="41"/>
      <c r="N11" s="42">
        <f t="shared" si="5"/>
        <v>0</v>
      </c>
      <c r="O11" s="41"/>
      <c r="P11" s="42">
        <f t="shared" si="6"/>
        <v>0</v>
      </c>
      <c r="Q11" s="41"/>
      <c r="R11" s="41">
        <f t="shared" si="7"/>
        <v>230285.25</v>
      </c>
      <c r="S11" s="41"/>
      <c r="T11" s="41">
        <f t="shared" si="8"/>
        <v>230285.25</v>
      </c>
      <c r="U11" s="46">
        <f>T11/T$12</f>
        <v>5.7690450347046819E-2</v>
      </c>
      <c r="V11" s="45"/>
      <c r="W11" s="41"/>
      <c r="X11" s="41"/>
      <c r="Y11" s="41"/>
      <c r="Z11" s="41"/>
      <c r="AA11" s="41"/>
      <c r="AB11" s="41"/>
      <c r="AC11" s="34"/>
      <c r="AD11" s="34"/>
    </row>
    <row r="12" spans="1:32" ht="27" customHeight="1" x14ac:dyDescent="0.2">
      <c r="A12" s="43" t="s">
        <v>12</v>
      </c>
      <c r="B12" s="44">
        <f>SUM(B8:B11)</f>
        <v>1376425</v>
      </c>
      <c r="C12" s="44"/>
      <c r="D12" s="44">
        <f>SUM(D8:D11)</f>
        <v>1508931.75</v>
      </c>
      <c r="E12" s="44"/>
      <c r="F12" s="44"/>
      <c r="G12" s="44">
        <f t="shared" ref="G12:O12" si="10">SUM(G8:G11)</f>
        <v>84552.75</v>
      </c>
      <c r="H12" s="44"/>
      <c r="I12" s="44">
        <f t="shared" si="10"/>
        <v>789621.25</v>
      </c>
      <c r="J12" s="44"/>
      <c r="K12" s="44">
        <f t="shared" si="10"/>
        <v>44043</v>
      </c>
      <c r="L12" s="44"/>
      <c r="M12" s="44">
        <f t="shared" si="10"/>
        <v>45439.75</v>
      </c>
      <c r="N12" s="44"/>
      <c r="O12" s="44">
        <f t="shared" si="10"/>
        <v>93724</v>
      </c>
      <c r="P12" s="44"/>
      <c r="Q12" s="44"/>
      <c r="R12" s="44">
        <f>SUM(R8:R11)</f>
        <v>3942737.5</v>
      </c>
      <c r="S12" s="44">
        <f>SUM(S8:S11)</f>
        <v>49002.01</v>
      </c>
      <c r="T12" s="44">
        <f>SUM(T8:T11)</f>
        <v>3991739.5100000002</v>
      </c>
      <c r="U12" s="32"/>
      <c r="V12" s="32"/>
      <c r="W12" s="32"/>
      <c r="X12" s="32"/>
      <c r="Y12" s="32"/>
      <c r="Z12" s="32"/>
      <c r="AA12" s="32"/>
      <c r="AB12" s="32"/>
      <c r="AC12" s="35"/>
      <c r="AF12" s="36"/>
    </row>
    <row r="13" spans="1:32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32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32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32" ht="18" x14ac:dyDescent="0.2">
      <c r="A16" s="24" t="s">
        <v>22</v>
      </c>
    </row>
    <row r="17" spans="1:20" ht="28.5" customHeight="1" x14ac:dyDescent="0.2">
      <c r="A17" s="3"/>
      <c r="B17" s="53" t="s">
        <v>0</v>
      </c>
      <c r="C17" s="53"/>
      <c r="D17" s="54" t="s">
        <v>1</v>
      </c>
      <c r="E17" s="54"/>
      <c r="F17" s="54" t="s">
        <v>16</v>
      </c>
      <c r="G17" s="54" t="s">
        <v>5</v>
      </c>
      <c r="H17" s="54"/>
      <c r="I17" s="54" t="s">
        <v>6</v>
      </c>
      <c r="J17" s="54"/>
      <c r="K17" s="54" t="s">
        <v>3</v>
      </c>
      <c r="L17" s="54"/>
      <c r="M17" s="54" t="s">
        <v>4</v>
      </c>
      <c r="N17" s="54"/>
      <c r="O17" s="54" t="s">
        <v>2</v>
      </c>
      <c r="P17" s="54"/>
      <c r="Q17" s="4" t="s">
        <v>18</v>
      </c>
      <c r="R17" s="4" t="s">
        <v>28</v>
      </c>
      <c r="S17" s="4" t="s">
        <v>19</v>
      </c>
      <c r="T17" s="4" t="s">
        <v>12</v>
      </c>
    </row>
    <row r="18" spans="1:20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>
        <f>SUM(B18:Q18)</f>
        <v>3077525</v>
      </c>
      <c r="S18" s="10">
        <v>39525</v>
      </c>
      <c r="T18" s="5">
        <f>SUM(R18:S18)</f>
        <v>3117050</v>
      </c>
    </row>
    <row r="19" spans="1:20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>
        <f>SUM(B19:Q19)</f>
        <v>371784.94</v>
      </c>
      <c r="S19" s="10"/>
      <c r="T19" s="5">
        <f>SUM(R19:S19)</f>
        <v>371784.94</v>
      </c>
    </row>
    <row r="20" spans="1:20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>
        <f>SUM(B20:Q20)</f>
        <v>20682.82</v>
      </c>
      <c r="S20" s="10"/>
      <c r="T20" s="5">
        <f>SUM(B20:O20)</f>
        <v>20682.82</v>
      </c>
    </row>
    <row r="21" spans="1:20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0"/>
      <c r="T21" s="5">
        <f>SUM(T18:T20)</f>
        <v>3509517.76</v>
      </c>
    </row>
    <row r="22" spans="1:20" ht="16.5" customHeight="1" x14ac:dyDescent="0.2">
      <c r="A22" s="13" t="s">
        <v>51</v>
      </c>
      <c r="B22" s="14">
        <v>150933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f>SUM(B22:Q22)</f>
        <v>150933</v>
      </c>
      <c r="S22" s="14">
        <v>17860</v>
      </c>
      <c r="T22" s="15">
        <f>SUM(R22:S22)</f>
        <v>168793</v>
      </c>
    </row>
    <row r="23" spans="1:20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>SUM(B23:Q23)</f>
        <v>69900</v>
      </c>
      <c r="S23" s="20">
        <v>0</v>
      </c>
      <c r="T23" s="15">
        <f t="shared" ref="T23:T24" si="11">SUM(R23:S23)</f>
        <v>69900</v>
      </c>
    </row>
    <row r="24" spans="1:20" ht="16.5" customHeight="1" x14ac:dyDescent="0.2">
      <c r="A24" s="16" t="s">
        <v>52</v>
      </c>
      <c r="B24" s="17">
        <v>162587.75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>
        <f>SUM(B24:Q24)</f>
        <v>162587.75</v>
      </c>
      <c r="S24" s="17">
        <v>12255.6</v>
      </c>
      <c r="T24" s="15">
        <f t="shared" si="11"/>
        <v>174843.35</v>
      </c>
    </row>
    <row r="25" spans="1:20" ht="19.5" customHeight="1" x14ac:dyDescent="0.2">
      <c r="A25" s="27" t="s">
        <v>21</v>
      </c>
      <c r="B25" s="28">
        <f>SUM(B22:B24)</f>
        <v>383420.75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5"/>
    </row>
    <row r="26" spans="1:20" ht="19.5" customHeight="1" x14ac:dyDescent="0.2">
      <c r="A26" s="9"/>
      <c r="B26" s="10"/>
      <c r="C26" s="10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3"/>
      <c r="R26" s="3"/>
      <c r="S26" s="3"/>
      <c r="T26" s="5"/>
    </row>
    <row r="27" spans="1:20" ht="28.5" customHeight="1" x14ac:dyDescent="0.2">
      <c r="A27" s="25" t="s">
        <v>25</v>
      </c>
      <c r="B27" s="10">
        <f>B18+B20+B25+B19</f>
        <v>1424067.63</v>
      </c>
      <c r="C27" s="10"/>
      <c r="D27" s="10">
        <f>D18+D20+D25+D19</f>
        <v>1133743.75</v>
      </c>
      <c r="E27" s="10"/>
      <c r="F27" s="10">
        <f t="shared" ref="F27:Q27" si="12">F18+F20+F25+F19</f>
        <v>92075</v>
      </c>
      <c r="G27" s="10">
        <f t="shared" si="12"/>
        <v>140304.69</v>
      </c>
      <c r="H27" s="10"/>
      <c r="I27" s="10">
        <f t="shared" si="12"/>
        <v>691437.5</v>
      </c>
      <c r="J27" s="10"/>
      <c r="K27" s="10">
        <f t="shared" si="12"/>
        <v>35085</v>
      </c>
      <c r="L27" s="10"/>
      <c r="M27" s="10">
        <f t="shared" si="12"/>
        <v>44925</v>
      </c>
      <c r="N27" s="10"/>
      <c r="O27" s="10">
        <f t="shared" si="12"/>
        <v>152200</v>
      </c>
      <c r="P27" s="10"/>
      <c r="Q27" s="10">
        <f t="shared" si="12"/>
        <v>139574.94</v>
      </c>
      <c r="R27" s="48">
        <f>SUM(B27:Q27)</f>
        <v>3853413.51</v>
      </c>
      <c r="S27" s="10">
        <f>S18+S20+S25+S22+S23+S24</f>
        <v>69640.600000000006</v>
      </c>
      <c r="T27" s="26">
        <f>SUM(R27:S27)</f>
        <v>3923054.11</v>
      </c>
    </row>
    <row r="28" spans="1:20" ht="16.5" customHeight="1" x14ac:dyDescent="0.2">
      <c r="A28" s="7"/>
      <c r="B28" s="8"/>
      <c r="C28" s="8"/>
      <c r="D28" s="8"/>
      <c r="E28" s="56"/>
      <c r="F28" s="8"/>
      <c r="G28" s="8"/>
      <c r="H28" s="56"/>
      <c r="I28" s="8"/>
      <c r="J28" s="56"/>
      <c r="K28" s="8"/>
      <c r="L28" s="56"/>
      <c r="M28" s="8"/>
      <c r="N28" s="56"/>
      <c r="O28" s="8"/>
      <c r="P28" s="56"/>
      <c r="Q28" s="8"/>
      <c r="R28" s="11"/>
      <c r="S28" s="11"/>
      <c r="T28" s="12"/>
    </row>
    <row r="29" spans="1:20" ht="16.5" customHeight="1" x14ac:dyDescent="0.2">
      <c r="A29" s="7"/>
      <c r="B29" s="8"/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  <c r="S29" s="11"/>
      <c r="T29" s="12"/>
    </row>
    <row r="30" spans="1:20" x14ac:dyDescent="0.2">
      <c r="A30" t="s">
        <v>13</v>
      </c>
    </row>
    <row r="35" spans="18:18" x14ac:dyDescent="0.2">
      <c r="R35" s="50"/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Tabelle1</vt:lpstr>
      <vt:lpstr>AeBo</vt:lpstr>
      <vt:lpstr>ohne PGV</vt:lpstr>
      <vt:lpstr>ohne PGV (2)</vt:lpstr>
      <vt:lpstr>ohne PGV (3)</vt:lpstr>
      <vt:lpstr>Tabelle1 (4)</vt:lpstr>
      <vt:lpstr>Tabelle1 (5)</vt:lpstr>
      <vt:lpstr>Kostenzusammenstellung30092023</vt:lpstr>
      <vt:lpstr>AeBo!Druckbereich</vt:lpstr>
      <vt:lpstr>Kostenzusammenstellung30092023!Druckbereich</vt:lpstr>
      <vt:lpstr>'ohne PGV'!Druckbereich</vt:lpstr>
      <vt:lpstr>'ohne PGV (2)'!Druckbereich</vt:lpstr>
      <vt:lpstr>'ohne PGV (3)'!Druckbereich</vt:lpstr>
      <vt:lpstr>Tabelle1!Druckbereich</vt:lpstr>
      <vt:lpstr>'Tabelle1 (4)'!Druckbereich</vt:lpstr>
      <vt:lpstr>'Tabelle1 (5)'!Druckbereich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2023-10-27T13:46:13Z</cp:lastPrinted>
  <dcterms:created xsi:type="dcterms:W3CDTF">2022-05-03T12:13:56Z</dcterms:created>
  <dcterms:modified xsi:type="dcterms:W3CDTF">2023-11-30T13:40:43Z</dcterms:modified>
</cp:coreProperties>
</file>