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EKP_05-2022\"/>
    </mc:Choice>
  </mc:AlternateContent>
  <bookViews>
    <workbookView xWindow="0" yWindow="0" windowWidth="28800" windowHeight="13110"/>
  </bookViews>
  <sheets>
    <sheet name="Tabelle1" sheetId="1" r:id="rId1"/>
  </sheets>
  <definedNames>
    <definedName name="_xlnm.Print_Area" localSheetId="0">Tabelle1!$A$1:$T$26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6" i="1"/>
  <c r="G17" i="1"/>
  <c r="F47" i="1" l="1"/>
  <c r="F9" i="1"/>
  <c r="F13" i="1"/>
  <c r="N55" i="1" l="1"/>
  <c r="M55" i="1"/>
  <c r="L55" i="1"/>
  <c r="K55" i="1"/>
  <c r="J55" i="1"/>
  <c r="I55" i="1"/>
  <c r="H55" i="1"/>
  <c r="G55" i="1"/>
  <c r="F55" i="1"/>
  <c r="O55" i="1" s="1"/>
  <c r="E55" i="1"/>
  <c r="N54" i="1"/>
  <c r="M54" i="1"/>
  <c r="L54" i="1"/>
  <c r="K54" i="1"/>
  <c r="J54" i="1"/>
  <c r="I54" i="1"/>
  <c r="H54" i="1"/>
  <c r="G54" i="1"/>
  <c r="F54" i="1"/>
  <c r="E54" i="1"/>
  <c r="O54" i="1" s="1"/>
  <c r="N53" i="1"/>
  <c r="M53" i="1"/>
  <c r="L53" i="1"/>
  <c r="K53" i="1"/>
  <c r="J53" i="1"/>
  <c r="I53" i="1"/>
  <c r="H53" i="1"/>
  <c r="G53" i="1"/>
  <c r="F53" i="1"/>
  <c r="E53" i="1"/>
  <c r="N52" i="1"/>
  <c r="M52" i="1"/>
  <c r="L52" i="1"/>
  <c r="K52" i="1"/>
  <c r="J52" i="1"/>
  <c r="I52" i="1"/>
  <c r="H52" i="1"/>
  <c r="G52" i="1"/>
  <c r="F52" i="1"/>
  <c r="E52" i="1"/>
  <c r="N51" i="1"/>
  <c r="M51" i="1"/>
  <c r="L51" i="1"/>
  <c r="K51" i="1"/>
  <c r="J51" i="1"/>
  <c r="I51" i="1"/>
  <c r="H51" i="1"/>
  <c r="G51" i="1"/>
  <c r="F51" i="1"/>
  <c r="E51" i="1"/>
  <c r="N50" i="1"/>
  <c r="M50" i="1"/>
  <c r="L50" i="1"/>
  <c r="K50" i="1"/>
  <c r="J50" i="1"/>
  <c r="I50" i="1"/>
  <c r="H50" i="1"/>
  <c r="G50" i="1"/>
  <c r="F50" i="1"/>
  <c r="E50" i="1"/>
  <c r="N49" i="1"/>
  <c r="M49" i="1"/>
  <c r="L49" i="1"/>
  <c r="K49" i="1"/>
  <c r="J49" i="1"/>
  <c r="I49" i="1"/>
  <c r="H49" i="1"/>
  <c r="G49" i="1"/>
  <c r="F49" i="1"/>
  <c r="E49" i="1"/>
  <c r="N48" i="1"/>
  <c r="M48" i="1"/>
  <c r="L48" i="1"/>
  <c r="K48" i="1"/>
  <c r="J48" i="1"/>
  <c r="I48" i="1"/>
  <c r="H48" i="1"/>
  <c r="G48" i="1"/>
  <c r="F48" i="1"/>
  <c r="E48" i="1"/>
  <c r="N47" i="1"/>
  <c r="M47" i="1"/>
  <c r="L47" i="1"/>
  <c r="K47" i="1"/>
  <c r="J47" i="1"/>
  <c r="I47" i="1"/>
  <c r="H47" i="1"/>
  <c r="G47" i="1"/>
  <c r="E47" i="1"/>
  <c r="N46" i="1"/>
  <c r="M46" i="1"/>
  <c r="L46" i="1"/>
  <c r="K46" i="1"/>
  <c r="J46" i="1"/>
  <c r="I46" i="1"/>
  <c r="H46" i="1"/>
  <c r="G46" i="1"/>
  <c r="F46" i="1"/>
  <c r="E46" i="1"/>
  <c r="N45" i="1"/>
  <c r="M45" i="1"/>
  <c r="L45" i="1"/>
  <c r="K45" i="1"/>
  <c r="J45" i="1"/>
  <c r="I45" i="1"/>
  <c r="H45" i="1"/>
  <c r="G45" i="1"/>
  <c r="F45" i="1"/>
  <c r="E45" i="1"/>
  <c r="N44" i="1"/>
  <c r="M44" i="1"/>
  <c r="L44" i="1"/>
  <c r="K44" i="1"/>
  <c r="J44" i="1"/>
  <c r="I44" i="1"/>
  <c r="H44" i="1"/>
  <c r="G44" i="1"/>
  <c r="F44" i="1"/>
  <c r="E44" i="1"/>
  <c r="O44" i="1" l="1"/>
  <c r="O57" i="1" s="1"/>
  <c r="K7" i="1"/>
  <c r="L7" i="1"/>
  <c r="M7" i="1"/>
  <c r="N7" i="1"/>
  <c r="O58" i="1" l="1"/>
  <c r="O59" i="1" s="1"/>
  <c r="N23" i="1"/>
  <c r="N24" i="1" s="1"/>
  <c r="N25" i="1" l="1"/>
  <c r="H40" i="1"/>
  <c r="O11" i="1"/>
  <c r="H35" i="1" s="1"/>
  <c r="O19" i="1"/>
  <c r="N26" i="1" l="1"/>
  <c r="N27" i="1" s="1"/>
  <c r="E8" i="1"/>
  <c r="E13" i="1"/>
  <c r="E14" i="1"/>
  <c r="F7" i="1" l="1"/>
  <c r="H7" i="1"/>
  <c r="I7" i="1"/>
  <c r="J7" i="1"/>
  <c r="E7" i="1"/>
  <c r="M23" i="1" l="1"/>
  <c r="M25" i="1" s="1"/>
  <c r="P37" i="1"/>
  <c r="P38" i="1"/>
  <c r="P39" i="1"/>
  <c r="P36" i="1"/>
  <c r="F40" i="1"/>
  <c r="G40" i="1"/>
  <c r="I40" i="1"/>
  <c r="J40" i="1"/>
  <c r="K40" i="1"/>
  <c r="L40" i="1"/>
  <c r="M40" i="1"/>
  <c r="N40" i="1"/>
  <c r="O40" i="1"/>
  <c r="E40" i="1"/>
  <c r="M24" i="1" l="1"/>
  <c r="M26" i="1"/>
  <c r="M27" i="1" s="1"/>
  <c r="P40" i="1"/>
  <c r="S36" i="1" s="1"/>
  <c r="S37" i="1" s="1"/>
  <c r="O9" i="1"/>
  <c r="F35" i="1" s="1"/>
  <c r="O10" i="1"/>
  <c r="G35" i="1" s="1"/>
  <c r="O12" i="1"/>
  <c r="I35" i="1" s="1"/>
  <c r="O13" i="1"/>
  <c r="J35" i="1" s="1"/>
  <c r="O14" i="1"/>
  <c r="O15" i="1"/>
  <c r="L35" i="1" s="1"/>
  <c r="O16" i="1"/>
  <c r="M35" i="1" s="1"/>
  <c r="O17" i="1"/>
  <c r="N35" i="1" s="1"/>
  <c r="O18" i="1"/>
  <c r="O35" i="1" s="1"/>
  <c r="O8" i="1"/>
  <c r="E35" i="1" s="1"/>
  <c r="K35" i="1" l="1"/>
  <c r="O20" i="1"/>
  <c r="P7" i="1"/>
  <c r="B7" i="1"/>
  <c r="A7" i="1"/>
  <c r="Q7" i="1" l="1"/>
  <c r="R7" i="1" s="1"/>
  <c r="S7" i="1" s="1"/>
  <c r="S13" i="1" s="1"/>
  <c r="S8" i="1" l="1"/>
</calcChain>
</file>

<file path=xl/comments1.xml><?xml version="1.0" encoding="utf-8"?>
<comments xmlns="http://schemas.openxmlformats.org/spreadsheetml/2006/main">
  <authors>
    <author>Fuchs Christian</author>
  </authors>
  <commentList>
    <comment ref="F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Anteil Partner fehlend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Anteil Partner fehlend</t>
        </r>
      </text>
    </comment>
    <comment ref="F11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Anteil Partner fehlend</t>
        </r>
      </text>
    </comment>
  </commentList>
</comments>
</file>

<file path=xl/sharedStrings.xml><?xml version="1.0" encoding="utf-8"?>
<sst xmlns="http://schemas.openxmlformats.org/spreadsheetml/2006/main" count="47" uniqueCount="45">
  <si>
    <t>Nettobetrag exkl. MWSt</t>
  </si>
  <si>
    <t>Nettobetrag inkl. MWSt</t>
  </si>
  <si>
    <t>IST</t>
  </si>
  <si>
    <t>unverändert</t>
  </si>
  <si>
    <t>Rest auf Basis Prognose</t>
  </si>
  <si>
    <t>Prognose bisher</t>
  </si>
  <si>
    <t>RDB ASTRA per März 2022</t>
  </si>
  <si>
    <t>Prognose v. Mai 2022</t>
  </si>
  <si>
    <t>SUMME</t>
  </si>
  <si>
    <t>TP K</t>
  </si>
  <si>
    <t>TP T/G</t>
  </si>
  <si>
    <t>TP T/U</t>
  </si>
  <si>
    <t>PGV</t>
  </si>
  <si>
    <t>SABA Mehraufwand LE</t>
  </si>
  <si>
    <t>AP LE / AP Frick</t>
  </si>
  <si>
    <t>IG allg. PL</t>
  </si>
  <si>
    <t>Summe</t>
  </si>
  <si>
    <t>FCh: Gegenprüfung mit Monatsaufrechnung</t>
  </si>
  <si>
    <t>fg: Stefan Roth, Aufwand PGV prüfen</t>
  </si>
  <si>
    <t>AeBo</t>
  </si>
  <si>
    <t>JS</t>
  </si>
  <si>
    <t>Hol</t>
  </si>
  <si>
    <t>Lei</t>
  </si>
  <si>
    <t>Kontrolle</t>
  </si>
  <si>
    <t>GHGW</t>
  </si>
  <si>
    <t>TP BSA (Markus)</t>
  </si>
  <si>
    <t>AP SABA / ZL (Annahme 100 ZL Mumpf =162Tsd)</t>
  </si>
  <si>
    <t>René, Markus: bitte nur Zeilen oben prüfen, ergänzen etc.</t>
  </si>
  <si>
    <t>aktualisiert mit Prognose 2022 ohne separate Aufrechnung von ZL</t>
  </si>
  <si>
    <t>Ausschöpfung Vertrag</t>
  </si>
  <si>
    <t>Triage Wer (Annahme)</t>
  </si>
  <si>
    <t>SABA Mehraufwand AeBo</t>
  </si>
  <si>
    <t>SABA Mehraufwand Hol</t>
  </si>
  <si>
    <t>AP SABA Zusatz Mumpf (Aufwand Hol)</t>
  </si>
  <si>
    <t>AP SABA Einarbeiten Stellungn.(Aufwand Hol)</t>
  </si>
  <si>
    <t>Noëlle = IST</t>
  </si>
  <si>
    <t>Abgabe in Papierform</t>
  </si>
  <si>
    <t>10% Unvorhergesehenes</t>
  </si>
  <si>
    <t>Zahlen nochmals aktualisiert</t>
  </si>
  <si>
    <t>exkl.</t>
  </si>
  <si>
    <t>inkl.</t>
  </si>
  <si>
    <t>FCh=Ist</t>
  </si>
  <si>
    <t>Überarbeitung AP- und MK-Dossier bis zu Genehmigung durch die FU.</t>
  </si>
  <si>
    <t>Vorbereitung/Dossiererstellung für Auflage AP Lärm, SABA, Bypass und Landerwerb</t>
  </si>
  <si>
    <t>Begleitung Instruktionsverfahren aller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</si>
</sst>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,##0_ ;\-#,##0\ 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0" tint="-0.3499862666707357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7" tint="-0.249977111117893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9" fillId="4" borderId="0" applyNumberFormat="0" applyBorder="0" applyAlignment="0" applyProtection="0"/>
  </cellStyleXfs>
  <cellXfs count="117">
    <xf numFmtId="0" fontId="0" fillId="0" borderId="0" xfId="0"/>
    <xf numFmtId="9" fontId="0" fillId="0" borderId="0" xfId="2" applyFont="1"/>
    <xf numFmtId="43" fontId="0" fillId="0" borderId="0" xfId="1" applyFont="1"/>
    <xf numFmtId="0" fontId="3" fillId="0" borderId="0" xfId="0" applyFont="1"/>
    <xf numFmtId="43" fontId="0" fillId="2" borderId="0" xfId="1" applyFont="1" applyFill="1"/>
    <xf numFmtId="0" fontId="0" fillId="2" borderId="0" xfId="0" applyFill="1"/>
    <xf numFmtId="17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/>
    </xf>
    <xf numFmtId="43" fontId="6" fillId="0" borderId="0" xfId="1" applyFont="1"/>
    <xf numFmtId="0" fontId="7" fillId="0" borderId="0" xfId="0" applyFont="1"/>
    <xf numFmtId="164" fontId="7" fillId="0" borderId="0" xfId="1" applyNumberFormat="1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43" fontId="8" fillId="0" borderId="0" xfId="1" applyFont="1"/>
    <xf numFmtId="0" fontId="8" fillId="0" borderId="0" xfId="0" applyFont="1"/>
    <xf numFmtId="9" fontId="8" fillId="0" borderId="0" xfId="2" applyFont="1"/>
    <xf numFmtId="10" fontId="0" fillId="2" borderId="0" xfId="2" applyNumberFormat="1" applyFont="1" applyFill="1"/>
    <xf numFmtId="0" fontId="6" fillId="0" borderId="0" xfId="0" applyFont="1"/>
    <xf numFmtId="0" fontId="11" fillId="0" borderId="0" xfId="0" applyFont="1"/>
    <xf numFmtId="0" fontId="13" fillId="0" borderId="0" xfId="0" applyFont="1"/>
    <xf numFmtId="164" fontId="13" fillId="0" borderId="0" xfId="0" applyNumberFormat="1" applyFont="1"/>
    <xf numFmtId="0" fontId="10" fillId="0" borderId="0" xfId="0" applyFont="1"/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10" borderId="4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9" borderId="1" xfId="0" applyFill="1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13" fillId="0" borderId="2" xfId="0" applyFont="1" applyBorder="1"/>
    <xf numFmtId="0" fontId="13" fillId="0" borderId="0" xfId="0" applyFont="1" applyBorder="1"/>
    <xf numFmtId="0" fontId="14" fillId="8" borderId="9" xfId="0" applyFont="1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3" fillId="0" borderId="10" xfId="0" applyFont="1" applyBorder="1"/>
    <xf numFmtId="9" fontId="0" fillId="0" borderId="11" xfId="2" applyFont="1" applyBorder="1" applyAlignment="1">
      <alignment horizontal="center"/>
    </xf>
    <xf numFmtId="0" fontId="13" fillId="0" borderId="7" xfId="0" applyFon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9" fillId="9" borderId="0" xfId="4" applyFill="1" applyAlignment="1">
      <alignment wrapText="1"/>
    </xf>
    <xf numFmtId="0" fontId="4" fillId="0" borderId="0" xfId="0" applyFont="1"/>
    <xf numFmtId="9" fontId="0" fillId="0" borderId="3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0" fontId="0" fillId="12" borderId="0" xfId="0" applyFill="1"/>
    <xf numFmtId="3" fontId="0" fillId="12" borderId="0" xfId="0" applyNumberFormat="1" applyFill="1"/>
    <xf numFmtId="164" fontId="4" fillId="12" borderId="0" xfId="1" applyNumberFormat="1" applyFont="1" applyFill="1"/>
    <xf numFmtId="3" fontId="4" fillId="12" borderId="0" xfId="1" applyNumberFormat="1" applyFont="1" applyFill="1"/>
    <xf numFmtId="3" fontId="4" fillId="12" borderId="0" xfId="0" applyNumberFormat="1" applyFont="1" applyFill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3" fontId="7" fillId="9" borderId="15" xfId="1" applyNumberFormat="1" applyFont="1" applyFill="1" applyBorder="1"/>
    <xf numFmtId="3" fontId="7" fillId="5" borderId="0" xfId="1" applyNumberFormat="1" applyFont="1" applyFill="1" applyBorder="1"/>
    <xf numFmtId="3" fontId="0" fillId="5" borderId="0" xfId="0" applyNumberFormat="1" applyFill="1" applyBorder="1"/>
    <xf numFmtId="3" fontId="5" fillId="5" borderId="0" xfId="1" applyNumberFormat="1" applyFont="1" applyFill="1" applyBorder="1"/>
    <xf numFmtId="3" fontId="0" fillId="5" borderId="16" xfId="0" applyNumberFormat="1" applyFill="1" applyBorder="1"/>
    <xf numFmtId="3" fontId="10" fillId="6" borderId="0" xfId="1" applyNumberFormat="1" applyFont="1" applyFill="1" applyBorder="1"/>
    <xf numFmtId="3" fontId="10" fillId="5" borderId="0" xfId="1" applyNumberFormat="1" applyFont="1" applyFill="1" applyBorder="1"/>
    <xf numFmtId="3" fontId="10" fillId="5" borderId="16" xfId="1" applyNumberFormat="1" applyFont="1" applyFill="1" applyBorder="1"/>
    <xf numFmtId="3" fontId="7" fillId="6" borderId="0" xfId="1" applyNumberFormat="1" applyFont="1" applyFill="1" applyBorder="1"/>
    <xf numFmtId="3" fontId="7" fillId="5" borderId="16" xfId="1" applyNumberFormat="1" applyFont="1" applyFill="1" applyBorder="1"/>
    <xf numFmtId="3" fontId="0" fillId="9" borderId="15" xfId="0" applyNumberFormat="1" applyFill="1" applyBorder="1"/>
    <xf numFmtId="3" fontId="5" fillId="5" borderId="0" xfId="0" applyNumberFormat="1" applyFont="1" applyFill="1" applyBorder="1"/>
    <xf numFmtId="3" fontId="11" fillId="9" borderId="15" xfId="0" applyNumberFormat="1" applyFont="1" applyFill="1" applyBorder="1"/>
    <xf numFmtId="3" fontId="11" fillId="5" borderId="0" xfId="0" applyNumberFormat="1" applyFont="1" applyFill="1" applyBorder="1"/>
    <xf numFmtId="3" fontId="11" fillId="5" borderId="16" xfId="0" applyNumberFormat="1" applyFont="1" applyFill="1" applyBorder="1"/>
    <xf numFmtId="3" fontId="10" fillId="7" borderId="0" xfId="0" applyNumberFormat="1" applyFont="1" applyFill="1" applyBorder="1"/>
    <xf numFmtId="3" fontId="10" fillId="5" borderId="0" xfId="0" applyNumberFormat="1" applyFont="1" applyFill="1" applyBorder="1"/>
    <xf numFmtId="3" fontId="10" fillId="7" borderId="16" xfId="0" applyNumberFormat="1" applyFont="1" applyFill="1" applyBorder="1"/>
    <xf numFmtId="3" fontId="0" fillId="6" borderId="0" xfId="0" applyNumberFormat="1" applyFill="1" applyBorder="1"/>
    <xf numFmtId="3" fontId="4" fillId="5" borderId="16" xfId="0" applyNumberFormat="1" applyFont="1" applyFill="1" applyBorder="1"/>
    <xf numFmtId="0" fontId="0" fillId="9" borderId="17" xfId="0" applyFill="1" applyBorder="1"/>
    <xf numFmtId="0" fontId="0" fillId="5" borderId="18" xfId="0" applyFill="1" applyBorder="1"/>
    <xf numFmtId="0" fontId="0" fillId="5" borderId="19" xfId="0" applyFill="1" applyBorder="1"/>
    <xf numFmtId="164" fontId="5" fillId="9" borderId="12" xfId="1" applyNumberFormat="1" applyFont="1" applyFill="1" applyBorder="1"/>
    <xf numFmtId="164" fontId="12" fillId="5" borderId="13" xfId="1" applyNumberFormat="1" applyFont="1" applyFill="1" applyBorder="1"/>
    <xf numFmtId="164" fontId="12" fillId="5" borderId="14" xfId="1" applyNumberFormat="1" applyFont="1" applyFill="1" applyBorder="1"/>
    <xf numFmtId="17" fontId="15" fillId="0" borderId="0" xfId="0" applyNumberFormat="1" applyFont="1" applyAlignment="1">
      <alignment horizontal="center"/>
    </xf>
    <xf numFmtId="164" fontId="15" fillId="5" borderId="14" xfId="0" applyNumberFormat="1" applyFont="1" applyFill="1" applyBorder="1"/>
    <xf numFmtId="164" fontId="15" fillId="5" borderId="16" xfId="0" applyNumberFormat="1" applyFont="1" applyFill="1" applyBorder="1"/>
    <xf numFmtId="164" fontId="15" fillId="5" borderId="19" xfId="0" applyNumberFormat="1" applyFont="1" applyFill="1" applyBorder="1"/>
    <xf numFmtId="10" fontId="6" fillId="0" borderId="0" xfId="2" applyNumberFormat="1" applyFont="1"/>
    <xf numFmtId="3" fontId="0" fillId="0" borderId="0" xfId="0" applyNumberFormat="1"/>
    <xf numFmtId="3" fontId="3" fillId="0" borderId="0" xfId="0" applyNumberFormat="1" applyFont="1"/>
    <xf numFmtId="164" fontId="5" fillId="9" borderId="13" xfId="1" applyNumberFormat="1" applyFont="1" applyFill="1" applyBorder="1"/>
    <xf numFmtId="3" fontId="0" fillId="9" borderId="0" xfId="0" applyNumberFormat="1" applyFill="1" applyBorder="1"/>
    <xf numFmtId="3" fontId="11" fillId="9" borderId="0" xfId="0" applyNumberFormat="1" applyFont="1" applyFill="1" applyBorder="1"/>
    <xf numFmtId="3" fontId="7" fillId="9" borderId="0" xfId="1" applyNumberFormat="1" applyFont="1" applyFill="1" applyBorder="1"/>
    <xf numFmtId="0" fontId="0" fillId="9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0" fillId="13" borderId="0" xfId="0" applyFill="1"/>
    <xf numFmtId="3" fontId="0" fillId="13" borderId="0" xfId="0" applyNumberFormat="1" applyFill="1"/>
    <xf numFmtId="0" fontId="14" fillId="14" borderId="0" xfId="0" applyFont="1" applyFill="1" applyAlignment="1">
      <alignment wrapText="1"/>
    </xf>
    <xf numFmtId="3" fontId="14" fillId="14" borderId="0" xfId="0" applyNumberFormat="1" applyFont="1" applyFill="1"/>
    <xf numFmtId="3" fontId="19" fillId="0" borderId="0" xfId="0" applyNumberFormat="1" applyFont="1"/>
    <xf numFmtId="0" fontId="14" fillId="15" borderId="0" xfId="0" applyFont="1" applyFill="1" applyAlignment="1">
      <alignment wrapText="1"/>
    </xf>
    <xf numFmtId="3" fontId="14" fillId="15" borderId="0" xfId="0" applyNumberFormat="1" applyFont="1" applyFill="1"/>
    <xf numFmtId="3" fontId="20" fillId="0" borderId="0" xfId="0" applyNumberFormat="1" applyFont="1" applyFill="1"/>
    <xf numFmtId="3" fontId="21" fillId="0" borderId="0" xfId="0" applyNumberFormat="1" applyFont="1"/>
    <xf numFmtId="9" fontId="0" fillId="0" borderId="0" xfId="0" applyNumberFormat="1"/>
    <xf numFmtId="3" fontId="7" fillId="9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8" fillId="0" borderId="0" xfId="0" applyNumberFormat="1" applyFont="1" applyAlignment="1">
      <alignment horizontal="right" vertical="center"/>
    </xf>
  </cellXfs>
  <cellStyles count="5">
    <cellStyle name="Gut" xfId="4" builtinId="26"/>
    <cellStyle name="Komma" xfId="1" builtinId="3"/>
    <cellStyle name="Normale 2" xf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19050</xdr:rowOff>
    </xdr:from>
    <xdr:to>
      <xdr:col>3</xdr:col>
      <xdr:colOff>676275</xdr:colOff>
      <xdr:row>5</xdr:row>
      <xdr:rowOff>66675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52775" y="50482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19050</xdr:colOff>
      <xdr:row>3</xdr:row>
      <xdr:rowOff>66675</xdr:rowOff>
    </xdr:from>
    <xdr:to>
      <xdr:col>15</xdr:col>
      <xdr:colOff>695325</xdr:colOff>
      <xdr:row>5</xdr:row>
      <xdr:rowOff>114300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744325" y="71437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>
      <selection activeCell="J23" sqref="J23"/>
    </sheetView>
  </sheetViews>
  <sheetFormatPr baseColWidth="10" defaultRowHeight="12.75" x14ac:dyDescent="0.2"/>
  <cols>
    <col min="1" max="2" width="13" customWidth="1"/>
    <col min="3" max="3" width="5.42578125" customWidth="1"/>
    <col min="4" max="4" width="42.85546875" bestFit="1" customWidth="1"/>
    <col min="5" max="14" width="9.85546875" customWidth="1"/>
    <col min="15" max="15" width="8.7109375" style="20" customWidth="1"/>
    <col min="19" max="19" width="20.7109375" customWidth="1"/>
    <col min="20" max="20" width="24.42578125" customWidth="1"/>
  </cols>
  <sheetData>
    <row r="1" spans="1:20" x14ac:dyDescent="0.2">
      <c r="A1" s="115" t="s">
        <v>2</v>
      </c>
      <c r="B1" s="115"/>
      <c r="S1" s="8" t="s">
        <v>5</v>
      </c>
    </row>
    <row r="2" spans="1:20" ht="25.5" x14ac:dyDescent="0.2">
      <c r="A2" s="24" t="s">
        <v>0</v>
      </c>
      <c r="B2" s="24" t="s">
        <v>1</v>
      </c>
      <c r="C2" s="3"/>
      <c r="D2" s="3"/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P2" s="3"/>
      <c r="Q2" s="3"/>
      <c r="R2" s="3"/>
      <c r="S2" s="3" t="s">
        <v>0</v>
      </c>
    </row>
    <row r="3" spans="1:20" x14ac:dyDescent="0.2">
      <c r="A3" s="4">
        <v>3923054.1</v>
      </c>
      <c r="B3" s="4">
        <v>4225129.3</v>
      </c>
      <c r="C3" s="2"/>
      <c r="S3" s="4">
        <v>3923054.1</v>
      </c>
      <c r="T3" s="5" t="s">
        <v>3</v>
      </c>
    </row>
    <row r="4" spans="1:20" x14ac:dyDescent="0.2">
      <c r="A4" s="4">
        <v>3515191.7499999995</v>
      </c>
      <c r="B4" s="4">
        <v>3785861.4847499989</v>
      </c>
      <c r="C4" s="2"/>
    </row>
    <row r="5" spans="1:20" x14ac:dyDescent="0.2">
      <c r="A5" s="4">
        <v>407862.35000000056</v>
      </c>
      <c r="B5" s="4">
        <v>439267.81525000092</v>
      </c>
      <c r="C5" s="2"/>
      <c r="E5" s="6">
        <v>44652</v>
      </c>
      <c r="F5" s="6">
        <v>44682</v>
      </c>
      <c r="G5" s="6">
        <v>44713</v>
      </c>
      <c r="H5" s="6">
        <v>44743</v>
      </c>
      <c r="I5" s="6">
        <v>44774</v>
      </c>
      <c r="J5" s="6">
        <v>44805</v>
      </c>
      <c r="K5" s="6">
        <v>44835</v>
      </c>
      <c r="L5" s="6">
        <v>44866</v>
      </c>
      <c r="M5" s="6">
        <v>44896</v>
      </c>
      <c r="N5" s="6">
        <v>44927</v>
      </c>
      <c r="O5" s="89" t="s">
        <v>16</v>
      </c>
    </row>
    <row r="6" spans="1:20" x14ac:dyDescent="0.2">
      <c r="A6" s="5"/>
      <c r="B6" s="5"/>
      <c r="Q6" s="7" t="s">
        <v>37</v>
      </c>
      <c r="R6" s="7"/>
    </row>
    <row r="7" spans="1:20" ht="38.25" x14ac:dyDescent="0.2">
      <c r="A7" s="17">
        <f>A4/A3</f>
        <v>0.89603448242021422</v>
      </c>
      <c r="B7" s="17">
        <f>B4/B3</f>
        <v>0.89603446804574693</v>
      </c>
      <c r="C7" s="1"/>
      <c r="D7" s="18" t="s">
        <v>8</v>
      </c>
      <c r="E7" s="60">
        <f t="shared" ref="E7:N7" si="0">SUM(E8:E19)</f>
        <v>22935.75</v>
      </c>
      <c r="F7" s="61">
        <f t="shared" si="0"/>
        <v>44952.5</v>
      </c>
      <c r="G7" s="61">
        <f t="shared" si="0"/>
        <v>77256</v>
      </c>
      <c r="H7" s="61">
        <f t="shared" si="0"/>
        <v>22000</v>
      </c>
      <c r="I7" s="61">
        <f t="shared" si="0"/>
        <v>43500</v>
      </c>
      <c r="J7" s="61">
        <f t="shared" si="0"/>
        <v>24929</v>
      </c>
      <c r="K7" s="61">
        <f t="shared" si="0"/>
        <v>2300</v>
      </c>
      <c r="L7" s="61">
        <f t="shared" si="0"/>
        <v>2300</v>
      </c>
      <c r="M7" s="61">
        <f t="shared" si="0"/>
        <v>2300</v>
      </c>
      <c r="N7" s="62">
        <f t="shared" si="0"/>
        <v>249075</v>
      </c>
      <c r="O7" s="21"/>
      <c r="P7" s="7">
        <f>SUM(E7:N7)</f>
        <v>491548.25</v>
      </c>
      <c r="Q7" s="7">
        <f>P7*0.1</f>
        <v>49154.825000000004</v>
      </c>
      <c r="R7" s="7">
        <f>P7+Q7</f>
        <v>540703.07499999995</v>
      </c>
      <c r="S7" s="9">
        <f>A4+R7</f>
        <v>4055894.8249999993</v>
      </c>
      <c r="T7" s="23" t="s">
        <v>28</v>
      </c>
    </row>
    <row r="8" spans="1:20" x14ac:dyDescent="0.2">
      <c r="A8" s="5"/>
      <c r="B8" s="5"/>
      <c r="D8" t="s">
        <v>15</v>
      </c>
      <c r="E8" s="86">
        <f>1982.5+285</f>
        <v>2267.5</v>
      </c>
      <c r="F8" s="96">
        <v>2678</v>
      </c>
      <c r="G8" s="87">
        <v>1650</v>
      </c>
      <c r="H8" s="87">
        <v>1000</v>
      </c>
      <c r="I8" s="87">
        <v>2000</v>
      </c>
      <c r="J8" s="87">
        <v>1000</v>
      </c>
      <c r="K8" s="87">
        <v>2000</v>
      </c>
      <c r="L8" s="87">
        <v>2000</v>
      </c>
      <c r="M8" s="87">
        <v>2000</v>
      </c>
      <c r="N8" s="88">
        <v>5000</v>
      </c>
      <c r="O8" s="90">
        <f>SUM(E8:N8)</f>
        <v>21595.5</v>
      </c>
      <c r="S8" s="9">
        <f>S3-S7</f>
        <v>-132840.72499999916</v>
      </c>
      <c r="T8" s="23" t="s">
        <v>4</v>
      </c>
    </row>
    <row r="9" spans="1:20" x14ac:dyDescent="0.2">
      <c r="A9" s="5"/>
      <c r="B9" s="5"/>
      <c r="D9" t="s">
        <v>26</v>
      </c>
      <c r="E9" s="63">
        <v>16780</v>
      </c>
      <c r="F9" s="99">
        <f>26798.25+213.75</f>
        <v>27012</v>
      </c>
      <c r="G9" s="64">
        <v>61170</v>
      </c>
      <c r="H9" s="64">
        <v>16000</v>
      </c>
      <c r="I9" s="65"/>
      <c r="J9" s="66"/>
      <c r="K9" s="66"/>
      <c r="L9" s="66"/>
      <c r="M9" s="65"/>
      <c r="N9" s="67"/>
      <c r="O9" s="91">
        <f t="shared" ref="O9:O19" si="1">SUM(E9:N9)</f>
        <v>120962</v>
      </c>
      <c r="S9" s="3"/>
    </row>
    <row r="10" spans="1:20" x14ac:dyDescent="0.2">
      <c r="A10" s="5"/>
      <c r="B10" s="5"/>
      <c r="D10" s="22" t="s">
        <v>31</v>
      </c>
      <c r="E10" s="63"/>
      <c r="F10" s="113"/>
      <c r="G10" s="68"/>
      <c r="H10" s="69"/>
      <c r="I10" s="69">
        <v>35000</v>
      </c>
      <c r="J10" s="69">
        <v>2429</v>
      </c>
      <c r="K10" s="69"/>
      <c r="L10" s="69"/>
      <c r="M10" s="69"/>
      <c r="N10" s="70">
        <v>70500</v>
      </c>
      <c r="O10" s="91">
        <f t="shared" si="1"/>
        <v>107929</v>
      </c>
      <c r="S10" s="3"/>
    </row>
    <row r="11" spans="1:20" x14ac:dyDescent="0.2">
      <c r="A11" s="5"/>
      <c r="B11" s="5"/>
      <c r="D11" s="10" t="s">
        <v>32</v>
      </c>
      <c r="E11" s="63"/>
      <c r="F11" s="113">
        <v>4467.5</v>
      </c>
      <c r="G11" s="71"/>
      <c r="H11" s="64"/>
      <c r="I11" s="64">
        <v>1000</v>
      </c>
      <c r="J11" s="64">
        <v>0</v>
      </c>
      <c r="K11" s="64"/>
      <c r="L11" s="64"/>
      <c r="M11" s="64"/>
      <c r="N11" s="72">
        <v>25000</v>
      </c>
      <c r="O11" s="91">
        <f t="shared" si="1"/>
        <v>30467.5</v>
      </c>
      <c r="S11" s="3"/>
    </row>
    <row r="12" spans="1:20" x14ac:dyDescent="0.2">
      <c r="A12" s="5"/>
      <c r="B12" s="5"/>
      <c r="D12" t="s">
        <v>13</v>
      </c>
      <c r="E12" s="63"/>
      <c r="F12" s="64"/>
      <c r="G12" s="64"/>
      <c r="H12" s="64"/>
      <c r="I12" s="64"/>
      <c r="J12" s="64"/>
      <c r="K12" s="64"/>
      <c r="L12" s="64"/>
      <c r="M12" s="64"/>
      <c r="N12" s="72"/>
      <c r="O12" s="91">
        <f t="shared" si="1"/>
        <v>0</v>
      </c>
      <c r="S12" s="3"/>
    </row>
    <row r="13" spans="1:20" x14ac:dyDescent="0.2">
      <c r="A13" s="114" t="s">
        <v>6</v>
      </c>
      <c r="B13" s="114"/>
      <c r="D13" t="s">
        <v>11</v>
      </c>
      <c r="E13" s="73">
        <f>2003.25+310</f>
        <v>2313.25</v>
      </c>
      <c r="F13" s="97">
        <f>5804+1493</f>
        <v>7297</v>
      </c>
      <c r="G13" s="65">
        <v>11167</v>
      </c>
      <c r="H13" s="65">
        <v>2000</v>
      </c>
      <c r="I13" s="65">
        <v>2000</v>
      </c>
      <c r="J13" s="74">
        <v>15000</v>
      </c>
      <c r="K13" s="65"/>
      <c r="L13" s="65"/>
      <c r="M13" s="65"/>
      <c r="N13" s="67">
        <v>15000</v>
      </c>
      <c r="O13" s="91">
        <f t="shared" si="1"/>
        <v>54777.25</v>
      </c>
      <c r="S13" s="93">
        <f>S7/S3</f>
        <v>1.0338615582691044</v>
      </c>
      <c r="T13" s="23" t="s">
        <v>29</v>
      </c>
    </row>
    <row r="14" spans="1:20" x14ac:dyDescent="0.2">
      <c r="D14" s="19" t="s">
        <v>9</v>
      </c>
      <c r="E14" s="75">
        <f>61+172</f>
        <v>233</v>
      </c>
      <c r="F14" s="98">
        <v>387</v>
      </c>
      <c r="G14" s="76">
        <v>0</v>
      </c>
      <c r="H14" s="76">
        <v>500</v>
      </c>
      <c r="I14" s="76">
        <v>1500</v>
      </c>
      <c r="J14" s="76">
        <v>500</v>
      </c>
      <c r="K14" s="76"/>
      <c r="L14" s="76"/>
      <c r="M14" s="76"/>
      <c r="N14" s="77">
        <v>20000</v>
      </c>
      <c r="O14" s="91">
        <f t="shared" si="1"/>
        <v>23120</v>
      </c>
      <c r="P14" t="s">
        <v>38</v>
      </c>
    </row>
    <row r="15" spans="1:20" x14ac:dyDescent="0.2">
      <c r="D15" t="s">
        <v>10</v>
      </c>
      <c r="E15" s="73"/>
      <c r="F15" s="65"/>
      <c r="G15" s="76">
        <v>0</v>
      </c>
      <c r="H15" s="76">
        <v>500</v>
      </c>
      <c r="I15" s="76">
        <v>1500</v>
      </c>
      <c r="J15" s="76">
        <v>500</v>
      </c>
      <c r="K15" s="76"/>
      <c r="L15" s="76"/>
      <c r="M15" s="76"/>
      <c r="N15" s="77">
        <v>9000</v>
      </c>
      <c r="O15" s="91">
        <f t="shared" si="1"/>
        <v>11500</v>
      </c>
    </row>
    <row r="16" spans="1:20" x14ac:dyDescent="0.2">
      <c r="D16" s="22" t="s">
        <v>25</v>
      </c>
      <c r="E16" s="73"/>
      <c r="F16" s="98">
        <v>3111</v>
      </c>
      <c r="G16" s="78">
        <f>2143+63</f>
        <v>2206</v>
      </c>
      <c r="H16" s="78">
        <v>2000</v>
      </c>
      <c r="I16" s="78">
        <v>500</v>
      </c>
      <c r="J16" s="79">
        <v>500</v>
      </c>
      <c r="K16" s="79">
        <v>300</v>
      </c>
      <c r="L16" s="79">
        <v>300</v>
      </c>
      <c r="M16" s="79">
        <v>300</v>
      </c>
      <c r="N16" s="80">
        <v>5000</v>
      </c>
      <c r="O16" s="91">
        <f t="shared" si="1"/>
        <v>14217</v>
      </c>
    </row>
    <row r="17" spans="4:19" x14ac:dyDescent="0.2">
      <c r="D17" t="s">
        <v>14</v>
      </c>
      <c r="E17" s="73"/>
      <c r="F17" s="65"/>
      <c r="G17" s="81">
        <f>285+683+95</f>
        <v>1063</v>
      </c>
      <c r="H17" s="65"/>
      <c r="I17" s="65"/>
      <c r="J17" s="74">
        <v>5000</v>
      </c>
      <c r="K17" s="65"/>
      <c r="L17" s="65"/>
      <c r="M17" s="65"/>
      <c r="N17" s="82">
        <v>7500</v>
      </c>
      <c r="O17" s="91">
        <f t="shared" si="1"/>
        <v>13563</v>
      </c>
    </row>
    <row r="18" spans="4:19" x14ac:dyDescent="0.2">
      <c r="D18" t="s">
        <v>12</v>
      </c>
      <c r="E18" s="73"/>
      <c r="F18" s="65"/>
      <c r="G18" s="65"/>
      <c r="H18" s="65"/>
      <c r="I18" s="65"/>
      <c r="J18" s="65"/>
      <c r="K18" s="65"/>
      <c r="L18" s="65"/>
      <c r="M18" s="65"/>
      <c r="N18" s="67">
        <v>92075</v>
      </c>
      <c r="O18" s="91">
        <f t="shared" si="1"/>
        <v>92075</v>
      </c>
    </row>
    <row r="19" spans="4:19" x14ac:dyDescent="0.2">
      <c r="D19" t="s">
        <v>24</v>
      </c>
      <c r="E19" s="83">
        <v>1342</v>
      </c>
      <c r="F19" s="84"/>
      <c r="G19" s="84"/>
      <c r="H19" s="84"/>
      <c r="I19" s="84"/>
      <c r="J19" s="84"/>
      <c r="K19" s="84"/>
      <c r="L19" s="84"/>
      <c r="M19" s="84"/>
      <c r="N19" s="85"/>
      <c r="O19" s="92">
        <f t="shared" si="1"/>
        <v>1342</v>
      </c>
      <c r="S19" s="13"/>
    </row>
    <row r="20" spans="4:19" ht="25.5" x14ac:dyDescent="0.2">
      <c r="E20" s="50" t="s">
        <v>35</v>
      </c>
      <c r="F20" s="100" t="s">
        <v>41</v>
      </c>
      <c r="J20" s="23" t="s">
        <v>36</v>
      </c>
      <c r="O20" s="21">
        <f>SUM(O8:O19)</f>
        <v>491548.25</v>
      </c>
      <c r="S20" s="3"/>
    </row>
    <row r="22" spans="4:19" x14ac:dyDescent="0.2">
      <c r="M22">
        <v>2022</v>
      </c>
      <c r="N22">
        <v>2023</v>
      </c>
      <c r="S22" s="14"/>
    </row>
    <row r="23" spans="4:19" x14ac:dyDescent="0.2">
      <c r="D23" s="10"/>
      <c r="E23" s="11"/>
      <c r="F23" s="11"/>
      <c r="G23" s="11"/>
      <c r="H23" s="10"/>
      <c r="I23" s="10"/>
      <c r="J23" s="10"/>
      <c r="K23" s="10"/>
      <c r="L23" s="10"/>
      <c r="M23" s="94">
        <f>SUM(E7:M7)</f>
        <v>242473.25</v>
      </c>
      <c r="N23" s="94">
        <f>N7</f>
        <v>249075</v>
      </c>
      <c r="P23" s="12"/>
      <c r="Q23" s="12"/>
      <c r="R23" s="12"/>
      <c r="S23" s="15"/>
    </row>
    <row r="24" spans="4:19" x14ac:dyDescent="0.2">
      <c r="D24" s="51" t="s">
        <v>17</v>
      </c>
      <c r="M24" s="94">
        <f>M23*0.1</f>
        <v>24247.325000000001</v>
      </c>
      <c r="N24" s="94">
        <f>N23*0.1</f>
        <v>24907.5</v>
      </c>
      <c r="S24" s="16"/>
    </row>
    <row r="25" spans="4:19" x14ac:dyDescent="0.2">
      <c r="D25" t="s">
        <v>18</v>
      </c>
      <c r="L25" t="s">
        <v>39</v>
      </c>
      <c r="M25" s="94">
        <f>M23*1.1</f>
        <v>266720.57500000001</v>
      </c>
      <c r="N25" s="94">
        <f>N23*1.1</f>
        <v>273982.5</v>
      </c>
    </row>
    <row r="26" spans="4:19" x14ac:dyDescent="0.2">
      <c r="L26" t="s">
        <v>40</v>
      </c>
      <c r="M26" s="94">
        <f>0.077*M25</f>
        <v>20537.484274999999</v>
      </c>
      <c r="N26" s="94">
        <f>0.077*N25</f>
        <v>21096.6525</v>
      </c>
    </row>
    <row r="27" spans="4:19" x14ac:dyDescent="0.2">
      <c r="D27" s="22" t="s">
        <v>27</v>
      </c>
      <c r="L27" s="3" t="s">
        <v>16</v>
      </c>
      <c r="M27" s="95">
        <f>SUM(M25:M26)</f>
        <v>287258.05927500001</v>
      </c>
      <c r="N27" s="95">
        <f>SUM(N25:N26)</f>
        <v>295079.15250000003</v>
      </c>
      <c r="S27" s="16"/>
    </row>
    <row r="28" spans="4:19" x14ac:dyDescent="0.2">
      <c r="S28" s="16"/>
    </row>
    <row r="29" spans="4:19" x14ac:dyDescent="0.2">
      <c r="S29" s="16"/>
    </row>
    <row r="30" spans="4:19" x14ac:dyDescent="0.2">
      <c r="D30" s="55" t="s">
        <v>33</v>
      </c>
      <c r="E30" s="55"/>
      <c r="F30" s="56">
        <v>5000</v>
      </c>
      <c r="G30" s="56">
        <v>12000</v>
      </c>
      <c r="H30" s="56">
        <v>5000</v>
      </c>
      <c r="I30" s="56"/>
      <c r="J30" s="56"/>
      <c r="K30" s="56"/>
      <c r="L30" s="56"/>
      <c r="M30" s="56"/>
      <c r="N30" s="56"/>
      <c r="S30" s="16"/>
    </row>
    <row r="31" spans="4:19" x14ac:dyDescent="0.2">
      <c r="D31" s="55" t="s">
        <v>34</v>
      </c>
      <c r="E31" s="57"/>
      <c r="F31" s="58"/>
      <c r="G31" s="58"/>
      <c r="H31" s="59"/>
      <c r="I31" s="58">
        <v>15000</v>
      </c>
      <c r="J31" s="59">
        <v>5000</v>
      </c>
      <c r="K31" s="59"/>
      <c r="L31" s="59"/>
      <c r="M31" s="59"/>
      <c r="N31" s="59">
        <v>25000</v>
      </c>
      <c r="S31" s="16"/>
    </row>
    <row r="32" spans="4:19" x14ac:dyDescent="0.2">
      <c r="S32" s="16"/>
    </row>
    <row r="33" spans="4:19" x14ac:dyDescent="0.2">
      <c r="S33" s="16"/>
    </row>
    <row r="35" spans="4:19" x14ac:dyDescent="0.2">
      <c r="D35" s="26" t="s">
        <v>30</v>
      </c>
      <c r="E35" s="27">
        <f>O8</f>
        <v>21595.5</v>
      </c>
      <c r="F35" s="27">
        <f>O9</f>
        <v>120962</v>
      </c>
      <c r="G35" s="27">
        <f>O10</f>
        <v>107929</v>
      </c>
      <c r="H35" s="27">
        <f>O11</f>
        <v>30467.5</v>
      </c>
      <c r="I35" s="27">
        <f>O12</f>
        <v>0</v>
      </c>
      <c r="J35" s="27">
        <f>O13</f>
        <v>54777.25</v>
      </c>
      <c r="K35" s="27">
        <f>O14</f>
        <v>23120</v>
      </c>
      <c r="L35" s="27">
        <f>O15</f>
        <v>11500</v>
      </c>
      <c r="M35" s="27">
        <f>O16</f>
        <v>14217</v>
      </c>
      <c r="N35" s="27">
        <f>O17</f>
        <v>13563</v>
      </c>
      <c r="O35" s="28">
        <f>O18</f>
        <v>92075</v>
      </c>
      <c r="P35" s="20"/>
      <c r="Q35" s="20"/>
      <c r="R35" s="20"/>
    </row>
    <row r="36" spans="4:19" x14ac:dyDescent="0.2">
      <c r="D36" s="40" t="s">
        <v>19</v>
      </c>
      <c r="E36" s="41">
        <v>9500</v>
      </c>
      <c r="F36" s="41">
        <v>105000</v>
      </c>
      <c r="G36" s="41">
        <v>100000</v>
      </c>
      <c r="H36" s="41"/>
      <c r="I36" s="41"/>
      <c r="J36" s="42">
        <v>22500</v>
      </c>
      <c r="K36" s="42">
        <v>14500</v>
      </c>
      <c r="L36" s="41"/>
      <c r="M36" s="41"/>
      <c r="N36" s="41"/>
      <c r="O36" s="43">
        <v>45000</v>
      </c>
      <c r="P36" s="44">
        <f>SUM(E36:O36)</f>
        <v>296500</v>
      </c>
      <c r="Q36" s="44"/>
      <c r="R36" s="44"/>
      <c r="S36" s="45">
        <f>P36/P40</f>
        <v>0.53845455370925266</v>
      </c>
    </row>
    <row r="37" spans="4:19" x14ac:dyDescent="0.2">
      <c r="D37" s="34" t="s">
        <v>20</v>
      </c>
      <c r="E37" s="35">
        <v>9500</v>
      </c>
      <c r="F37" s="35">
        <v>43000</v>
      </c>
      <c r="G37" s="35"/>
      <c r="H37" s="35"/>
      <c r="I37" s="35">
        <v>2000</v>
      </c>
      <c r="J37" s="36">
        <v>23500</v>
      </c>
      <c r="K37" s="35"/>
      <c r="L37" s="36">
        <v>13500</v>
      </c>
      <c r="M37" s="35"/>
      <c r="N37" s="36">
        <v>17500</v>
      </c>
      <c r="O37" s="37">
        <v>47000</v>
      </c>
      <c r="P37" s="38">
        <f>SUM(E37:O37)</f>
        <v>156000</v>
      </c>
      <c r="Q37" s="38"/>
      <c r="R37" s="38"/>
      <c r="S37" s="52">
        <f>1-S36</f>
        <v>0.46154544629074734</v>
      </c>
    </row>
    <row r="38" spans="4:19" x14ac:dyDescent="0.2">
      <c r="D38" s="30" t="s">
        <v>21</v>
      </c>
      <c r="E38" s="25"/>
      <c r="F38" s="25">
        <v>7000</v>
      </c>
      <c r="G38" s="25">
        <v>19750</v>
      </c>
      <c r="H38" s="25">
        <v>45000</v>
      </c>
      <c r="I38" s="25"/>
      <c r="J38" s="25"/>
      <c r="K38" s="25"/>
      <c r="L38" s="25"/>
      <c r="M38" s="25">
        <v>19400</v>
      </c>
      <c r="N38" s="25"/>
      <c r="O38" s="29"/>
      <c r="P38" s="39">
        <f>SUM(E38:O38)</f>
        <v>91150</v>
      </c>
      <c r="Q38" s="39"/>
      <c r="R38" s="39"/>
      <c r="S38" s="53"/>
    </row>
    <row r="39" spans="4:19" x14ac:dyDescent="0.2">
      <c r="D39" s="31" t="s">
        <v>22</v>
      </c>
      <c r="E39" s="32"/>
      <c r="F39" s="32">
        <v>7000</v>
      </c>
      <c r="G39" s="32"/>
      <c r="H39" s="32"/>
      <c r="I39" s="32"/>
      <c r="J39" s="32"/>
      <c r="K39" s="32"/>
      <c r="L39" s="32"/>
      <c r="M39" s="32"/>
      <c r="N39" s="32"/>
      <c r="O39" s="33"/>
      <c r="P39" s="46">
        <f>SUM(E39:O39)</f>
        <v>7000</v>
      </c>
      <c r="Q39" s="46"/>
      <c r="R39" s="46"/>
      <c r="S39" s="54"/>
    </row>
    <row r="40" spans="4:19" x14ac:dyDescent="0.2">
      <c r="D40" s="47" t="s">
        <v>23</v>
      </c>
      <c r="E40" s="48">
        <f>SUM(E36:E39)</f>
        <v>19000</v>
      </c>
      <c r="F40" s="48">
        <f t="shared" ref="F40:H40" si="2">SUM(F36:F39)</f>
        <v>162000</v>
      </c>
      <c r="G40" s="48">
        <f t="shared" si="2"/>
        <v>119750</v>
      </c>
      <c r="H40" s="48">
        <f t="shared" si="2"/>
        <v>45000</v>
      </c>
      <c r="I40" s="48">
        <f t="shared" ref="I40:P40" si="3">SUM(I36:I39)</f>
        <v>2000</v>
      </c>
      <c r="J40" s="48">
        <f t="shared" si="3"/>
        <v>46000</v>
      </c>
      <c r="K40" s="48">
        <f t="shared" si="3"/>
        <v>14500</v>
      </c>
      <c r="L40" s="48">
        <f t="shared" si="3"/>
        <v>13500</v>
      </c>
      <c r="M40" s="48">
        <f t="shared" si="3"/>
        <v>19400</v>
      </c>
      <c r="N40" s="48">
        <f t="shared" si="3"/>
        <v>17500</v>
      </c>
      <c r="O40" s="49">
        <f t="shared" si="3"/>
        <v>92000</v>
      </c>
      <c r="P40" s="20">
        <f t="shared" si="3"/>
        <v>550650</v>
      </c>
      <c r="Q40" s="20"/>
      <c r="R40" s="20"/>
    </row>
    <row r="44" spans="4:19" ht="25.5" x14ac:dyDescent="0.2">
      <c r="D44" s="101" t="s">
        <v>42</v>
      </c>
      <c r="E44" s="102">
        <f>E8</f>
        <v>2267.5</v>
      </c>
      <c r="F44" s="102">
        <f t="shared" ref="F44:N44" si="4">F8</f>
        <v>2678</v>
      </c>
      <c r="G44" s="102">
        <f t="shared" si="4"/>
        <v>1650</v>
      </c>
      <c r="H44" s="102">
        <f t="shared" si="4"/>
        <v>1000</v>
      </c>
      <c r="I44" s="102">
        <f t="shared" si="4"/>
        <v>2000</v>
      </c>
      <c r="J44" s="102">
        <f t="shared" si="4"/>
        <v>1000</v>
      </c>
      <c r="K44" s="102">
        <f t="shared" si="4"/>
        <v>2000</v>
      </c>
      <c r="L44" s="102">
        <f t="shared" si="4"/>
        <v>2000</v>
      </c>
      <c r="M44" s="102">
        <f t="shared" si="4"/>
        <v>2000</v>
      </c>
      <c r="N44" s="102">
        <f t="shared" si="4"/>
        <v>5000</v>
      </c>
      <c r="O44" s="116">
        <f>SUM(E44:N53)</f>
        <v>385910.25</v>
      </c>
    </row>
    <row r="45" spans="4:19" x14ac:dyDescent="0.2">
      <c r="D45" s="103"/>
      <c r="E45" s="104">
        <f>E9</f>
        <v>16780</v>
      </c>
      <c r="F45" s="104">
        <f t="shared" ref="F45:N45" si="5">F9</f>
        <v>27012</v>
      </c>
      <c r="G45" s="104">
        <f t="shared" si="5"/>
        <v>61170</v>
      </c>
      <c r="H45" s="104">
        <f t="shared" si="5"/>
        <v>16000</v>
      </c>
      <c r="I45" s="104">
        <f t="shared" si="5"/>
        <v>0</v>
      </c>
      <c r="J45" s="104">
        <f t="shared" si="5"/>
        <v>0</v>
      </c>
      <c r="K45" s="104">
        <f t="shared" si="5"/>
        <v>0</v>
      </c>
      <c r="L45" s="104">
        <f t="shared" si="5"/>
        <v>0</v>
      </c>
      <c r="M45" s="104">
        <f t="shared" si="5"/>
        <v>0</v>
      </c>
      <c r="N45" s="104">
        <f t="shared" si="5"/>
        <v>0</v>
      </c>
      <c r="O45" s="116"/>
    </row>
    <row r="46" spans="4:19" x14ac:dyDescent="0.2">
      <c r="D46" s="103"/>
      <c r="E46" s="104">
        <f t="shared" ref="E46:N52" si="6">E10</f>
        <v>0</v>
      </c>
      <c r="F46" s="104">
        <f>F11</f>
        <v>4467.5</v>
      </c>
      <c r="G46" s="104">
        <f t="shared" si="6"/>
        <v>0</v>
      </c>
      <c r="H46" s="104">
        <f t="shared" si="6"/>
        <v>0</v>
      </c>
      <c r="I46" s="104">
        <f t="shared" si="6"/>
        <v>35000</v>
      </c>
      <c r="J46" s="104">
        <f t="shared" si="6"/>
        <v>2429</v>
      </c>
      <c r="K46" s="104">
        <f t="shared" si="6"/>
        <v>0</v>
      </c>
      <c r="L46" s="104">
        <f t="shared" si="6"/>
        <v>0</v>
      </c>
      <c r="M46" s="104">
        <f t="shared" si="6"/>
        <v>0</v>
      </c>
      <c r="N46" s="104">
        <f t="shared" si="6"/>
        <v>70500</v>
      </c>
      <c r="O46" s="116"/>
    </row>
    <row r="47" spans="4:19" x14ac:dyDescent="0.2">
      <c r="D47" s="103"/>
      <c r="E47" s="104">
        <f t="shared" si="6"/>
        <v>0</v>
      </c>
      <c r="F47" s="104">
        <f>F12</f>
        <v>0</v>
      </c>
      <c r="G47" s="104">
        <f t="shared" si="6"/>
        <v>0</v>
      </c>
      <c r="H47" s="104">
        <f t="shared" si="6"/>
        <v>0</v>
      </c>
      <c r="I47" s="104">
        <f t="shared" si="6"/>
        <v>1000</v>
      </c>
      <c r="J47" s="104">
        <f t="shared" si="6"/>
        <v>0</v>
      </c>
      <c r="K47" s="104">
        <f t="shared" si="6"/>
        <v>0</v>
      </c>
      <c r="L47" s="104">
        <f t="shared" si="6"/>
        <v>0</v>
      </c>
      <c r="M47" s="104">
        <f t="shared" si="6"/>
        <v>0</v>
      </c>
      <c r="N47" s="104">
        <f t="shared" si="6"/>
        <v>25000</v>
      </c>
      <c r="O47" s="116"/>
    </row>
    <row r="48" spans="4:19" x14ac:dyDescent="0.2">
      <c r="D48" s="103"/>
      <c r="E48" s="104">
        <f t="shared" si="6"/>
        <v>0</v>
      </c>
      <c r="F48" s="104">
        <f t="shared" si="6"/>
        <v>0</v>
      </c>
      <c r="G48" s="104">
        <f t="shared" si="6"/>
        <v>0</v>
      </c>
      <c r="H48" s="104">
        <f t="shared" si="6"/>
        <v>0</v>
      </c>
      <c r="I48" s="104">
        <f t="shared" si="6"/>
        <v>0</v>
      </c>
      <c r="J48" s="104">
        <f t="shared" si="6"/>
        <v>0</v>
      </c>
      <c r="K48" s="104">
        <f t="shared" si="6"/>
        <v>0</v>
      </c>
      <c r="L48" s="104">
        <f t="shared" si="6"/>
        <v>0</v>
      </c>
      <c r="M48" s="104">
        <f t="shared" si="6"/>
        <v>0</v>
      </c>
      <c r="N48" s="104">
        <f t="shared" si="6"/>
        <v>0</v>
      </c>
      <c r="O48" s="116"/>
    </row>
    <row r="49" spans="4:15" x14ac:dyDescent="0.2">
      <c r="D49" s="103"/>
      <c r="E49" s="104">
        <f t="shared" si="6"/>
        <v>2313.25</v>
      </c>
      <c r="F49" s="104">
        <f t="shared" si="6"/>
        <v>7297</v>
      </c>
      <c r="G49" s="104">
        <f t="shared" si="6"/>
        <v>11167</v>
      </c>
      <c r="H49" s="104">
        <f t="shared" si="6"/>
        <v>2000</v>
      </c>
      <c r="I49" s="104">
        <f t="shared" si="6"/>
        <v>2000</v>
      </c>
      <c r="J49" s="104">
        <f t="shared" si="6"/>
        <v>15000</v>
      </c>
      <c r="K49" s="104">
        <f t="shared" si="6"/>
        <v>0</v>
      </c>
      <c r="L49" s="104">
        <f t="shared" si="6"/>
        <v>0</v>
      </c>
      <c r="M49" s="104">
        <f t="shared" si="6"/>
        <v>0</v>
      </c>
      <c r="N49" s="104">
        <f t="shared" si="6"/>
        <v>15000</v>
      </c>
      <c r="O49" s="116"/>
    </row>
    <row r="50" spans="4:15" x14ac:dyDescent="0.2">
      <c r="D50" s="103"/>
      <c r="E50" s="104">
        <f>E14</f>
        <v>233</v>
      </c>
      <c r="F50" s="104">
        <f t="shared" si="6"/>
        <v>387</v>
      </c>
      <c r="G50" s="104">
        <f t="shared" si="6"/>
        <v>0</v>
      </c>
      <c r="H50" s="104">
        <f t="shared" si="6"/>
        <v>500</v>
      </c>
      <c r="I50" s="104">
        <f t="shared" si="6"/>
        <v>1500</v>
      </c>
      <c r="J50" s="104">
        <f t="shared" si="6"/>
        <v>500</v>
      </c>
      <c r="K50" s="104">
        <f t="shared" si="6"/>
        <v>0</v>
      </c>
      <c r="L50" s="104">
        <f t="shared" si="6"/>
        <v>0</v>
      </c>
      <c r="M50" s="104">
        <f t="shared" si="6"/>
        <v>0</v>
      </c>
      <c r="N50" s="104">
        <f t="shared" si="6"/>
        <v>20000</v>
      </c>
      <c r="O50" s="116"/>
    </row>
    <row r="51" spans="4:15" x14ac:dyDescent="0.2">
      <c r="D51" s="103"/>
      <c r="E51" s="104">
        <f>E15</f>
        <v>0</v>
      </c>
      <c r="F51" s="104">
        <f t="shared" si="6"/>
        <v>0</v>
      </c>
      <c r="G51" s="104">
        <f t="shared" si="6"/>
        <v>0</v>
      </c>
      <c r="H51" s="104">
        <f t="shared" si="6"/>
        <v>500</v>
      </c>
      <c r="I51" s="104">
        <f t="shared" si="6"/>
        <v>1500</v>
      </c>
      <c r="J51" s="104">
        <f t="shared" si="6"/>
        <v>500</v>
      </c>
      <c r="K51" s="104">
        <f t="shared" si="6"/>
        <v>0</v>
      </c>
      <c r="L51" s="104">
        <f t="shared" si="6"/>
        <v>0</v>
      </c>
      <c r="M51" s="104">
        <f t="shared" si="6"/>
        <v>0</v>
      </c>
      <c r="N51" s="104">
        <f t="shared" si="6"/>
        <v>9000</v>
      </c>
      <c r="O51" s="116"/>
    </row>
    <row r="52" spans="4:15" x14ac:dyDescent="0.2">
      <c r="D52" s="103"/>
      <c r="E52" s="104">
        <f>E16</f>
        <v>0</v>
      </c>
      <c r="F52" s="104">
        <f t="shared" si="6"/>
        <v>3111</v>
      </c>
      <c r="G52" s="104">
        <f t="shared" si="6"/>
        <v>2206</v>
      </c>
      <c r="H52" s="104">
        <f t="shared" si="6"/>
        <v>2000</v>
      </c>
      <c r="I52" s="104">
        <f t="shared" si="6"/>
        <v>500</v>
      </c>
      <c r="J52" s="104">
        <f t="shared" si="6"/>
        <v>500</v>
      </c>
      <c r="K52" s="104">
        <f t="shared" si="6"/>
        <v>300</v>
      </c>
      <c r="L52" s="104">
        <f t="shared" si="6"/>
        <v>300</v>
      </c>
      <c r="M52" s="104">
        <f t="shared" si="6"/>
        <v>300</v>
      </c>
      <c r="N52" s="104">
        <f t="shared" si="6"/>
        <v>5000</v>
      </c>
      <c r="O52" s="116"/>
    </row>
    <row r="53" spans="4:15" x14ac:dyDescent="0.2">
      <c r="D53" s="103"/>
      <c r="E53" s="104">
        <f>E19</f>
        <v>1342</v>
      </c>
      <c r="F53" s="104">
        <f t="shared" ref="F53:N53" si="7">F19</f>
        <v>0</v>
      </c>
      <c r="G53" s="104">
        <f t="shared" si="7"/>
        <v>0</v>
      </c>
      <c r="H53" s="104">
        <f t="shared" si="7"/>
        <v>0</v>
      </c>
      <c r="I53" s="104">
        <f t="shared" si="7"/>
        <v>0</v>
      </c>
      <c r="J53" s="104">
        <f t="shared" si="7"/>
        <v>0</v>
      </c>
      <c r="K53" s="104">
        <f t="shared" si="7"/>
        <v>0</v>
      </c>
      <c r="L53" s="104">
        <f t="shared" si="7"/>
        <v>0</v>
      </c>
      <c r="M53" s="104">
        <f t="shared" si="7"/>
        <v>0</v>
      </c>
      <c r="N53" s="104">
        <f t="shared" si="7"/>
        <v>0</v>
      </c>
      <c r="O53" s="116"/>
    </row>
    <row r="54" spans="4:15" ht="25.5" x14ac:dyDescent="0.2">
      <c r="D54" s="105" t="s">
        <v>43</v>
      </c>
      <c r="E54" s="106">
        <f t="shared" ref="E54:N54" si="8">E17</f>
        <v>0</v>
      </c>
      <c r="F54" s="106">
        <f t="shared" si="8"/>
        <v>0</v>
      </c>
      <c r="G54" s="106">
        <f t="shared" si="8"/>
        <v>1063</v>
      </c>
      <c r="H54" s="106">
        <f t="shared" si="8"/>
        <v>0</v>
      </c>
      <c r="I54" s="106">
        <f t="shared" si="8"/>
        <v>0</v>
      </c>
      <c r="J54" s="106">
        <f t="shared" si="8"/>
        <v>5000</v>
      </c>
      <c r="K54" s="106">
        <f t="shared" si="8"/>
        <v>0</v>
      </c>
      <c r="L54" s="106">
        <f t="shared" si="8"/>
        <v>0</v>
      </c>
      <c r="M54" s="106">
        <f t="shared" si="8"/>
        <v>0</v>
      </c>
      <c r="N54" s="106">
        <f t="shared" si="8"/>
        <v>7500</v>
      </c>
      <c r="O54" s="107">
        <f>SUM(E54:N54)</f>
        <v>13563</v>
      </c>
    </row>
    <row r="55" spans="4:15" x14ac:dyDescent="0.2">
      <c r="D55" s="108" t="s">
        <v>44</v>
      </c>
      <c r="E55" s="109">
        <f t="shared" ref="E55:N55" si="9">E18</f>
        <v>0</v>
      </c>
      <c r="F55" s="109">
        <f t="shared" si="9"/>
        <v>0</v>
      </c>
      <c r="G55" s="109">
        <f t="shared" si="9"/>
        <v>0</v>
      </c>
      <c r="H55" s="109">
        <f t="shared" si="9"/>
        <v>0</v>
      </c>
      <c r="I55" s="109">
        <f t="shared" si="9"/>
        <v>0</v>
      </c>
      <c r="J55" s="109">
        <f t="shared" si="9"/>
        <v>0</v>
      </c>
      <c r="K55" s="109">
        <f t="shared" si="9"/>
        <v>0</v>
      </c>
      <c r="L55" s="109">
        <f t="shared" si="9"/>
        <v>0</v>
      </c>
      <c r="M55" s="109">
        <f t="shared" si="9"/>
        <v>0</v>
      </c>
      <c r="N55" s="109">
        <f t="shared" si="9"/>
        <v>92075</v>
      </c>
      <c r="O55" s="110">
        <f>SUM(E55:N55)</f>
        <v>92075</v>
      </c>
    </row>
    <row r="57" spans="4:15" x14ac:dyDescent="0.2">
      <c r="O57" s="111">
        <f>SUM(O44:O55)</f>
        <v>491548.25</v>
      </c>
    </row>
    <row r="58" spans="4:15" x14ac:dyDescent="0.2">
      <c r="N58" s="112">
        <v>0.1</v>
      </c>
      <c r="O58" s="111">
        <f>O57*N58</f>
        <v>49154.825000000004</v>
      </c>
    </row>
    <row r="59" spans="4:15" x14ac:dyDescent="0.2">
      <c r="O59" s="111">
        <f>SUM(O57:O58)</f>
        <v>540703.07499999995</v>
      </c>
    </row>
  </sheetData>
  <mergeCells count="3">
    <mergeCell ref="A13:B13"/>
    <mergeCell ref="A1:B1"/>
    <mergeCell ref="O44:O53"/>
  </mergeCells>
  <pageMargins left="0.70866141732283472" right="0.70866141732283472" top="0.78740157480314965" bottom="0.78740157480314965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2022-05-24T09:05:01Z</cp:lastPrinted>
  <dcterms:created xsi:type="dcterms:W3CDTF">2022-04-07T05:49:22Z</dcterms:created>
  <dcterms:modified xsi:type="dcterms:W3CDTF">2022-10-07T09:17:02Z</dcterms:modified>
</cp:coreProperties>
</file>