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03_Kostencontrolling\Honorarschätzung_MK\00_PL-Daten\MK-Aufwand_03_2023\"/>
    </mc:Choice>
  </mc:AlternateContent>
  <bookViews>
    <workbookView xWindow="0" yWindow="0" windowWidth="28800" windowHeight="14295" firstSheet="1" activeTab="2"/>
  </bookViews>
  <sheets>
    <sheet name="Synthese und T-U" sheetId="6" r:id="rId1"/>
    <sheet name="2021_Synthese und T-U" sheetId="2" r:id="rId2"/>
    <sheet name="Triage EK-MK FCh" sheetId="4" r:id="rId3"/>
    <sheet name="Tabelle1" sheetId="7" r:id="rId4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FCh'!$A$2:$I$49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4" l="1"/>
  <c r="D49" i="4" s="1"/>
  <c r="D46" i="4"/>
  <c r="D42" i="4"/>
  <c r="J43" i="4"/>
  <c r="F22" i="4" l="1"/>
  <c r="I11" i="4"/>
  <c r="J11" i="4"/>
  <c r="J19" i="4"/>
  <c r="J8" i="4"/>
  <c r="J9" i="4"/>
  <c r="J10" i="4"/>
  <c r="J12" i="4"/>
  <c r="J13" i="4"/>
  <c r="J14" i="4"/>
  <c r="J15" i="4"/>
  <c r="J16" i="4"/>
  <c r="J17" i="4"/>
  <c r="J7" i="4"/>
  <c r="I17" i="4"/>
  <c r="I8" i="4"/>
  <c r="I9" i="4"/>
  <c r="I10" i="4"/>
  <c r="I12" i="4"/>
  <c r="I13" i="4"/>
  <c r="I14" i="4"/>
  <c r="I15" i="4"/>
  <c r="I16" i="4"/>
  <c r="I7" i="4"/>
  <c r="F8" i="4" l="1"/>
  <c r="G8" i="4" s="1"/>
  <c r="H8" i="4"/>
  <c r="H19" i="4" s="1"/>
  <c r="G9" i="4"/>
  <c r="G10" i="4"/>
  <c r="G11" i="4"/>
  <c r="G12" i="4"/>
  <c r="G13" i="4"/>
  <c r="G14" i="4"/>
  <c r="G15" i="4"/>
  <c r="G16" i="4"/>
  <c r="G7" i="4"/>
  <c r="I13" i="7"/>
  <c r="G13" i="7"/>
  <c r="E3" i="7"/>
  <c r="G3" i="7"/>
  <c r="I3" i="7"/>
  <c r="I5" i="7"/>
  <c r="I6" i="7"/>
  <c r="G5" i="7"/>
  <c r="G6" i="7"/>
  <c r="E5" i="7"/>
  <c r="E6" i="7"/>
  <c r="E4" i="7"/>
  <c r="I4" i="7"/>
  <c r="G4" i="7"/>
  <c r="F19" i="4" l="1"/>
  <c r="G19" i="4"/>
  <c r="D8" i="4"/>
  <c r="H28" i="4" l="1"/>
  <c r="H29" i="4"/>
  <c r="H30" i="4"/>
  <c r="H31" i="4"/>
  <c r="D24" i="4" s="1"/>
  <c r="H27" i="4"/>
  <c r="E14" i="4"/>
  <c r="H32" i="4" l="1"/>
  <c r="E12" i="4" l="1"/>
  <c r="E13" i="4"/>
  <c r="E9" i="4"/>
  <c r="E11" i="4" l="1"/>
  <c r="F116" i="2" l="1"/>
  <c r="C7" i="4" l="1"/>
  <c r="E17" i="4"/>
  <c r="E16" i="4"/>
  <c r="D19" i="4"/>
  <c r="C8" i="4"/>
  <c r="E8" i="4" s="1"/>
  <c r="I19" i="4" l="1"/>
  <c r="C19" i="4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21" i="4" l="1"/>
  <c r="C21" i="4"/>
  <c r="K87" i="6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E10" i="4" l="1"/>
  <c r="E7" i="4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  <c r="E15" i="4"/>
  <c r="E19" i="4" s="1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<sst xmlns="http://schemas.openxmlformats.org/spreadsheetml/2006/main" count="544" uniqueCount="239">
  <si>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</si>
  <si>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</si>
  <si>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</si>
  <si>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</si>
  <si>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</si>
  <si>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</si>
  <si>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</si>
  <si>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</si>
  <si>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</si>
  <si>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</si>
  <si>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</si>
  <si>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</si>
  <si>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</si>
  <si>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</si>
  <si>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</si>
  <si>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</si>
  <si>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</si>
  <si>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</si>
  <si>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</si>
  <si>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</si>
  <si>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</si>
  <si>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</si>
  <si>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</si>
  <si>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</si>
  <si>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</si>
  <si>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</si>
  <si>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</si>
  <si>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</si>
  <si>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</si>
  <si>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</si>
  <si>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</si>
  <si>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</si>
  <si>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</si>
  <si>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</si>
  <si>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</si>
  <si>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</si>
  <si>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</si>
  <si>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</si>
  <si>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</si>
  <si>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</si>
  <si>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</si>
  <si>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</si>
  <si>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</si>
  <si>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</si>
  <si>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</si>
  <si>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</si>
  <si>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</si>
  <si>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</si>
  <si>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</si>
  <si>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</si>
  <si>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</si>
  <si>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</si>
  <si>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</si>
  <si>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</si>
  <si>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</si>
  <si>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</si>
  <si>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</si>
  <si>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</si>
  <si>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</si>
  <si>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</si>
  <si>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</si>
  <si>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</si>
  <si>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</si>
  <si>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</si>
  <si>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</si>
  <si>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</si>
  <si>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</si>
  <si>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</si>
  <si>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</si>
  <si>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</si>
  <si>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</si>
  <si>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</si>
  <si>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</si>
  <si>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</si>
  <si>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</si>
  <si>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</si>
  <si>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</si>
  <si>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</si>
  <si>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</si>
  <si>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</si>
  <si>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</si>
  <si>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</si>
  <si>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</si>
  <si>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</si>
  <si>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</si>
  <si>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</si>
  <si>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</si>
  <si>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</si>
  <si>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</si>
  <si>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</si>
  <si>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</si>
  <si>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</si>
  <si>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</si>
  <si>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</si>
  <si>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</si>
  <si>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</si>
  <si>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</si>
  <si>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</si>
  <si>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</si>
  <si>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</si>
  <si>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</si>
  <si>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</si>
  <si>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</si>
  <si>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</si>
  <si>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</si>
  <si>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</si>
  <si>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</si>
  <si>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</si>
  <si>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</si>
  <si>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</si>
  <si>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</si>
  <si>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</si>
  <si>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</si>
  <si>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</si>
  <si>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</si>
  <si>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</si>
  <si>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</si>
  <si>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</si>
  <si>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</si>
  <si>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</si>
  <si>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</si>
  <si>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</si>
  <si>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</si>
  <si>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</si>
  <si>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</si>
  <si>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</si>
  <si>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</si>
  <si>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</si>
  <si>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</si>
  <si>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</si>
  <si>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</si>
  <si>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</si>
  <si>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</si>
  <si>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</si>
  <si>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</si>
  <si>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</si>
  <si>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</si>
  <si>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</si>
  <si>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</si>
  <si>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</si>
  <si>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</si>
  <si>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</si>
  <si>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</si>
  <si>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</si>
  <si>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</si>
  <si>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</si>
  <si>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</si>
  <si>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</si>
  <si>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</si>
  <si>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</si>
  <si>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</si>
  <si>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</si>
  <si>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</si>
  <si>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</si>
  <si>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</si>
  <si>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</si>
  <si>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</si>
  <si>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</si>
  <si>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</si>
  <si>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</si>
  <si>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</si>
  <si>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</si>
  <si>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</si>
  <si>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</si>
  <si>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</si>
  <si>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</si>
  <si>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</si>
  <si>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</si>
  <si>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</si>
  <si>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</si>
  <si>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EK</t>
  </si>
  <si>
    <t>Verbleibend</t>
  </si>
  <si>
    <t>MK</t>
  </si>
  <si>
    <t>Teil Konzept, Rest aus EK</t>
  </si>
  <si>
    <t>Teil Genehmigungsplan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</si>
  <si>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</si>
  <si>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</si>
  <si>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PGV</t>
  </si>
  <si>
    <t>NK</t>
  </si>
  <si>
    <t xml:space="preserve">Vertrag </t>
  </si>
  <si>
    <t>Betrachtung Honorare, exkl. MWST</t>
  </si>
  <si>
    <t>Basis 02/2021 FCh</t>
  </si>
  <si>
    <t>Überprüfung per 30.04.2021</t>
  </si>
  <si>
    <t>AP Lärm</t>
  </si>
  <si>
    <t>AP SABA</t>
  </si>
  <si>
    <t>Nachtzuschläge</t>
  </si>
  <si>
    <t>Honorarreserve</t>
  </si>
  <si>
    <t>- inkl. NO1-NO3
- per Nov. 2019 angemeldete Zusatzleistungen von ca. 190'000.- erbracht, ohne KD-Erhöhung
- zusätzlich Mehraufwand Herbeiführung Grundsatzentscheide, überdeckte BSA-Schächte
- weitere Mehrleistungen s. Detailangaben T-U, K, T-G</t>
  </si>
  <si>
    <t>- AP Kreisel noch nicht enthalten</t>
  </si>
  <si>
    <t>GHGW</t>
  </si>
  <si>
    <t>AP Bypass</t>
  </si>
  <si>
    <t>AP Installationen</t>
  </si>
  <si>
    <t>- Arbeiten GHGW noch nicht enthalten</t>
  </si>
  <si>
    <t>Kontrolle</t>
  </si>
  <si>
    <r>
      <rPr>
        <sz val="10"/>
        <rFont val="Arial"/>
        <family val="2"/>
      </rPr>
      <t>Abgrenzung zu EK gem. "Triage Leistungen EK&lt;-&gt;MK/AP, 12.02.2021, Shd;</t>
    </r>
    <r>
      <rPr>
        <sz val="10"/>
        <color rgb="FF0070C0"/>
        <rFont val="Arial"/>
        <family val="2"/>
      </rPr>
      <t xml:space="preserve">
Aktualisierung FCh, 12.02.2021, </t>
    </r>
    <r>
      <rPr>
        <sz val="10"/>
        <color rgb="FF7030A0"/>
        <rFont val="Arial"/>
        <family val="2"/>
      </rPr>
      <t xml:space="preserve">Überprüfung per 30.04.2021; </t>
    </r>
    <r>
      <rPr>
        <sz val="10"/>
        <color rgb="FF00B050"/>
        <rFont val="Arial"/>
        <family val="2"/>
      </rPr>
      <t xml:space="preserve">Überprüfung per 16.09.2021;
</t>
    </r>
    <r>
      <rPr>
        <sz val="10"/>
        <color rgb="FFC00000"/>
        <rFont val="Arial"/>
        <family val="2"/>
      </rPr>
      <t xml:space="preserve">Ergänzung per 07.04.2022; </t>
    </r>
    <r>
      <rPr>
        <sz val="10"/>
        <color rgb="FF996633"/>
        <rFont val="Arial"/>
        <family val="2"/>
      </rPr>
      <t>Ergänzung 10.11.2022</t>
    </r>
  </si>
  <si>
    <t>Phase/Objekt</t>
  </si>
  <si>
    <t>Teilphase / Teilobjekt</t>
  </si>
  <si>
    <r>
      <t xml:space="preserve">- K: viele Objekte mit stat. Überprüfung und 6 zusätzliche Objekte mit Erdbebenüberprüfung
- SM: aufwändige Lösungsfindung in Bezug auf Bohrpfähle und Anker
- T/U: Umgang mit Fremdwasser, Drainagen, Versickerung aufwändig
</t>
    </r>
    <r>
      <rPr>
        <sz val="8"/>
        <color rgb="FF0070C0"/>
        <rFont val="Arial"/>
        <family val="2"/>
      </rPr>
      <t>- T/U: Aufwendungen angepasst gem. Mail-Korrespondenz mit BHU, Beilage Synthese und T/U</t>
    </r>
    <r>
      <rPr>
        <sz val="8"/>
        <color theme="1"/>
        <rFont val="Arial"/>
        <family val="2"/>
      </rPr>
      <t xml:space="preserve">
</t>
    </r>
    <r>
      <rPr>
        <sz val="8"/>
        <color rgb="FF7030A0"/>
        <rFont val="Arial"/>
        <family val="2"/>
      </rPr>
      <t>- T/G: Aufwendungen angepasst gem. Ergänzungen btr. Objekte N3-360 und N3-350 (+300 Std) und
Senkungsmulde Rheinfelden sowie weitere Aspekte (+400 Std bzw. CHF 90'000.-)</t>
    </r>
  </si>
  <si>
    <r>
      <t xml:space="preserve">- auf Kurs (aber: weitere Detaillierung Entflechtungsproblematik nicht enthalten) 
</t>
    </r>
    <r>
      <rPr>
        <sz val="8"/>
        <color rgb="FF00B050"/>
        <rFont val="Arial"/>
        <family val="2"/>
      </rPr>
      <t xml:space="preserve">- Abschätzung 580'000.- jedoch ohne ZL (Entflechtung)
</t>
    </r>
    <r>
      <rPr>
        <sz val="8"/>
        <color rgb="FFC00000"/>
        <rFont val="Arial"/>
        <family val="2"/>
      </rPr>
      <t>- Entflechtung Drittleitungen/Fremdwasser (102'000)
- ZL 07 Umprojektierung Abschnitt Mumpf (dezentrale Absetzbecken, CHF 152'000)</t>
    </r>
  </si>
  <si>
    <t>Bemerkungen</t>
  </si>
  <si>
    <t>* provisorisch</t>
  </si>
  <si>
    <t>SABA</t>
  </si>
  <si>
    <t xml:space="preserve">Lärm </t>
  </si>
  <si>
    <t>Summe 10/22</t>
  </si>
  <si>
    <t>- AP Installationsplätze noch nicht enthalten</t>
  </si>
  <si>
    <t>IST zzgl. Prognose</t>
  </si>
  <si>
    <t>Faktor Unvorherg</t>
  </si>
  <si>
    <t>Kostenstand/Prognose</t>
  </si>
  <si>
    <t>inkl. 10% Unvorherg.</t>
  </si>
  <si>
    <t>exkl. MWST</t>
  </si>
  <si>
    <t>Honorar</t>
  </si>
  <si>
    <t>per März 2023</t>
  </si>
  <si>
    <r>
      <t xml:space="preserve">IST-Leistungen
</t>
    </r>
    <r>
      <rPr>
        <b/>
        <sz val="8"/>
        <color theme="1"/>
        <rFont val="Arial"/>
        <family val="2"/>
      </rPr>
      <t>per 31.01.2023</t>
    </r>
  </si>
  <si>
    <t>per 31.01.2023</t>
  </si>
  <si>
    <r>
      <t xml:space="preserve">Prognose zus. Bedarf
</t>
    </r>
    <r>
      <rPr>
        <b/>
        <sz val="8"/>
        <color theme="1"/>
        <rFont val="Arial"/>
        <family val="2"/>
      </rPr>
      <t>ab 04/2023 bis Ende</t>
    </r>
  </si>
  <si>
    <t>März</t>
  </si>
  <si>
    <t>TU</t>
  </si>
  <si>
    <t>K</t>
  </si>
  <si>
    <t>Feb</t>
  </si>
  <si>
    <t>Jan</t>
  </si>
  <si>
    <t>Dez</t>
  </si>
  <si>
    <t>PL</t>
  </si>
  <si>
    <t>MK (T/U; TG)</t>
  </si>
  <si>
    <t>IF &amp; LE</t>
  </si>
  <si>
    <t>Bypass</t>
  </si>
  <si>
    <t>Leipert</t>
  </si>
  <si>
    <t>BSA</t>
  </si>
  <si>
    <t>Holinger</t>
  </si>
  <si>
    <t>März 23
(1/3 Februar)</t>
  </si>
  <si>
    <t>Delta je Pos</t>
  </si>
  <si>
    <t>Feb 23 (provisor.)</t>
  </si>
  <si>
    <t>Aufwandsprognose</t>
  </si>
  <si>
    <t>Rest</t>
  </si>
  <si>
    <t>Prognose 1/3</t>
  </si>
  <si>
    <t>GzD</t>
  </si>
  <si>
    <t>Einsprachenbehandlung</t>
  </si>
  <si>
    <t>EKP</t>
  </si>
  <si>
    <t>Differenzbetrag</t>
  </si>
  <si>
    <t>Aufstellung per 20.03.2023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</si>
</sst>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#,##0.00_ ;[Red]\-#,##0.00\ "/>
  </numFmts>
  <fonts count="3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7030A0"/>
      <name val="Arial"/>
      <family val="2"/>
    </font>
    <font>
      <sz val="10"/>
      <color rgb="FF9C6500"/>
      <name val="Arial"/>
      <family val="2"/>
    </font>
    <font>
      <sz val="10"/>
      <color rgb="FFC00000"/>
      <name val="Arial"/>
      <family val="2"/>
    </font>
    <font>
      <sz val="10"/>
      <color rgb="FF996633"/>
      <name val="Arial"/>
      <family val="2"/>
    </font>
    <font>
      <sz val="8"/>
      <color theme="1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8"/>
      <color rgb="FF00B050"/>
      <name val="Arial"/>
      <family val="2"/>
    </font>
    <font>
      <strike/>
      <sz val="8"/>
      <color theme="1"/>
      <name val="Arial"/>
      <family val="2"/>
    </font>
    <font>
      <sz val="8"/>
      <color rgb="FFC00000"/>
      <name val="Arial"/>
      <family val="2"/>
    </font>
    <font>
      <b/>
      <sz val="8"/>
      <color theme="1"/>
      <name val="Arial"/>
      <family val="2"/>
    </font>
    <font>
      <b/>
      <sz val="10"/>
      <color rgb="FF996633"/>
      <name val="Arial"/>
      <family val="2"/>
    </font>
    <font>
      <sz val="8"/>
      <color rgb="FFFF0000"/>
      <name val="Arial"/>
      <family val="2"/>
    </font>
    <font>
      <sz val="6"/>
      <color theme="1"/>
      <name val="Arial"/>
      <family val="2"/>
    </font>
    <font>
      <b/>
      <sz val="10"/>
      <color rgb="FFC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1FFDD"/>
        <bgColor indexed="64"/>
      </patternFill>
    </fill>
    <fill>
      <patternFill patternType="solid">
        <fgColor rgb="FF4FF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26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5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wrapText="1"/>
    </xf>
    <xf numFmtId="43" fontId="0" fillId="0" borderId="1" xfId="1" applyFont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20" fillId="0" borderId="1" xfId="2" applyNumberFormat="1" applyFill="1" applyBorder="1" applyAlignment="1">
      <alignment horizontal="left" vertical="center"/>
    </xf>
    <xf numFmtId="166" fontId="0" fillId="0" borderId="1" xfId="1" applyNumberFormat="1" applyFont="1" applyFill="1" applyBorder="1" applyAlignment="1">
      <alignment vertical="center"/>
    </xf>
    <xf numFmtId="43" fontId="0" fillId="0" borderId="0" xfId="0" applyNumberFormat="1"/>
    <xf numFmtId="43" fontId="11" fillId="15" borderId="1" xfId="1" applyFont="1" applyFill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43" fontId="11" fillId="15" borderId="1" xfId="1" applyFont="1" applyFill="1" applyBorder="1" applyAlignment="1">
      <alignment horizontal="left" vertical="center" wrapText="1"/>
    </xf>
    <xf numFmtId="0" fontId="27" fillId="0" borderId="1" xfId="0" applyFont="1" applyFill="1" applyBorder="1"/>
    <xf numFmtId="0" fontId="26" fillId="0" borderId="1" xfId="0" quotePrefix="1" applyFont="1" applyBorder="1" applyAlignment="1">
      <alignment vertical="top" wrapText="1"/>
    </xf>
    <xf numFmtId="0" fontId="23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43" fontId="0" fillId="0" borderId="6" xfId="1" applyFont="1" applyBorder="1" applyAlignment="1">
      <alignment horizontal="left" vertical="center"/>
    </xf>
    <xf numFmtId="43" fontId="11" fillId="0" borderId="6" xfId="1" applyFont="1" applyFill="1" applyBorder="1" applyAlignment="1">
      <alignment horizontal="left" vertical="center"/>
    </xf>
    <xf numFmtId="166" fontId="0" fillId="0" borderId="6" xfId="1" applyNumberFormat="1" applyFont="1" applyFill="1" applyBorder="1" applyAlignment="1">
      <alignment vertical="center"/>
    </xf>
    <xf numFmtId="43" fontId="0" fillId="0" borderId="6" xfId="1" applyFont="1" applyFill="1" applyBorder="1" applyAlignment="1">
      <alignment horizontal="left" vertical="center"/>
    </xf>
    <xf numFmtId="0" fontId="23" fillId="0" borderId="6" xfId="0" applyFont="1" applyFill="1" applyBorder="1"/>
    <xf numFmtId="0" fontId="0" fillId="5" borderId="1" xfId="0" applyFont="1" applyFill="1" applyBorder="1" applyAlignment="1">
      <alignment horizontal="left" vertical="top" wrapText="1"/>
    </xf>
    <xf numFmtId="43" fontId="0" fillId="5" borderId="1" xfId="1" applyFont="1" applyFill="1" applyBorder="1" applyAlignment="1">
      <alignment horizontal="left" vertical="center"/>
    </xf>
    <xf numFmtId="0" fontId="0" fillId="5" borderId="1" xfId="0" applyFill="1" applyBorder="1" applyAlignment="1">
      <alignment vertical="top"/>
    </xf>
    <xf numFmtId="166" fontId="0" fillId="0" borderId="1" xfId="1" applyNumberFormat="1" applyFont="1" applyBorder="1" applyAlignment="1">
      <alignment vertical="center"/>
    </xf>
    <xf numFmtId="0" fontId="23" fillId="0" borderId="1" xfId="0" quotePrefix="1" applyFont="1" applyBorder="1" applyAlignment="1">
      <alignment wrapText="1"/>
    </xf>
    <xf numFmtId="0" fontId="23" fillId="0" borderId="1" xfId="0" quotePrefix="1" applyFont="1" applyBorder="1" applyAlignment="1">
      <alignment vertical="top" wrapText="1"/>
    </xf>
    <xf numFmtId="0" fontId="25" fillId="0" borderId="1" xfId="0" quotePrefix="1" applyFont="1" applyFill="1" applyBorder="1" applyAlignment="1">
      <alignment vertical="top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top" wrapText="1"/>
    </xf>
    <xf numFmtId="0" fontId="15" fillId="0" borderId="1" xfId="0" quotePrefix="1" applyFont="1" applyBorder="1" applyAlignment="1">
      <alignment vertical="top" wrapText="1"/>
    </xf>
    <xf numFmtId="43" fontId="2" fillId="5" borderId="1" xfId="1" applyFont="1" applyFill="1" applyBorder="1" applyAlignment="1">
      <alignment horizontal="left" vertical="center"/>
    </xf>
    <xf numFmtId="4" fontId="0" fillId="0" borderId="1" xfId="0" applyNumberFormat="1" applyBorder="1" applyAlignment="1"/>
    <xf numFmtId="4" fontId="0" fillId="0" borderId="1" xfId="0" applyNumberFormat="1" applyBorder="1"/>
    <xf numFmtId="0" fontId="0" fillId="16" borderId="1" xfId="0" applyFill="1" applyBorder="1" applyAlignment="1">
      <alignment horizontal="center"/>
    </xf>
    <xf numFmtId="4" fontId="0" fillId="16" borderId="1" xfId="0" applyNumberFormat="1" applyFill="1" applyBorder="1"/>
    <xf numFmtId="0" fontId="0" fillId="16" borderId="1" xfId="0" applyFill="1" applyBorder="1" applyAlignment="1"/>
    <xf numFmtId="0" fontId="0" fillId="16" borderId="1" xfId="0" applyFill="1" applyBorder="1"/>
    <xf numFmtId="4" fontId="2" fillId="0" borderId="0" xfId="0" applyNumberFormat="1" applyFont="1"/>
    <xf numFmtId="0" fontId="2" fillId="5" borderId="1" xfId="0" applyFont="1" applyFill="1" applyBorder="1" applyAlignment="1">
      <alignment horizontal="center" vertical="top" wrapText="1"/>
    </xf>
    <xf numFmtId="0" fontId="31" fillId="5" borderId="1" xfId="0" applyFont="1" applyFill="1" applyBorder="1"/>
    <xf numFmtId="0" fontId="32" fillId="0" borderId="0" xfId="0" applyFont="1"/>
    <xf numFmtId="4" fontId="22" fillId="0" borderId="1" xfId="0" applyNumberFormat="1" applyFont="1" applyBorder="1" applyAlignment="1">
      <alignment vertical="center"/>
    </xf>
    <xf numFmtId="0" fontId="0" fillId="5" borderId="0" xfId="0" applyFill="1"/>
    <xf numFmtId="43" fontId="0" fillId="5" borderId="0" xfId="0" applyNumberFormat="1" applyFill="1"/>
    <xf numFmtId="43" fontId="1" fillId="5" borderId="1" xfId="1" applyFont="1" applyFill="1" applyBorder="1" applyAlignment="1">
      <alignment horizontal="left" vertical="center"/>
    </xf>
    <xf numFmtId="0" fontId="32" fillId="0" borderId="0" xfId="0" applyFont="1" applyAlignment="1">
      <alignment vertical="top"/>
    </xf>
    <xf numFmtId="0" fontId="32" fillId="0" borderId="0" xfId="0" applyFont="1" applyAlignment="1">
      <alignment vertical="top" wrapText="1"/>
    </xf>
    <xf numFmtId="0" fontId="0" fillId="5" borderId="1" xfId="0" applyFont="1" applyFill="1" applyBorder="1" applyAlignment="1">
      <alignment horizontal="center" vertical="top" wrapText="1"/>
    </xf>
    <xf numFmtId="0" fontId="11" fillId="17" borderId="0" xfId="0" applyFont="1" applyFill="1"/>
    <xf numFmtId="14" fontId="11" fillId="17" borderId="0" xfId="0" applyNumberFormat="1" applyFont="1" applyFill="1"/>
    <xf numFmtId="4" fontId="11" fillId="17" borderId="0" xfId="0" applyNumberFormat="1" applyFont="1" applyFill="1"/>
    <xf numFmtId="14" fontId="11" fillId="17" borderId="0" xfId="0" applyNumberFormat="1" applyFont="1" applyFill="1" applyBorder="1"/>
    <xf numFmtId="0" fontId="11" fillId="17" borderId="0" xfId="0" applyFont="1" applyFill="1" applyBorder="1"/>
    <xf numFmtId="14" fontId="11" fillId="17" borderId="11" xfId="0" applyNumberFormat="1" applyFont="1" applyFill="1" applyBorder="1"/>
    <xf numFmtId="0" fontId="11" fillId="17" borderId="11" xfId="0" applyFont="1" applyFill="1" applyBorder="1"/>
    <xf numFmtId="0" fontId="12" fillId="17" borderId="0" xfId="0" applyFont="1" applyFill="1"/>
    <xf numFmtId="166" fontId="2" fillId="5" borderId="0" xfId="0" applyNumberFormat="1" applyFont="1" applyFill="1" applyAlignment="1">
      <alignment horizontal="center"/>
    </xf>
    <xf numFmtId="4" fontId="11" fillId="18" borderId="0" xfId="0" applyNumberFormat="1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vertical="center"/>
    </xf>
    <xf numFmtId="0" fontId="11" fillId="17" borderId="0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 vertical="top" wrapText="1"/>
    </xf>
    <xf numFmtId="3" fontId="0" fillId="0" borderId="5" xfId="0" applyNumberFormat="1" applyBorder="1"/>
    <xf numFmtId="3" fontId="2" fillId="0" borderId="4" xfId="0" applyNumberFormat="1" applyFont="1" applyBorder="1"/>
    <xf numFmtId="0" fontId="0" fillId="0" borderId="11" xfId="0" applyBorder="1"/>
    <xf numFmtId="0" fontId="0" fillId="0" borderId="11" xfId="0" applyFont="1" applyBorder="1"/>
    <xf numFmtId="0" fontId="0" fillId="19" borderId="0" xfId="0" applyFill="1"/>
    <xf numFmtId="0" fontId="0" fillId="19" borderId="0" xfId="0" applyFill="1" applyBorder="1"/>
    <xf numFmtId="3" fontId="0" fillId="19" borderId="5" xfId="0" applyNumberFormat="1" applyFill="1" applyBorder="1"/>
    <xf numFmtId="3" fontId="2" fillId="19" borderId="4" xfId="0" applyNumberFormat="1" applyFont="1" applyFill="1" applyBorder="1"/>
    <xf numFmtId="0" fontId="0" fillId="10" borderId="0" xfId="0" applyFill="1"/>
    <xf numFmtId="0" fontId="0" fillId="10" borderId="0" xfId="0" applyFill="1" applyBorder="1"/>
    <xf numFmtId="3" fontId="0" fillId="10" borderId="5" xfId="0" applyNumberFormat="1" applyFill="1" applyBorder="1"/>
    <xf numFmtId="3" fontId="2" fillId="10" borderId="4" xfId="0" applyNumberFormat="1" applyFont="1" applyFill="1" applyBorder="1"/>
    <xf numFmtId="0" fontId="0" fillId="10" borderId="11" xfId="0" applyFill="1" applyBorder="1"/>
    <xf numFmtId="3" fontId="0" fillId="10" borderId="18" xfId="0" applyNumberFormat="1" applyFill="1" applyBorder="1"/>
    <xf numFmtId="3" fontId="2" fillId="10" borderId="14" xfId="0" applyNumberFormat="1" applyFont="1" applyFill="1" applyBorder="1"/>
    <xf numFmtId="43" fontId="0" fillId="0" borderId="2" xfId="1" applyFont="1" applyBorder="1" applyAlignment="1">
      <alignment vertical="center"/>
    </xf>
    <xf numFmtId="10" fontId="0" fillId="0" borderId="0" xfId="3" applyNumberFormat="1" applyFont="1"/>
    <xf numFmtId="0" fontId="11" fillId="20" borderId="1" xfId="0" applyFont="1" applyFill="1" applyBorder="1" applyAlignment="1">
      <alignment horizontal="center" vertical="top" wrapText="1"/>
    </xf>
    <xf numFmtId="166" fontId="11" fillId="0" borderId="1" xfId="1" applyNumberFormat="1" applyFont="1" applyBorder="1" applyAlignment="1">
      <alignment vertical="center"/>
    </xf>
    <xf numFmtId="166" fontId="11" fillId="0" borderId="1" xfId="1" applyNumberFormat="1" applyFont="1" applyFill="1" applyBorder="1" applyAlignment="1">
      <alignment vertical="center"/>
    </xf>
    <xf numFmtId="43" fontId="1" fillId="21" borderId="1" xfId="1" applyFont="1" applyFill="1" applyBorder="1" applyAlignment="1">
      <alignment horizontal="left" vertical="center"/>
    </xf>
    <xf numFmtId="43" fontId="30" fillId="21" borderId="1" xfId="1" applyFont="1" applyFill="1" applyBorder="1" applyAlignment="1">
      <alignment horizontal="left" vertical="center"/>
    </xf>
    <xf numFmtId="17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0" fillId="18" borderId="0" xfId="0" applyFill="1" applyAlignment="1">
      <alignment vertical="center"/>
    </xf>
    <xf numFmtId="4" fontId="11" fillId="18" borderId="0" xfId="0" applyNumberFormat="1" applyFont="1" applyFill="1" applyBorder="1" applyAlignment="1">
      <alignment vertical="center"/>
    </xf>
    <xf numFmtId="4" fontId="11" fillId="22" borderId="0" xfId="0" applyNumberFormat="1" applyFont="1" applyFill="1" applyBorder="1" applyAlignment="1">
      <alignment vertical="center"/>
    </xf>
    <xf numFmtId="4" fontId="11" fillId="22" borderId="0" xfId="0" applyNumberFormat="1" applyFont="1" applyFill="1" applyBorder="1" applyAlignment="1">
      <alignment horizontal="center" vertical="center"/>
    </xf>
    <xf numFmtId="0" fontId="0" fillId="22" borderId="0" xfId="0" applyFill="1" applyAlignment="1">
      <alignment vertical="center"/>
    </xf>
    <xf numFmtId="4" fontId="11" fillId="22" borderId="11" xfId="0" applyNumberFormat="1" applyFont="1" applyFill="1" applyBorder="1" applyAlignment="1">
      <alignment vertical="center"/>
    </xf>
    <xf numFmtId="4" fontId="33" fillId="17" borderId="0" xfId="0" applyNumberFormat="1" applyFont="1" applyFill="1" applyBorder="1"/>
    <xf numFmtId="4" fontId="12" fillId="17" borderId="0" xfId="0" applyNumberFormat="1" applyFont="1" applyFill="1"/>
    <xf numFmtId="43" fontId="16" fillId="17" borderId="0" xfId="0" applyNumberFormat="1" applyFont="1" applyFill="1"/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21" borderId="11" xfId="0" applyFill="1" applyBorder="1" applyAlignment="1">
      <alignment horizontal="center"/>
    </xf>
    <xf numFmtId="166" fontId="2" fillId="5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left" vertical="center"/>
    </xf>
    <xf numFmtId="4" fontId="12" fillId="17" borderId="8" xfId="0" applyNumberFormat="1" applyFont="1" applyFill="1" applyBorder="1" applyAlignment="1">
      <alignment horizontal="center"/>
    </xf>
    <xf numFmtId="0" fontId="12" fillId="17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Komma" xfId="1" builtinId="3"/>
    <cellStyle name="Neutral" xfId="2" builtinId="28"/>
    <cellStyle name="Prozent" xfId="3" builtinId="5"/>
    <cellStyle name="Standard" xfId="0" builtinId="0"/>
  </cellStyles>
  <dxfs count="0"/>
  <tableStyles count="0" defaultTableStyle="TableStyleMedium2" defaultPivotStyle="PivotStyleLight16"/>
  <colors>
    <mruColors>
      <color rgb="FF00F26D"/>
      <color rgb="FF1DFF83"/>
      <color rgb="FFDDD9C4"/>
      <color rgb="FF4FFF9F"/>
      <color rgb="FFC1FFDD"/>
      <color rgb="FF996633"/>
      <color rgb="FF9F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205154</xdr:colOff>
      <xdr:row>7</xdr:row>
      <xdr:rowOff>0</xdr:rowOff>
    </xdr:from>
    <xdr:to>
      <xdr:col>13</xdr:col>
      <xdr:colOff>81328</xdr:colOff>
      <xdr:row>7</xdr:row>
      <xdr:rowOff>351692</xdr:rowOff>
    </xdr:to>
    <xdr:sp macro="" textlink="">
      <xdr:nvSpPr>
        <xdr:cNvPr id="2" name="Textfeld 1"/>
        <xdr:cNvSpPr txBox="1"/>
      </xdr:nvSpPr>
      <xdr:spPr>
        <a:xfrm>
          <a:off x="10169769" y="2316773"/>
          <a:ext cx="1458790" cy="430823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94" t="s">
        <v>121</v>
      </c>
      <c r="O2" s="295"/>
      <c r="P2" s="295"/>
      <c r="Q2" s="295"/>
      <c r="R2" s="295"/>
      <c r="S2" s="295"/>
      <c r="T2" s="296"/>
    </row>
    <row r="3" spans="1:20" ht="15.75" x14ac:dyDescent="0.25">
      <c r="B3" s="1" t="s">
        <v>73</v>
      </c>
    </row>
    <row r="4" spans="1:20" ht="15.75" x14ac:dyDescent="0.25">
      <c r="B4" s="1"/>
      <c r="E4" s="297" t="s">
        <v>175</v>
      </c>
      <c r="F4" s="298"/>
      <c r="G4" s="298"/>
      <c r="H4" s="298"/>
      <c r="I4" s="298"/>
      <c r="J4" s="298"/>
      <c r="K4" s="298"/>
      <c r="L4" s="298"/>
      <c r="M4" s="299"/>
      <c r="N4" s="297" t="s">
        <v>60</v>
      </c>
      <c r="O4" s="298"/>
      <c r="P4" s="298"/>
      <c r="Q4" s="298"/>
      <c r="R4" s="298"/>
      <c r="S4" s="298"/>
      <c r="T4" s="299"/>
    </row>
    <row r="5" spans="1:20" x14ac:dyDescent="0.2">
      <c r="H5" s="132"/>
    </row>
    <row r="6" spans="1:20" x14ac:dyDescent="0.2">
      <c r="A6" s="149" t="s">
        <v>61</v>
      </c>
      <c r="B6" s="20" t="s">
        <v>1</v>
      </c>
      <c r="C6" s="20" t="s">
        <v>2</v>
      </c>
      <c r="D6" s="10" t="s">
        <v>3</v>
      </c>
      <c r="E6" s="299" t="s">
        <v>8</v>
      </c>
      <c r="F6" s="300"/>
      <c r="G6" s="43" t="s">
        <v>4</v>
      </c>
      <c r="H6" s="18" t="s">
        <v>5</v>
      </c>
      <c r="I6" s="44" t="s">
        <v>6</v>
      </c>
      <c r="J6" s="19" t="s">
        <v>7</v>
      </c>
      <c r="K6" s="150" t="s">
        <v>51</v>
      </c>
      <c r="L6" s="10" t="s">
        <v>101</v>
      </c>
      <c r="M6" s="147" t="s">
        <v>100</v>
      </c>
      <c r="N6" s="301" t="s">
        <v>66</v>
      </c>
      <c r="O6" s="301"/>
      <c r="P6" s="302" t="s">
        <v>63</v>
      </c>
      <c r="Q6" s="302"/>
      <c r="R6" s="301" t="s">
        <v>51</v>
      </c>
      <c r="S6" s="301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1" t="s">
        <v>56</v>
      </c>
      <c r="N7" s="92" t="s">
        <v>64</v>
      </c>
      <c r="O7" s="107" t="s">
        <v>65</v>
      </c>
      <c r="P7" s="69" t="s">
        <v>64</v>
      </c>
      <c r="Q7" s="108" t="s">
        <v>65</v>
      </c>
      <c r="R7" s="69" t="s">
        <v>64</v>
      </c>
      <c r="S7" s="148" t="s">
        <v>65</v>
      </c>
      <c r="T7" s="115" t="s">
        <v>68</v>
      </c>
    </row>
    <row r="8" spans="1:20" ht="15" x14ac:dyDescent="0.25">
      <c r="A8" s="149">
        <v>1</v>
      </c>
      <c r="B8" s="289" t="s">
        <v>74</v>
      </c>
      <c r="C8" s="289"/>
      <c r="D8" s="289"/>
      <c r="E8" s="54"/>
      <c r="F8" s="55"/>
      <c r="G8" s="122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5">
        <v>0</v>
      </c>
      <c r="O8" s="96"/>
      <c r="P8" s="112">
        <v>385</v>
      </c>
      <c r="Q8" s="111">
        <f>P8*80</f>
        <v>30800</v>
      </c>
      <c r="R8" s="111">
        <f>N8+P8</f>
        <v>385</v>
      </c>
      <c r="S8" s="111">
        <f>O8+Q8</f>
        <v>30800</v>
      </c>
      <c r="T8" s="99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4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4"/>
      <c r="O10" s="85"/>
      <c r="P10" s="105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5" t="s">
        <v>173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174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4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90" t="s">
        <v>75</v>
      </c>
      <c r="C15" s="291"/>
      <c r="D15" s="292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49">
        <v>2.1</v>
      </c>
      <c r="B16" s="147"/>
      <c r="C16" s="279" t="s">
        <v>30</v>
      </c>
      <c r="D16" s="279"/>
      <c r="E16" s="54"/>
      <c r="F16" s="55"/>
      <c r="G16" s="123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6">
        <v>0</v>
      </c>
      <c r="O16" s="97"/>
      <c r="P16" s="96">
        <v>302</v>
      </c>
      <c r="Q16" s="112">
        <f>P16*80</f>
        <v>24160</v>
      </c>
      <c r="R16" s="97">
        <f>N16+P16</f>
        <v>302</v>
      </c>
      <c r="S16" s="111">
        <f>O16+Q16</f>
        <v>24160</v>
      </c>
      <c r="T16" s="96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0"/>
      <c r="N17" s="49"/>
      <c r="O17" s="25"/>
      <c r="P17" s="99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29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4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3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3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49">
        <v>2.2000000000000002</v>
      </c>
      <c r="B35" s="8"/>
      <c r="C35" s="279" t="s">
        <v>31</v>
      </c>
      <c r="D35" s="279"/>
      <c r="E35" s="54"/>
      <c r="F35" s="55"/>
      <c r="G35" s="142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4" t="s">
        <v>48</v>
      </c>
      <c r="N35" s="102">
        <v>0</v>
      </c>
      <c r="O35" s="96"/>
      <c r="P35" s="103">
        <v>60</v>
      </c>
      <c r="Q35" s="112">
        <f>P35*80</f>
        <v>4800</v>
      </c>
      <c r="R35" s="96">
        <f>N35+P35</f>
        <v>60</v>
      </c>
      <c r="S35" s="111">
        <f>O35+Q35</f>
        <v>4800</v>
      </c>
      <c r="T35" s="101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4" t="s">
        <v>99</v>
      </c>
      <c r="N36" s="98"/>
      <c r="O36" s="99"/>
      <c r="P36" s="100"/>
      <c r="Q36" s="125"/>
      <c r="R36" s="100"/>
      <c r="S36" s="126"/>
      <c r="T36" s="99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4" t="s">
        <v>99</v>
      </c>
      <c r="N37" s="98"/>
      <c r="O37" s="99"/>
      <c r="P37" s="100"/>
      <c r="Q37" s="125"/>
      <c r="R37" s="100"/>
      <c r="S37" s="126"/>
      <c r="T37" s="99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4" t="s">
        <v>99</v>
      </c>
      <c r="N38" s="98"/>
      <c r="O38" s="99"/>
      <c r="P38" s="100"/>
      <c r="Q38" s="125"/>
      <c r="R38" s="100"/>
      <c r="S38" s="126"/>
      <c r="T38" s="99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6"/>
      <c r="M39" s="135" t="s">
        <v>4</v>
      </c>
      <c r="N39" s="98"/>
      <c r="O39" s="99"/>
      <c r="P39" s="100"/>
      <c r="Q39" s="125"/>
      <c r="R39" s="100"/>
      <c r="S39" s="126"/>
      <c r="T39" s="99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4" t="s">
        <v>99</v>
      </c>
      <c r="N40" s="98"/>
      <c r="O40" s="99"/>
      <c r="P40" s="100"/>
      <c r="Q40" s="125"/>
      <c r="R40" s="100"/>
      <c r="S40" s="126"/>
      <c r="T40" s="99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4" t="s">
        <v>99</v>
      </c>
      <c r="N41" s="98"/>
      <c r="O41" s="99"/>
      <c r="P41" s="100"/>
      <c r="Q41" s="125"/>
      <c r="R41" s="100"/>
      <c r="S41" s="126"/>
      <c r="T41" s="99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4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4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49">
        <v>2.2999999999999998</v>
      </c>
      <c r="B44" s="8"/>
      <c r="C44" s="279" t="s">
        <v>27</v>
      </c>
      <c r="D44" s="279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50">
        <f>SUM(E44:J44)</f>
        <v>650</v>
      </c>
      <c r="L44" s="49"/>
      <c r="M44" s="49" t="s">
        <v>52</v>
      </c>
      <c r="N44" s="98"/>
      <c r="O44" s="99"/>
      <c r="P44" s="100"/>
      <c r="Q44" s="99"/>
      <c r="R44" s="100"/>
      <c r="S44" s="99"/>
      <c r="T44" s="99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4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5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4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49">
        <v>2.4</v>
      </c>
      <c r="B49" s="8"/>
      <c r="C49" s="279" t="s">
        <v>32</v>
      </c>
      <c r="D49" s="279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50">
        <f>SUM(E49:J49)</f>
        <v>170</v>
      </c>
      <c r="L49" s="49"/>
      <c r="M49" s="49" t="s">
        <v>5</v>
      </c>
      <c r="N49" s="95">
        <v>0</v>
      </c>
      <c r="O49" s="96"/>
      <c r="P49" s="97">
        <v>0</v>
      </c>
      <c r="Q49" s="96"/>
      <c r="R49" s="96">
        <f>N49+P49</f>
        <v>0</v>
      </c>
      <c r="S49" s="111"/>
      <c r="T49" s="96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7" t="s">
        <v>128</v>
      </c>
      <c r="M50" s="135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7" t="s">
        <v>128</v>
      </c>
      <c r="M51" s="135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7" t="s">
        <v>128</v>
      </c>
      <c r="M52" s="135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5" t="s">
        <v>125</v>
      </c>
      <c r="M53" s="135"/>
      <c r="N53" s="24"/>
      <c r="O53" s="49"/>
      <c r="P53" s="25"/>
      <c r="Q53" s="49"/>
      <c r="R53" s="25"/>
      <c r="S53" s="42"/>
      <c r="T53" s="49"/>
    </row>
    <row r="54" spans="1:20" x14ac:dyDescent="0.2">
      <c r="A54" s="149">
        <v>2.5</v>
      </c>
      <c r="B54" s="8"/>
      <c r="C54" s="279" t="s">
        <v>33</v>
      </c>
      <c r="D54" s="279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50">
        <f>SUM(E54:J54)</f>
        <v>680</v>
      </c>
      <c r="L54" s="49"/>
      <c r="M54" s="49" t="s">
        <v>127</v>
      </c>
      <c r="N54" s="95">
        <v>0</v>
      </c>
      <c r="O54" s="96"/>
      <c r="P54" s="97">
        <v>0</v>
      </c>
      <c r="Q54" s="96"/>
      <c r="R54" s="96">
        <f>N54+P54</f>
        <v>0</v>
      </c>
      <c r="S54" s="111"/>
      <c r="T54" s="96"/>
    </row>
    <row r="55" spans="1:20" x14ac:dyDescent="0.2">
      <c r="A55" s="90"/>
      <c r="B55" s="24"/>
      <c r="C55" s="80"/>
      <c r="D55" s="127" t="s">
        <v>57</v>
      </c>
      <c r="E55" s="58"/>
      <c r="F55" s="59"/>
      <c r="G55" s="60"/>
      <c r="H55" s="77">
        <v>200</v>
      </c>
      <c r="I55" s="74"/>
      <c r="J55" s="75"/>
      <c r="K55" s="57"/>
      <c r="L55" s="135" t="s">
        <v>137</v>
      </c>
      <c r="M55" s="129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29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5" t="s">
        <v>142</v>
      </c>
      <c r="M57" s="129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29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29"/>
      <c r="M60" s="129"/>
      <c r="N60" s="24"/>
      <c r="O60" s="49"/>
      <c r="P60" s="49"/>
      <c r="Q60" s="49"/>
      <c r="R60" s="25"/>
      <c r="S60" s="42"/>
      <c r="T60" s="49"/>
    </row>
    <row r="61" spans="1:20" x14ac:dyDescent="0.2">
      <c r="A61" s="149">
        <v>2.6</v>
      </c>
      <c r="B61" s="8"/>
      <c r="C61" s="293" t="s">
        <v>38</v>
      </c>
      <c r="D61" s="293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50">
        <f>SUM(E61:J61)</f>
        <v>1750</v>
      </c>
      <c r="L61" s="49" t="s">
        <v>157</v>
      </c>
      <c r="M61" s="49" t="s">
        <v>147</v>
      </c>
      <c r="N61" s="95">
        <v>272</v>
      </c>
      <c r="O61" s="111">
        <f t="shared" ref="O61" si="4">N61*100.1</f>
        <v>27227.199999999997</v>
      </c>
      <c r="P61" s="111">
        <f>SUM(P62:P71)</f>
        <v>1040</v>
      </c>
      <c r="Q61" s="112">
        <f>P61*80</f>
        <v>83200</v>
      </c>
      <c r="R61" s="96">
        <f>N61+P61</f>
        <v>1312</v>
      </c>
      <c r="S61" s="111">
        <f>O61+Q61</f>
        <v>110427.2</v>
      </c>
      <c r="T61" s="110" t="s">
        <v>69</v>
      </c>
    </row>
    <row r="62" spans="1:20" x14ac:dyDescent="0.2">
      <c r="A62" s="90"/>
      <c r="B62" s="24"/>
      <c r="C62" s="80"/>
      <c r="D62" s="127" t="s">
        <v>57</v>
      </c>
      <c r="E62" s="58"/>
      <c r="F62" s="59"/>
      <c r="G62" s="138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7" t="s">
        <v>39</v>
      </c>
      <c r="E63" s="58"/>
      <c r="F63" s="59"/>
      <c r="G63" s="138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7" t="s">
        <v>105</v>
      </c>
      <c r="E64" s="58"/>
      <c r="F64" s="59"/>
      <c r="G64" s="138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7" t="s">
        <v>41</v>
      </c>
      <c r="E65" s="58"/>
      <c r="F65" s="59"/>
      <c r="G65" s="138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7" t="s">
        <v>108</v>
      </c>
      <c r="E66" s="58"/>
      <c r="F66" s="59"/>
      <c r="G66" s="138">
        <v>100</v>
      </c>
      <c r="H66" s="61"/>
      <c r="I66" s="60"/>
      <c r="J66" s="141">
        <v>400</v>
      </c>
      <c r="K66" s="57"/>
      <c r="L66" s="49"/>
      <c r="M66" s="129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38">
        <v>70</v>
      </c>
      <c r="H67" s="61"/>
      <c r="I67" s="60"/>
      <c r="J67" s="48"/>
      <c r="K67" s="5"/>
      <c r="L67" s="49" t="s">
        <v>149</v>
      </c>
      <c r="M67" s="128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39">
        <v>120</v>
      </c>
      <c r="H68" s="61"/>
      <c r="I68" s="60"/>
      <c r="J68" s="48"/>
      <c r="K68" s="5"/>
      <c r="L68" s="49"/>
      <c r="M68" s="128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39">
        <v>40</v>
      </c>
      <c r="H69" s="61"/>
      <c r="I69" s="60"/>
      <c r="J69" s="48"/>
      <c r="K69" s="5"/>
      <c r="L69" s="49"/>
      <c r="M69" s="128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39">
        <v>90</v>
      </c>
      <c r="H70" s="61"/>
      <c r="I70" s="60"/>
      <c r="J70" s="48"/>
      <c r="K70" s="5"/>
      <c r="L70" s="49"/>
      <c r="M70" s="128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28" t="s">
        <v>5</v>
      </c>
      <c r="N71" s="24"/>
      <c r="O71" s="49"/>
      <c r="P71" s="106">
        <v>100</v>
      </c>
      <c r="Q71" s="49"/>
      <c r="R71" s="25"/>
      <c r="S71" s="42"/>
      <c r="T71" s="49"/>
    </row>
    <row r="72" spans="1:20" x14ac:dyDescent="0.2">
      <c r="A72" s="149">
        <v>2.8</v>
      </c>
      <c r="B72" s="8"/>
      <c r="C72" s="279" t="s">
        <v>42</v>
      </c>
      <c r="D72" s="279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50">
        <f>SUM(E72:J72)</f>
        <v>160</v>
      </c>
      <c r="L72" s="49"/>
      <c r="M72" s="52" t="s">
        <v>5</v>
      </c>
      <c r="N72" s="95">
        <v>0</v>
      </c>
      <c r="O72" s="96"/>
      <c r="P72" s="97">
        <v>0</v>
      </c>
      <c r="Q72" s="96"/>
      <c r="R72" s="96">
        <f>N72+P72</f>
        <v>0</v>
      </c>
      <c r="S72" s="111"/>
      <c r="T72" s="96"/>
    </row>
    <row r="73" spans="1:20" x14ac:dyDescent="0.2">
      <c r="A73" s="90"/>
      <c r="B73" s="24"/>
      <c r="C73" s="73"/>
      <c r="D73" s="127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7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79" t="s">
        <v>43</v>
      </c>
      <c r="D77" s="279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50">
        <f>SUM(E77:J77)</f>
        <v>810</v>
      </c>
      <c r="L77" s="49"/>
      <c r="M77" s="49" t="s">
        <v>4</v>
      </c>
      <c r="N77" s="95">
        <v>0</v>
      </c>
      <c r="O77" s="96"/>
      <c r="P77" s="97">
        <v>310</v>
      </c>
      <c r="Q77" s="112">
        <f>P77*80</f>
        <v>24800</v>
      </c>
      <c r="R77" s="96">
        <f>N77+P77</f>
        <v>310</v>
      </c>
      <c r="S77" s="111">
        <f>O77+Q77</f>
        <v>24800</v>
      </c>
      <c r="T77" s="96"/>
    </row>
    <row r="78" spans="1:20" x14ac:dyDescent="0.2">
      <c r="A78" s="90"/>
      <c r="B78" s="24"/>
      <c r="C78" s="73"/>
      <c r="D78" s="127" t="s">
        <v>57</v>
      </c>
      <c r="E78" s="58"/>
      <c r="F78" s="59"/>
      <c r="G78" s="138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38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39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39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49">
        <v>2.9</v>
      </c>
      <c r="B82" s="8"/>
      <c r="C82" s="279" t="s">
        <v>44</v>
      </c>
      <c r="D82" s="279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50">
        <f>SUM(E82:J82)</f>
        <v>500</v>
      </c>
      <c r="L82" s="49"/>
      <c r="M82" s="49" t="s">
        <v>4</v>
      </c>
      <c r="N82" s="95">
        <v>0</v>
      </c>
      <c r="O82" s="96"/>
      <c r="P82" s="97">
        <v>160</v>
      </c>
      <c r="Q82" s="112">
        <f>P82*80</f>
        <v>12800</v>
      </c>
      <c r="R82" s="96">
        <f>N82+P82</f>
        <v>160</v>
      </c>
      <c r="S82" s="111">
        <f>O82+Q82</f>
        <v>12800</v>
      </c>
      <c r="T82" s="96"/>
    </row>
    <row r="83" spans="1:20" x14ac:dyDescent="0.2">
      <c r="A83" s="90"/>
      <c r="B83" s="24"/>
      <c r="C83" s="73"/>
      <c r="D83" s="127" t="s">
        <v>57</v>
      </c>
      <c r="E83" s="58"/>
      <c r="F83" s="59"/>
      <c r="G83" s="138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38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39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39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79" t="s">
        <v>45</v>
      </c>
      <c r="D87" s="279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50">
        <f>SUM(E87:J87)</f>
        <v>260</v>
      </c>
      <c r="L87" s="49"/>
      <c r="M87" s="49" t="s">
        <v>5</v>
      </c>
      <c r="N87" s="95">
        <v>0</v>
      </c>
      <c r="O87" s="96"/>
      <c r="P87" s="97">
        <v>0</v>
      </c>
      <c r="Q87" s="96"/>
      <c r="R87" s="96">
        <f>N87+P87</f>
        <v>0</v>
      </c>
      <c r="S87" s="111"/>
      <c r="T87" s="96"/>
    </row>
    <row r="88" spans="1:20" x14ac:dyDescent="0.2">
      <c r="A88" s="90"/>
      <c r="B88" s="24"/>
      <c r="C88" s="73"/>
      <c r="D88" s="127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29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49">
        <v>2.13</v>
      </c>
      <c r="B92" s="8"/>
      <c r="C92" s="279" t="s">
        <v>46</v>
      </c>
      <c r="D92" s="279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50">
        <f>SUM(E92:J92)</f>
        <v>60</v>
      </c>
      <c r="L92" s="131"/>
      <c r="M92" s="49" t="s">
        <v>124</v>
      </c>
      <c r="N92" s="95">
        <v>0</v>
      </c>
      <c r="O92" s="96"/>
      <c r="P92" s="97">
        <v>40</v>
      </c>
      <c r="Q92" s="112">
        <f>P92*80</f>
        <v>3200</v>
      </c>
      <c r="R92" s="96">
        <f>N92+P92</f>
        <v>40</v>
      </c>
      <c r="S92" s="111">
        <f>O92+Q92</f>
        <v>3200</v>
      </c>
      <c r="T92" s="96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38">
        <v>30</v>
      </c>
      <c r="H93" s="77">
        <v>30</v>
      </c>
      <c r="I93" s="60"/>
      <c r="J93" s="61"/>
      <c r="K93" s="5"/>
      <c r="L93" s="140" t="s">
        <v>152</v>
      </c>
      <c r="M93" s="285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86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86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86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86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86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86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86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86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87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88" t="s">
        <v>53</v>
      </c>
      <c r="D103" s="288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3" t="e">
        <f>#REF!+N8+N16+N35+N44+N49+N54+N61+N72+N77+N82+N87+N92</f>
        <v>#REF!</v>
      </c>
      <c r="O103" s="113" t="e">
        <f>#REF!+O8+O16+O35+O44+O49+O54+O61+O72+O77+O82+O87+O92</f>
        <v>#REF!</v>
      </c>
      <c r="P103" s="113" t="e">
        <f>#REF!+P8+P16+P35+P44+P49+P54+P61+P72+P77+P82+P87+P92</f>
        <v>#REF!</v>
      </c>
      <c r="Q103" s="113" t="e">
        <f>#REF!+Q8+Q16+Q35+Q44+Q49+Q54+Q61+Q72+Q77+Q82+Q87+Q92</f>
        <v>#REF!</v>
      </c>
      <c r="R103" s="113" t="e">
        <f>#REF!+R8+R16+R35+R44+R49+R54+R61+R72+R77+R82+R87+R92</f>
        <v>#REF!</v>
      </c>
      <c r="S103" s="113" t="e">
        <f>#REF!+S8+S16+S35+S44+S49+S54+S61+S72+S77+S82+S87+S92</f>
        <v>#REF!</v>
      </c>
      <c r="T103" s="96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4"/>
      <c r="D105" s="145"/>
      <c r="E105" s="143"/>
      <c r="F105" s="143"/>
      <c r="G105" s="143">
        <f>0.05*G103</f>
        <v>184.5</v>
      </c>
      <c r="H105" s="143">
        <f t="shared" ref="H105:J105" si="11">0.05*H103</f>
        <v>129.5</v>
      </c>
      <c r="I105" s="143">
        <f t="shared" si="11"/>
        <v>0</v>
      </c>
      <c r="J105" s="143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79" t="s">
        <v>153</v>
      </c>
      <c r="C107" s="279"/>
      <c r="D107" s="279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4">
        <v>323</v>
      </c>
      <c r="O107" s="119">
        <f>N107*100.1</f>
        <v>32332.3</v>
      </c>
      <c r="P107" s="119">
        <v>400</v>
      </c>
      <c r="Q107" s="119">
        <f>P107*99.5</f>
        <v>39800</v>
      </c>
      <c r="R107" s="119">
        <f>N107+P107</f>
        <v>723</v>
      </c>
      <c r="S107" s="119">
        <f>O107+Q107</f>
        <v>72132.3</v>
      </c>
      <c r="T107" s="109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6"/>
      <c r="Q108" s="117"/>
      <c r="R108" s="116"/>
      <c r="S108" s="117"/>
      <c r="T108" s="53"/>
    </row>
    <row r="109" spans="2:20" x14ac:dyDescent="0.2">
      <c r="B109" s="279" t="s">
        <v>155</v>
      </c>
      <c r="C109" s="279"/>
      <c r="D109" s="279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8" t="e">
        <f>N103+N107</f>
        <v>#REF!</v>
      </c>
      <c r="O109" s="118" t="e">
        <f>O103+O107</f>
        <v>#REF!</v>
      </c>
      <c r="P109" s="118" t="e">
        <f t="shared" ref="P109:S109" si="14">P103+P107</f>
        <v>#REF!</v>
      </c>
      <c r="Q109" s="118" t="e">
        <f t="shared" si="14"/>
        <v>#REF!</v>
      </c>
      <c r="R109" s="118" t="e">
        <f t="shared" si="14"/>
        <v>#REF!</v>
      </c>
      <c r="S109" s="118" t="e">
        <f t="shared" si="14"/>
        <v>#REF!</v>
      </c>
      <c r="T109" s="96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84" t="s">
        <v>76</v>
      </c>
      <c r="C111" s="284"/>
      <c r="D111" s="284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77" t="s">
        <v>71</v>
      </c>
      <c r="Q111" s="278"/>
      <c r="R111" s="278"/>
      <c r="S111" s="278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79" t="s">
        <v>156</v>
      </c>
      <c r="C113" s="279"/>
      <c r="D113" s="279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0"/>
      <c r="Q114" s="65"/>
      <c r="R114" s="25"/>
      <c r="S114" s="25"/>
      <c r="T114" s="25"/>
    </row>
    <row r="115" spans="2:20" ht="12.75" customHeight="1" x14ac:dyDescent="0.2">
      <c r="B115" s="280" t="s">
        <v>160</v>
      </c>
      <c r="C115" s="281"/>
      <c r="D115" s="282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83" t="s">
        <v>168</v>
      </c>
      <c r="O115" s="25"/>
      <c r="P115" s="120"/>
      <c r="Q115" s="65"/>
      <c r="R115" s="25"/>
      <c r="S115" s="25"/>
      <c r="T115" s="25"/>
    </row>
    <row r="116" spans="2:20" x14ac:dyDescent="0.2">
      <c r="B116" s="280" t="s">
        <v>122</v>
      </c>
      <c r="C116" s="281"/>
      <c r="D116" s="282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83"/>
      <c r="O116" s="25"/>
      <c r="P116" s="76"/>
      <c r="Q116" s="76"/>
      <c r="R116" s="22"/>
      <c r="S116" s="22"/>
      <c r="T116" s="22"/>
    </row>
    <row r="117" spans="2:20" x14ac:dyDescent="0.2">
      <c r="B117" s="280" t="s">
        <v>123</v>
      </c>
      <c r="C117" s="281"/>
      <c r="D117" s="282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83"/>
      <c r="O117" s="25"/>
      <c r="P117" s="84"/>
      <c r="Q117" s="84"/>
      <c r="R117" s="22"/>
      <c r="S117" s="22"/>
      <c r="T117" s="22"/>
    </row>
    <row r="118" spans="2:20" x14ac:dyDescent="0.2">
      <c r="B118" s="274" t="s">
        <v>176</v>
      </c>
      <c r="C118" s="275"/>
      <c r="D118" s="276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6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N2:T2"/>
    <mergeCell ref="E4:M4"/>
    <mergeCell ref="N4:T4"/>
    <mergeCell ref="E6:F6"/>
    <mergeCell ref="N6:O6"/>
    <mergeCell ref="P6:Q6"/>
    <mergeCell ref="R6:S6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C92:D92"/>
    <mergeCell ref="M93:M102"/>
    <mergeCell ref="C103:D103"/>
    <mergeCell ref="B107:D107"/>
    <mergeCell ref="B109:D109"/>
    <mergeCell ref="B118:D118"/>
    <mergeCell ref="P111:S111"/>
    <mergeCell ref="B113:D113"/>
    <mergeCell ref="B115:D115"/>
    <mergeCell ref="M115:M117"/>
    <mergeCell ref="B116:D116"/>
    <mergeCell ref="B117:D117"/>
    <mergeCell ref="B111:D111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94" t="s">
        <v>121</v>
      </c>
      <c r="O2" s="295"/>
      <c r="P2" s="295"/>
      <c r="Q2" s="295"/>
      <c r="R2" s="295"/>
      <c r="S2" s="295"/>
      <c r="T2" s="296"/>
    </row>
    <row r="3" spans="1:20" x14ac:dyDescent="0.2">
      <c r="B3" s="173" t="s">
        <v>73</v>
      </c>
    </row>
    <row r="4" spans="1:20" x14ac:dyDescent="0.2">
      <c r="B4" s="173"/>
    </row>
    <row r="5" spans="1:20" x14ac:dyDescent="0.2">
      <c r="B5" s="170" t="s">
        <v>181</v>
      </c>
      <c r="E5" s="303" t="s">
        <v>182</v>
      </c>
      <c r="F5" s="304"/>
      <c r="G5" s="304"/>
      <c r="H5" s="304"/>
      <c r="I5" s="304"/>
      <c r="J5" s="304"/>
      <c r="K5" s="305"/>
      <c r="L5" s="171" t="s">
        <v>175</v>
      </c>
      <c r="M5" s="172"/>
      <c r="N5" s="297" t="s">
        <v>60</v>
      </c>
      <c r="O5" s="298"/>
      <c r="P5" s="298"/>
      <c r="Q5" s="298"/>
      <c r="R5" s="298"/>
      <c r="S5" s="298"/>
      <c r="T5" s="299"/>
    </row>
    <row r="6" spans="1:20" x14ac:dyDescent="0.2">
      <c r="H6" s="132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99" t="s">
        <v>8</v>
      </c>
      <c r="F7" s="300"/>
      <c r="G7" s="43" t="s">
        <v>4</v>
      </c>
      <c r="H7" s="18" t="s">
        <v>5</v>
      </c>
      <c r="I7" s="44" t="s">
        <v>6</v>
      </c>
      <c r="J7" s="19" t="s">
        <v>7</v>
      </c>
      <c r="K7" s="155" t="s">
        <v>51</v>
      </c>
      <c r="L7" s="156" t="s">
        <v>101</v>
      </c>
      <c r="M7" s="7" t="s">
        <v>100</v>
      </c>
      <c r="N7" s="301" t="s">
        <v>66</v>
      </c>
      <c r="O7" s="301"/>
      <c r="P7" s="302" t="s">
        <v>63</v>
      </c>
      <c r="Q7" s="302"/>
      <c r="R7" s="301" t="s">
        <v>51</v>
      </c>
      <c r="S7" s="301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1" t="s">
        <v>56</v>
      </c>
      <c r="N8" s="92" t="s">
        <v>64</v>
      </c>
      <c r="O8" s="107" t="s">
        <v>65</v>
      </c>
      <c r="P8" s="69" t="s">
        <v>64</v>
      </c>
      <c r="Q8" s="108" t="s">
        <v>65</v>
      </c>
      <c r="R8" s="69" t="s">
        <v>64</v>
      </c>
      <c r="S8" s="91" t="s">
        <v>65</v>
      </c>
      <c r="T8" s="115" t="s">
        <v>68</v>
      </c>
    </row>
    <row r="9" spans="1:20" ht="15" x14ac:dyDescent="0.25">
      <c r="A9" s="87">
        <v>1</v>
      </c>
      <c r="B9" s="289" t="s">
        <v>74</v>
      </c>
      <c r="C9" s="289"/>
      <c r="D9" s="289"/>
      <c r="E9" s="54"/>
      <c r="F9" s="55"/>
      <c r="G9" s="122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165">
        <f>SUM(E9:J9)</f>
        <v>420</v>
      </c>
      <c r="L9" s="27"/>
      <c r="M9" s="49" t="s">
        <v>50</v>
      </c>
      <c r="N9" s="95">
        <v>0</v>
      </c>
      <c r="O9" s="96"/>
      <c r="P9" s="112">
        <v>385</v>
      </c>
      <c r="Q9" s="111">
        <f>P9*80</f>
        <v>30800</v>
      </c>
      <c r="R9" s="111">
        <f>N9+P9</f>
        <v>385</v>
      </c>
      <c r="S9" s="111">
        <f>O9+Q9</f>
        <v>30800</v>
      </c>
      <c r="T9" s="99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4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4"/>
      <c r="O11" s="85"/>
      <c r="P11" s="105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57" t="s">
        <v>173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174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4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90" t="s">
        <v>75</v>
      </c>
      <c r="C16" s="291"/>
      <c r="D16" s="292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79" t="s">
        <v>30</v>
      </c>
      <c r="D17" s="279"/>
      <c r="E17" s="54"/>
      <c r="F17" s="55"/>
      <c r="G17" s="123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165">
        <f>SUM(E17:J17)</f>
        <v>980</v>
      </c>
      <c r="L17" s="27"/>
      <c r="M17" s="24" t="s">
        <v>50</v>
      </c>
      <c r="N17" s="96">
        <v>0</v>
      </c>
      <c r="O17" s="97"/>
      <c r="P17" s="96">
        <v>302</v>
      </c>
      <c r="Q17" s="112">
        <f>P17*80</f>
        <v>24160</v>
      </c>
      <c r="R17" s="97">
        <f>N17+P17</f>
        <v>302</v>
      </c>
      <c r="S17" s="111">
        <f>O17+Q17</f>
        <v>24160</v>
      </c>
      <c r="T17" s="96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166"/>
      <c r="L18" s="27"/>
      <c r="M18" s="130"/>
      <c r="N18" s="49"/>
      <c r="O18" s="25"/>
      <c r="P18" s="99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58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4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3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3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79" t="s">
        <v>31</v>
      </c>
      <c r="D36" s="279"/>
      <c r="E36" s="54"/>
      <c r="F36" s="55"/>
      <c r="G36" s="142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165">
        <f>SUM(E36:J36)</f>
        <v>140</v>
      </c>
      <c r="L36" s="27"/>
      <c r="M36" s="134" t="s">
        <v>48</v>
      </c>
      <c r="N36" s="102">
        <v>0</v>
      </c>
      <c r="O36" s="96"/>
      <c r="P36" s="103">
        <v>60</v>
      </c>
      <c r="Q36" s="112">
        <f>P36*80</f>
        <v>4800</v>
      </c>
      <c r="R36" s="96">
        <f>N36+P36</f>
        <v>60</v>
      </c>
      <c r="S36" s="111">
        <f>O36+Q36</f>
        <v>4800</v>
      </c>
      <c r="T36" s="101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4" t="s">
        <v>99</v>
      </c>
      <c r="N37" s="98"/>
      <c r="O37" s="99"/>
      <c r="P37" s="100"/>
      <c r="Q37" s="125"/>
      <c r="R37" s="100"/>
      <c r="S37" s="126"/>
      <c r="T37" s="99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4" t="s">
        <v>99</v>
      </c>
      <c r="N38" s="98"/>
      <c r="O38" s="99"/>
      <c r="P38" s="100"/>
      <c r="Q38" s="125"/>
      <c r="R38" s="100"/>
      <c r="S38" s="126"/>
      <c r="T38" s="99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166"/>
      <c r="L39" s="27"/>
      <c r="M39" s="134" t="s">
        <v>99</v>
      </c>
      <c r="N39" s="98"/>
      <c r="O39" s="99"/>
      <c r="P39" s="100"/>
      <c r="Q39" s="125"/>
      <c r="R39" s="100"/>
      <c r="S39" s="126"/>
      <c r="T39" s="99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53">
        <v>80</v>
      </c>
      <c r="H40" s="59"/>
      <c r="I40" s="62"/>
      <c r="J40" s="63"/>
      <c r="K40" s="166"/>
      <c r="L40" s="159"/>
      <c r="M40" s="135" t="s">
        <v>4</v>
      </c>
      <c r="N40" s="98"/>
      <c r="O40" s="99"/>
      <c r="P40" s="100"/>
      <c r="Q40" s="125"/>
      <c r="R40" s="100"/>
      <c r="S40" s="126"/>
      <c r="T40" s="99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166"/>
      <c r="L41" s="27"/>
      <c r="M41" s="134" t="s">
        <v>99</v>
      </c>
      <c r="N41" s="98"/>
      <c r="O41" s="99"/>
      <c r="P41" s="100"/>
      <c r="Q41" s="125"/>
      <c r="R41" s="100"/>
      <c r="S41" s="126"/>
      <c r="T41" s="99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166"/>
      <c r="L42" s="27"/>
      <c r="M42" s="134" t="s">
        <v>99</v>
      </c>
      <c r="N42" s="98"/>
      <c r="O42" s="99"/>
      <c r="P42" s="100"/>
      <c r="Q42" s="125"/>
      <c r="R42" s="100"/>
      <c r="S42" s="126"/>
      <c r="T42" s="99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4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4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79" t="s">
        <v>27</v>
      </c>
      <c r="D45" s="279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55">
        <f>SUM(E45:J45)</f>
        <v>650</v>
      </c>
      <c r="L45" s="27"/>
      <c r="M45" s="49" t="s">
        <v>52</v>
      </c>
      <c r="N45" s="98"/>
      <c r="O45" s="99"/>
      <c r="P45" s="100"/>
      <c r="Q45" s="99"/>
      <c r="R45" s="100"/>
      <c r="S45" s="99"/>
      <c r="T45" s="99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167"/>
      <c r="L46" s="27" t="s">
        <v>136</v>
      </c>
      <c r="M46" s="134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168"/>
      <c r="L47" s="27"/>
      <c r="M47" s="135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168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168"/>
      <c r="L49" s="27"/>
      <c r="M49" s="134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79" t="s">
        <v>32</v>
      </c>
      <c r="D50" s="279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55">
        <f>SUM(E50:J50)</f>
        <v>170</v>
      </c>
      <c r="L50" s="27"/>
      <c r="M50" s="49" t="s">
        <v>5</v>
      </c>
      <c r="N50" s="95">
        <v>0</v>
      </c>
      <c r="O50" s="96"/>
      <c r="P50" s="97">
        <v>0</v>
      </c>
      <c r="Q50" s="96"/>
      <c r="R50" s="96">
        <f>N50+P50</f>
        <v>0</v>
      </c>
      <c r="S50" s="111"/>
      <c r="T50" s="96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168"/>
      <c r="L51" s="137" t="s">
        <v>128</v>
      </c>
      <c r="M51" s="135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168"/>
      <c r="L52" s="137" t="s">
        <v>128</v>
      </c>
      <c r="M52" s="135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168"/>
      <c r="L53" s="137" t="s">
        <v>128</v>
      </c>
      <c r="M53" s="135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168"/>
      <c r="L54" s="157" t="s">
        <v>125</v>
      </c>
      <c r="M54" s="135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79" t="s">
        <v>33</v>
      </c>
      <c r="D55" s="279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55">
        <f>SUM(E55:J55)</f>
        <v>680</v>
      </c>
      <c r="L55" s="27"/>
      <c r="M55" s="49" t="s">
        <v>127</v>
      </c>
      <c r="N55" s="95">
        <v>0</v>
      </c>
      <c r="O55" s="96"/>
      <c r="P55" s="97">
        <v>0</v>
      </c>
      <c r="Q55" s="96"/>
      <c r="R55" s="96">
        <f>N55+P55</f>
        <v>0</v>
      </c>
      <c r="S55" s="111"/>
      <c r="T55" s="96"/>
    </row>
    <row r="56" spans="1:20" x14ac:dyDescent="0.2">
      <c r="A56" s="90"/>
      <c r="B56" s="24"/>
      <c r="C56" s="80"/>
      <c r="D56" s="127" t="s">
        <v>57</v>
      </c>
      <c r="E56" s="58"/>
      <c r="F56" s="59"/>
      <c r="G56" s="60"/>
      <c r="H56" s="77">
        <v>200</v>
      </c>
      <c r="I56" s="74"/>
      <c r="J56" s="75"/>
      <c r="K56" s="167"/>
      <c r="L56" s="157" t="s">
        <v>137</v>
      </c>
      <c r="M56" s="129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168"/>
      <c r="L57" s="27" t="s">
        <v>141</v>
      </c>
      <c r="M57" s="129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168"/>
      <c r="L58" s="157" t="s">
        <v>142</v>
      </c>
      <c r="M58" s="129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168"/>
      <c r="L59" s="27" t="s">
        <v>163</v>
      </c>
      <c r="M59" s="12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168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168"/>
      <c r="L61" s="158"/>
      <c r="M61" s="129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93" t="s">
        <v>38</v>
      </c>
      <c r="D62" s="293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55">
        <f>SUM(E62:J62)</f>
        <v>1750</v>
      </c>
      <c r="L62" s="27" t="s">
        <v>157</v>
      </c>
      <c r="M62" s="49" t="s">
        <v>147</v>
      </c>
      <c r="N62" s="95">
        <v>272</v>
      </c>
      <c r="O62" s="111">
        <f t="shared" ref="O62" si="4">N62*100.1</f>
        <v>27227.199999999997</v>
      </c>
      <c r="P62" s="111">
        <f>SUM(P63:P72)</f>
        <v>1040</v>
      </c>
      <c r="Q62" s="112">
        <f>P62*80</f>
        <v>83200</v>
      </c>
      <c r="R62" s="96">
        <f>N62+P62</f>
        <v>1312</v>
      </c>
      <c r="S62" s="111">
        <f>O62+Q62</f>
        <v>110427.2</v>
      </c>
      <c r="T62" s="110" t="s">
        <v>69</v>
      </c>
    </row>
    <row r="63" spans="1:20" x14ac:dyDescent="0.2">
      <c r="A63" s="90"/>
      <c r="B63" s="24"/>
      <c r="C63" s="80"/>
      <c r="D63" s="127" t="s">
        <v>57</v>
      </c>
      <c r="E63" s="58"/>
      <c r="F63" s="59"/>
      <c r="G63" s="138">
        <v>380</v>
      </c>
      <c r="H63" s="61"/>
      <c r="I63" s="60"/>
      <c r="J63" s="75"/>
      <c r="K63" s="167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7" t="s">
        <v>39</v>
      </c>
      <c r="E64" s="58"/>
      <c r="F64" s="59"/>
      <c r="G64" s="138">
        <v>290</v>
      </c>
      <c r="H64" s="61"/>
      <c r="I64" s="60"/>
      <c r="J64" s="75"/>
      <c r="K64" s="167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7" t="s">
        <v>105</v>
      </c>
      <c r="E65" s="58"/>
      <c r="F65" s="59"/>
      <c r="G65" s="138">
        <v>10</v>
      </c>
      <c r="H65" s="61"/>
      <c r="I65" s="60"/>
      <c r="J65" s="75"/>
      <c r="K65" s="167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7" t="s">
        <v>41</v>
      </c>
      <c r="E66" s="58"/>
      <c r="F66" s="59"/>
      <c r="G66" s="138">
        <v>100</v>
      </c>
      <c r="H66" s="61"/>
      <c r="I66" s="60"/>
      <c r="J66" s="75"/>
      <c r="K66" s="167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7" t="s">
        <v>108</v>
      </c>
      <c r="E67" s="58"/>
      <c r="F67" s="59"/>
      <c r="G67" s="138">
        <v>100</v>
      </c>
      <c r="H67" s="61"/>
      <c r="I67" s="60"/>
      <c r="J67" s="141">
        <v>400</v>
      </c>
      <c r="K67" s="167"/>
      <c r="L67" s="27"/>
      <c r="M67" s="129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38">
        <v>70</v>
      </c>
      <c r="H68" s="61"/>
      <c r="I68" s="60"/>
      <c r="J68" s="48"/>
      <c r="K68" s="168"/>
      <c r="L68" s="27" t="s">
        <v>149</v>
      </c>
      <c r="M68" s="128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39">
        <v>120</v>
      </c>
      <c r="H69" s="61"/>
      <c r="I69" s="60"/>
      <c r="J69" s="48"/>
      <c r="K69" s="168"/>
      <c r="L69" s="27"/>
      <c r="M69" s="128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39">
        <v>40</v>
      </c>
      <c r="H70" s="61"/>
      <c r="I70" s="60"/>
      <c r="J70" s="48"/>
      <c r="K70" s="168"/>
      <c r="L70" s="27"/>
      <c r="M70" s="128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39">
        <v>90</v>
      </c>
      <c r="H71" s="61"/>
      <c r="I71" s="60"/>
      <c r="J71" s="48"/>
      <c r="K71" s="168"/>
      <c r="L71" s="27"/>
      <c r="M71" s="128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168"/>
      <c r="L72" s="27" t="s">
        <v>158</v>
      </c>
      <c r="M72" s="128" t="s">
        <v>5</v>
      </c>
      <c r="N72" s="24"/>
      <c r="O72" s="49"/>
      <c r="P72" s="106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79" t="s">
        <v>42</v>
      </c>
      <c r="D73" s="279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55">
        <f>SUM(E73:J73)</f>
        <v>160</v>
      </c>
      <c r="L73" s="27"/>
      <c r="M73" s="52" t="s">
        <v>5</v>
      </c>
      <c r="N73" s="95">
        <v>0</v>
      </c>
      <c r="O73" s="96"/>
      <c r="P73" s="97">
        <v>0</v>
      </c>
      <c r="Q73" s="96"/>
      <c r="R73" s="96">
        <f>N73+P73</f>
        <v>0</v>
      </c>
      <c r="S73" s="111"/>
      <c r="T73" s="96"/>
    </row>
    <row r="74" spans="1:20" x14ac:dyDescent="0.2">
      <c r="A74" s="90"/>
      <c r="B74" s="24"/>
      <c r="C74" s="73"/>
      <c r="D74" s="127" t="s">
        <v>57</v>
      </c>
      <c r="E74" s="58"/>
      <c r="F74" s="59"/>
      <c r="G74" s="60"/>
      <c r="H74" s="77">
        <v>80</v>
      </c>
      <c r="I74" s="74"/>
      <c r="J74" s="75"/>
      <c r="K74" s="167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7" t="s">
        <v>34</v>
      </c>
      <c r="E75" s="58"/>
      <c r="F75" s="59"/>
      <c r="G75" s="60"/>
      <c r="H75" s="77">
        <v>60</v>
      </c>
      <c r="I75" s="74"/>
      <c r="J75" s="75"/>
      <c r="K75" s="167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168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168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79" t="s">
        <v>43</v>
      </c>
      <c r="D78" s="279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55">
        <f>SUM(E78:J78)</f>
        <v>660</v>
      </c>
      <c r="L78" s="27"/>
      <c r="M78" s="49" t="s">
        <v>4</v>
      </c>
      <c r="N78" s="95">
        <v>0</v>
      </c>
      <c r="O78" s="96"/>
      <c r="P78" s="97">
        <v>310</v>
      </c>
      <c r="Q78" s="112">
        <f>P78*80</f>
        <v>24800</v>
      </c>
      <c r="R78" s="96">
        <f>N78+P78</f>
        <v>310</v>
      </c>
      <c r="S78" s="111">
        <f>O78+Q78</f>
        <v>24800</v>
      </c>
      <c r="T78" s="96"/>
    </row>
    <row r="79" spans="1:20" x14ac:dyDescent="0.2">
      <c r="A79" s="90"/>
      <c r="B79" s="24"/>
      <c r="C79" s="73"/>
      <c r="D79" s="127" t="s">
        <v>57</v>
      </c>
      <c r="E79" s="58"/>
      <c r="F79" s="59"/>
      <c r="G79" s="138">
        <v>320</v>
      </c>
      <c r="H79" s="61"/>
      <c r="I79" s="74"/>
      <c r="J79" s="75"/>
      <c r="K79" s="167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52">
        <v>230</v>
      </c>
      <c r="H80" s="61"/>
      <c r="I80" s="74"/>
      <c r="J80" s="75"/>
      <c r="K80" s="167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39">
        <v>110</v>
      </c>
      <c r="H81" s="61"/>
      <c r="I81" s="60"/>
      <c r="J81" s="61"/>
      <c r="K81" s="168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39">
        <v>0</v>
      </c>
      <c r="H82" s="61"/>
      <c r="I82" s="60"/>
      <c r="J82" s="61"/>
      <c r="K82" s="168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79" t="s">
        <v>44</v>
      </c>
      <c r="D83" s="279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55">
        <f>SUM(E83:J83)</f>
        <v>400</v>
      </c>
      <c r="L83" s="27"/>
      <c r="M83" s="49" t="s">
        <v>4</v>
      </c>
      <c r="N83" s="95">
        <v>0</v>
      </c>
      <c r="O83" s="96"/>
      <c r="P83" s="97">
        <v>160</v>
      </c>
      <c r="Q83" s="112">
        <f>P83*80</f>
        <v>12800</v>
      </c>
      <c r="R83" s="96">
        <f>N83+P83</f>
        <v>160</v>
      </c>
      <c r="S83" s="111">
        <f>O83+Q83</f>
        <v>12800</v>
      </c>
      <c r="T83" s="96"/>
    </row>
    <row r="84" spans="1:20" x14ac:dyDescent="0.2">
      <c r="A84" s="90"/>
      <c r="B84" s="24"/>
      <c r="C84" s="73"/>
      <c r="D84" s="127" t="s">
        <v>57</v>
      </c>
      <c r="E84" s="58"/>
      <c r="F84" s="59"/>
      <c r="G84" s="138">
        <v>210</v>
      </c>
      <c r="H84" s="61"/>
      <c r="I84" s="74"/>
      <c r="J84" s="75"/>
      <c r="K84" s="167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52">
        <v>120</v>
      </c>
      <c r="H85" s="61"/>
      <c r="I85" s="74"/>
      <c r="J85" s="75"/>
      <c r="K85" s="167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39">
        <v>70</v>
      </c>
      <c r="H86" s="61"/>
      <c r="I86" s="60"/>
      <c r="J86" s="61"/>
      <c r="K86" s="168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39">
        <v>0</v>
      </c>
      <c r="H87" s="61"/>
      <c r="I87" s="60"/>
      <c r="J87" s="61"/>
      <c r="K87" s="168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79" t="s">
        <v>45</v>
      </c>
      <c r="D88" s="279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55">
        <f>SUM(E88:J88)</f>
        <v>130</v>
      </c>
      <c r="L88" s="27"/>
      <c r="M88" s="49" t="s">
        <v>5</v>
      </c>
      <c r="N88" s="95">
        <v>0</v>
      </c>
      <c r="O88" s="96"/>
      <c r="P88" s="97">
        <v>0</v>
      </c>
      <c r="Q88" s="96"/>
      <c r="R88" s="96">
        <f>N88+P88</f>
        <v>0</v>
      </c>
      <c r="S88" s="111"/>
      <c r="T88" s="96"/>
    </row>
    <row r="89" spans="1:20" x14ac:dyDescent="0.2">
      <c r="A89" s="90"/>
      <c r="B89" s="24"/>
      <c r="C89" s="73"/>
      <c r="D89" s="127" t="s">
        <v>57</v>
      </c>
      <c r="E89" s="58"/>
      <c r="F89" s="59"/>
      <c r="G89" s="60"/>
      <c r="H89" s="151">
        <v>50</v>
      </c>
      <c r="I89" s="74"/>
      <c r="J89" s="75"/>
      <c r="K89" s="167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167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168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168"/>
      <c r="L92" s="158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79" t="s">
        <v>46</v>
      </c>
      <c r="D93" s="279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55">
        <f>SUM(E93:J93)</f>
        <v>60</v>
      </c>
      <c r="L93" s="160"/>
      <c r="M93" s="49" t="s">
        <v>124</v>
      </c>
      <c r="N93" s="95">
        <v>0</v>
      </c>
      <c r="O93" s="96"/>
      <c r="P93" s="97">
        <v>40</v>
      </c>
      <c r="Q93" s="112">
        <f>P93*80</f>
        <v>3200</v>
      </c>
      <c r="R93" s="96">
        <f>N93+P93</f>
        <v>40</v>
      </c>
      <c r="S93" s="111">
        <f>O93+Q93</f>
        <v>3200</v>
      </c>
      <c r="T93" s="96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38">
        <v>30</v>
      </c>
      <c r="H94" s="77">
        <v>30</v>
      </c>
      <c r="I94" s="60"/>
      <c r="J94" s="61"/>
      <c r="K94" s="168"/>
      <c r="L94" s="161" t="s">
        <v>152</v>
      </c>
      <c r="M94" s="285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168"/>
      <c r="L95" s="162"/>
      <c r="M95" s="286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168"/>
      <c r="L96" s="162"/>
      <c r="M96" s="286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168"/>
      <c r="L97" s="162"/>
      <c r="M97" s="286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168"/>
      <c r="L98" s="162"/>
      <c r="M98" s="286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168"/>
      <c r="L99" s="162"/>
      <c r="M99" s="286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168"/>
      <c r="L100" s="162"/>
      <c r="M100" s="286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168"/>
      <c r="L101" s="162"/>
      <c r="M101" s="286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168"/>
      <c r="L102" s="162"/>
      <c r="M102" s="286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168"/>
      <c r="L103" s="162"/>
      <c r="M103" s="287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88" t="s">
        <v>53</v>
      </c>
      <c r="D104" s="288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169">
        <f t="shared" si="10"/>
        <v>6200</v>
      </c>
      <c r="L104" s="36"/>
      <c r="M104" s="36"/>
      <c r="N104" s="113" t="e">
        <f>#REF!+N9+N17+N36+N45+N50+N55+N62+N73+N78+N83+N88+N93</f>
        <v>#REF!</v>
      </c>
      <c r="O104" s="113" t="e">
        <f>#REF!+O9+O17+O36+O45+O50+O55+O62+O73+O78+O83+O88+O93</f>
        <v>#REF!</v>
      </c>
      <c r="P104" s="113" t="e">
        <f>#REF!+P9+P17+P36+P45+P50+P55+P62+P73+P78+P83+P88+P93</f>
        <v>#REF!</v>
      </c>
      <c r="Q104" s="113" t="e">
        <f>#REF!+Q9+Q17+Q36+Q45+Q50+Q55+Q62+Q73+Q78+Q83+Q88+Q93</f>
        <v>#REF!</v>
      </c>
      <c r="R104" s="113" t="e">
        <f>#REF!+R9+R17+R36+R45+R50+R55+R62+R73+R78+R83+R88+R93</f>
        <v>#REF!</v>
      </c>
      <c r="S104" s="113" t="e">
        <f>#REF!+S9+S17+S36+S45+S50+S55+S62+S73+S78+S83+S88+S93</f>
        <v>#REF!</v>
      </c>
      <c r="T104" s="96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169"/>
      <c r="L105" s="163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4"/>
      <c r="D106" s="145"/>
      <c r="E106" s="143"/>
      <c r="F106" s="143"/>
      <c r="G106" s="143">
        <f>0.05*G104</f>
        <v>166</v>
      </c>
      <c r="H106" s="143">
        <f t="shared" ref="H106:J106" si="11">0.05*H104</f>
        <v>123</v>
      </c>
      <c r="I106" s="143">
        <f t="shared" si="11"/>
        <v>0</v>
      </c>
      <c r="J106" s="143">
        <f t="shared" si="11"/>
        <v>21</v>
      </c>
      <c r="K106" s="169">
        <f>SUM(G106:J106)</f>
        <v>310</v>
      </c>
      <c r="L106" s="163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163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79" t="s">
        <v>153</v>
      </c>
      <c r="C108" s="279"/>
      <c r="D108" s="279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165">
        <f>SUM(E108:F108)</f>
        <v>620.00000000000011</v>
      </c>
      <c r="L108" s="163"/>
      <c r="M108" s="49" t="s">
        <v>55</v>
      </c>
      <c r="N108" s="114">
        <v>323</v>
      </c>
      <c r="O108" s="119">
        <f>N108*100.1</f>
        <v>32332.3</v>
      </c>
      <c r="P108" s="119">
        <v>400</v>
      </c>
      <c r="Q108" s="119">
        <f>P108*99.5</f>
        <v>39800</v>
      </c>
      <c r="R108" s="119">
        <f>N108+P108</f>
        <v>723</v>
      </c>
      <c r="S108" s="119">
        <f>O108+Q108</f>
        <v>72132.3</v>
      </c>
      <c r="T108" s="109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163"/>
      <c r="M109" s="24"/>
      <c r="N109" s="22"/>
      <c r="O109" s="22"/>
      <c r="P109" s="116"/>
      <c r="Q109" s="117"/>
      <c r="R109" s="116"/>
      <c r="S109" s="117"/>
      <c r="T109" s="53"/>
    </row>
    <row r="110" spans="2:20" x14ac:dyDescent="0.2">
      <c r="B110" s="279" t="s">
        <v>155</v>
      </c>
      <c r="C110" s="279"/>
      <c r="D110" s="279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165">
        <f>K104+K106+K108</f>
        <v>7130</v>
      </c>
      <c r="L110" s="164"/>
      <c r="M110" s="53"/>
      <c r="N110" s="118" t="e">
        <f>N104+N108</f>
        <v>#REF!</v>
      </c>
      <c r="O110" s="118" t="e">
        <f>O104+O108</f>
        <v>#REF!</v>
      </c>
      <c r="P110" s="118" t="e">
        <f t="shared" ref="P110:S110" si="14">P104+P108</f>
        <v>#REF!</v>
      </c>
      <c r="Q110" s="118" t="e">
        <f t="shared" si="14"/>
        <v>#REF!</v>
      </c>
      <c r="R110" s="118" t="e">
        <f t="shared" si="14"/>
        <v>#REF!</v>
      </c>
      <c r="S110" s="118" t="e">
        <f t="shared" si="14"/>
        <v>#REF!</v>
      </c>
      <c r="T110" s="96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84" t="s">
        <v>76</v>
      </c>
      <c r="C112" s="284"/>
      <c r="D112" s="284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77" t="s">
        <v>71</v>
      </c>
      <c r="Q112" s="278"/>
      <c r="R112" s="278"/>
      <c r="S112" s="278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79" t="s">
        <v>156</v>
      </c>
      <c r="C114" s="279"/>
      <c r="D114" s="279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0"/>
      <c r="Q115" s="65"/>
      <c r="R115" s="25"/>
      <c r="S115" s="25"/>
      <c r="T115" s="25"/>
    </row>
    <row r="116" spans="2:20" ht="12.75" customHeight="1" x14ac:dyDescent="0.2">
      <c r="B116" s="280" t="s">
        <v>160</v>
      </c>
      <c r="C116" s="281"/>
      <c r="D116" s="282"/>
      <c r="E116" s="174">
        <f>0.8*0.05*G116</f>
        <v>15948.920000000004</v>
      </c>
      <c r="F116" s="174">
        <f>0.2*0.05*G116</f>
        <v>3987.2300000000009</v>
      </c>
      <c r="G116" s="119">
        <v>398723</v>
      </c>
      <c r="H116" s="9"/>
      <c r="I116" s="9"/>
      <c r="J116" s="9"/>
      <c r="K116" s="9">
        <f>SUM(E116:J116)</f>
        <v>418659.15</v>
      </c>
      <c r="M116" s="283" t="s">
        <v>168</v>
      </c>
      <c r="O116" s="25"/>
      <c r="P116" s="120"/>
      <c r="Q116" s="65"/>
      <c r="R116" s="25"/>
      <c r="S116" s="25"/>
      <c r="T116" s="25"/>
    </row>
    <row r="117" spans="2:20" x14ac:dyDescent="0.2">
      <c r="B117" s="280" t="s">
        <v>122</v>
      </c>
      <c r="C117" s="281"/>
      <c r="D117" s="282"/>
      <c r="E117" s="174">
        <f>0.8*0.05*H117</f>
        <v>10152.960000000003</v>
      </c>
      <c r="F117" s="174">
        <f>0.2*0.05*H117</f>
        <v>2538.2400000000007</v>
      </c>
      <c r="G117" s="9"/>
      <c r="H117" s="119">
        <v>253824</v>
      </c>
      <c r="I117" s="9"/>
      <c r="J117" s="9"/>
      <c r="K117" s="9">
        <f t="shared" ref="K117:K118" si="16">SUM(E117:J117)</f>
        <v>266515.20000000001</v>
      </c>
      <c r="M117" s="283"/>
      <c r="O117" s="25"/>
      <c r="P117" s="76"/>
      <c r="Q117" s="76"/>
      <c r="R117" s="22"/>
      <c r="S117" s="22"/>
      <c r="T117" s="22"/>
    </row>
    <row r="118" spans="2:20" x14ac:dyDescent="0.2">
      <c r="B118" s="280" t="s">
        <v>123</v>
      </c>
      <c r="C118" s="281"/>
      <c r="D118" s="282"/>
      <c r="E118" s="174">
        <f>0.8*0.05*I118</f>
        <v>5895.3600000000015</v>
      </c>
      <c r="F118" s="174">
        <f>0.2*0.05*I118</f>
        <v>1473.8400000000004</v>
      </c>
      <c r="G118" s="9"/>
      <c r="H118" s="9"/>
      <c r="I118" s="119">
        <v>147384</v>
      </c>
      <c r="J118" s="9"/>
      <c r="K118" s="9">
        <f t="shared" si="16"/>
        <v>154753.20000000001</v>
      </c>
      <c r="M118" s="283"/>
      <c r="O118" s="25"/>
      <c r="P118" s="84"/>
      <c r="Q118" s="84"/>
      <c r="R118" s="22"/>
      <c r="S118" s="22"/>
      <c r="T118" s="22"/>
    </row>
    <row r="119" spans="2:20" x14ac:dyDescent="0.2">
      <c r="B119" s="274" t="s">
        <v>176</v>
      </c>
      <c r="C119" s="275"/>
      <c r="D119" s="276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6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9"/>
  <sheetViews>
    <sheetView tabSelected="1" topLeftCell="A13" zoomScale="115" zoomScaleNormal="115" zoomScaleSheetLayoutView="100" workbookViewId="0">
      <selection activeCell="D53" sqref="D53"/>
    </sheetView>
  </sheetViews>
  <sheetFormatPr baseColWidth="10" defaultRowHeight="12.75" x14ac:dyDescent="0.2"/>
  <cols>
    <col min="1" max="1" width="14.7109375" customWidth="1"/>
    <col min="2" max="2" width="9.5703125" customWidth="1"/>
    <col min="3" max="3" width="13.5703125" customWidth="1"/>
    <col min="4" max="4" width="13.42578125" customWidth="1"/>
    <col min="5" max="8" width="11.42578125" customWidth="1"/>
    <col min="9" max="10" width="13.42578125" customWidth="1"/>
    <col min="11" max="11" width="84.42578125" customWidth="1"/>
    <col min="13" max="13" width="12.28515625" bestFit="1" customWidth="1"/>
  </cols>
  <sheetData>
    <row r="1" spans="1:11" ht="38.25" x14ac:dyDescent="0.25">
      <c r="A1" s="1" t="s">
        <v>0</v>
      </c>
      <c r="B1" s="1"/>
      <c r="K1" s="208" t="s">
        <v>194</v>
      </c>
    </row>
    <row r="2" spans="1:11" ht="18" x14ac:dyDescent="0.25">
      <c r="A2" s="1" t="s">
        <v>207</v>
      </c>
      <c r="B2" s="2"/>
    </row>
    <row r="3" spans="1:11" x14ac:dyDescent="0.2">
      <c r="A3" t="s">
        <v>211</v>
      </c>
    </row>
    <row r="4" spans="1:11" x14ac:dyDescent="0.2">
      <c r="A4" t="s">
        <v>180</v>
      </c>
    </row>
    <row r="5" spans="1:11" x14ac:dyDescent="0.2">
      <c r="D5" t="s">
        <v>213</v>
      </c>
      <c r="F5" s="306" t="s">
        <v>231</v>
      </c>
      <c r="G5" s="306"/>
      <c r="H5" s="306"/>
    </row>
    <row r="6" spans="1:11" ht="48" x14ac:dyDescent="0.2">
      <c r="A6" s="197" t="s">
        <v>195</v>
      </c>
      <c r="B6" s="226" t="s">
        <v>196</v>
      </c>
      <c r="C6" s="207" t="s">
        <v>179</v>
      </c>
      <c r="D6" s="207" t="s">
        <v>212</v>
      </c>
      <c r="E6" s="257" t="s">
        <v>171</v>
      </c>
      <c r="F6" s="239" t="s">
        <v>230</v>
      </c>
      <c r="G6" s="239" t="s">
        <v>228</v>
      </c>
      <c r="H6" s="207" t="s">
        <v>214</v>
      </c>
      <c r="I6" s="217" t="s">
        <v>205</v>
      </c>
      <c r="J6" s="217" t="s">
        <v>229</v>
      </c>
      <c r="K6" s="199" t="s">
        <v>199</v>
      </c>
    </row>
    <row r="7" spans="1:11" ht="45" x14ac:dyDescent="0.2">
      <c r="A7" s="189" t="s">
        <v>170</v>
      </c>
      <c r="B7" s="175"/>
      <c r="C7" s="183">
        <f>1290265.75+123630</f>
        <v>1413895.75</v>
      </c>
      <c r="D7" s="182">
        <v>1376425</v>
      </c>
      <c r="E7" s="258">
        <f>C7-D7</f>
        <v>37470.75</v>
      </c>
      <c r="F7" s="200">
        <v>0</v>
      </c>
      <c r="G7" s="200">
        <f>1/3*F7</f>
        <v>0</v>
      </c>
      <c r="H7" s="220">
        <v>0</v>
      </c>
      <c r="I7" s="255">
        <f>D7+F7+G7+H7</f>
        <v>1376425</v>
      </c>
      <c r="J7" s="255">
        <f>I7-C7</f>
        <v>-37470.75</v>
      </c>
      <c r="K7" s="201" t="s">
        <v>187</v>
      </c>
    </row>
    <row r="8" spans="1:11" ht="67.5" x14ac:dyDescent="0.2">
      <c r="A8" s="308" t="s">
        <v>172</v>
      </c>
      <c r="B8" s="188" t="s">
        <v>172</v>
      </c>
      <c r="C8" s="183">
        <f>982355+147320</f>
        <v>1129675</v>
      </c>
      <c r="D8" s="182">
        <f>1443987.5</f>
        <v>1443987.5</v>
      </c>
      <c r="E8" s="258">
        <f>C8-D8</f>
        <v>-314312.5</v>
      </c>
      <c r="F8" s="200">
        <f>41801+2658</f>
        <v>44459</v>
      </c>
      <c r="G8" s="200">
        <f t="shared" ref="G8:G16" si="0">1/3*F8</f>
        <v>14819.666666666666</v>
      </c>
      <c r="H8" s="237">
        <f>15000</f>
        <v>15000</v>
      </c>
      <c r="I8" s="255">
        <f t="shared" ref="I8:I16" si="1">D8+F8+G8+H8</f>
        <v>1518266.1666666667</v>
      </c>
      <c r="J8" s="255">
        <f t="shared" ref="J8:J17" si="2">I8-C8</f>
        <v>388591.16666666674</v>
      </c>
      <c r="K8" s="202" t="s">
        <v>197</v>
      </c>
    </row>
    <row r="9" spans="1:11" x14ac:dyDescent="0.2">
      <c r="A9" s="308"/>
      <c r="B9" s="188" t="s">
        <v>189</v>
      </c>
      <c r="C9" s="183"/>
      <c r="D9" s="182">
        <v>91229</v>
      </c>
      <c r="E9" s="258">
        <f>C9-D9</f>
        <v>-91229</v>
      </c>
      <c r="F9" s="200">
        <v>0</v>
      </c>
      <c r="G9" s="200">
        <f t="shared" si="0"/>
        <v>0</v>
      </c>
      <c r="H9" s="220">
        <v>0</v>
      </c>
      <c r="I9" s="255">
        <f t="shared" si="1"/>
        <v>91229</v>
      </c>
      <c r="J9" s="255">
        <f t="shared" si="2"/>
        <v>91229</v>
      </c>
      <c r="K9" s="186" t="s">
        <v>192</v>
      </c>
    </row>
    <row r="10" spans="1:11" x14ac:dyDescent="0.2">
      <c r="A10" s="189" t="s">
        <v>183</v>
      </c>
      <c r="B10" s="175"/>
      <c r="C10" s="183">
        <v>136575</v>
      </c>
      <c r="D10" s="182">
        <v>84552.75</v>
      </c>
      <c r="E10" s="259">
        <f>C10-D10</f>
        <v>52022.25</v>
      </c>
      <c r="F10" s="180">
        <v>0</v>
      </c>
      <c r="G10" s="200">
        <f t="shared" si="0"/>
        <v>0</v>
      </c>
      <c r="H10" s="220">
        <v>0</v>
      </c>
      <c r="I10" s="255">
        <f t="shared" si="1"/>
        <v>84552.75</v>
      </c>
      <c r="J10" s="255">
        <f t="shared" si="2"/>
        <v>-52022.25</v>
      </c>
      <c r="K10" s="185"/>
    </row>
    <row r="11" spans="1:11" ht="45" x14ac:dyDescent="0.2">
      <c r="A11" s="189" t="s">
        <v>184</v>
      </c>
      <c r="B11" s="175"/>
      <c r="C11" s="183">
        <v>688725</v>
      </c>
      <c r="D11" s="184">
        <v>758871</v>
      </c>
      <c r="E11" s="258">
        <f>C11-D11</f>
        <v>-70146</v>
      </c>
      <c r="F11" s="200">
        <v>20643</v>
      </c>
      <c r="G11" s="200">
        <f t="shared" si="0"/>
        <v>6881</v>
      </c>
      <c r="H11" s="220">
        <v>35000</v>
      </c>
      <c r="I11" s="255">
        <f>D11+F11+G11+H11</f>
        <v>821395</v>
      </c>
      <c r="J11" s="255">
        <f>I11-C11</f>
        <v>132670</v>
      </c>
      <c r="K11" s="203" t="s">
        <v>198</v>
      </c>
    </row>
    <row r="12" spans="1:11" x14ac:dyDescent="0.2">
      <c r="A12" s="189" t="s">
        <v>190</v>
      </c>
      <c r="B12" s="175"/>
      <c r="C12" s="183"/>
      <c r="D12" s="184">
        <v>37902.5</v>
      </c>
      <c r="E12" s="258">
        <f t="shared" ref="E12:E14" si="3">C12-D12</f>
        <v>-37902.5</v>
      </c>
      <c r="F12" s="200">
        <v>2722</v>
      </c>
      <c r="G12" s="200">
        <f t="shared" si="0"/>
        <v>907.33333333333326</v>
      </c>
      <c r="H12" s="220">
        <v>5000</v>
      </c>
      <c r="I12" s="255">
        <f t="shared" si="1"/>
        <v>46531.833333333336</v>
      </c>
      <c r="J12" s="255">
        <f t="shared" si="2"/>
        <v>46531.833333333336</v>
      </c>
      <c r="K12" s="186" t="s">
        <v>188</v>
      </c>
    </row>
    <row r="13" spans="1:11" x14ac:dyDescent="0.2">
      <c r="A13" s="189" t="s">
        <v>191</v>
      </c>
      <c r="B13" s="175"/>
      <c r="C13" s="183"/>
      <c r="D13" s="184">
        <v>38615.75</v>
      </c>
      <c r="E13" s="258">
        <f t="shared" si="3"/>
        <v>-38615.75</v>
      </c>
      <c r="F13" s="200">
        <v>3042</v>
      </c>
      <c r="G13" s="200">
        <f t="shared" si="0"/>
        <v>1014</v>
      </c>
      <c r="H13" s="220">
        <v>5000</v>
      </c>
      <c r="I13" s="255">
        <f t="shared" si="1"/>
        <v>47671.75</v>
      </c>
      <c r="J13" s="255">
        <f t="shared" si="2"/>
        <v>47671.75</v>
      </c>
      <c r="K13" s="186" t="s">
        <v>204</v>
      </c>
    </row>
    <row r="14" spans="1:11" ht="12.75" customHeight="1" x14ac:dyDescent="0.2">
      <c r="A14" s="189" t="s">
        <v>177</v>
      </c>
      <c r="B14" s="175"/>
      <c r="C14" s="177">
        <v>92075</v>
      </c>
      <c r="D14" s="177">
        <v>0</v>
      </c>
      <c r="E14" s="258">
        <f t="shared" si="3"/>
        <v>92075</v>
      </c>
      <c r="F14" s="200"/>
      <c r="G14" s="200">
        <f t="shared" si="0"/>
        <v>0</v>
      </c>
      <c r="H14" s="220">
        <v>92075</v>
      </c>
      <c r="I14" s="255">
        <f t="shared" si="1"/>
        <v>92075</v>
      </c>
      <c r="J14" s="255">
        <f t="shared" si="2"/>
        <v>0</v>
      </c>
      <c r="K14" s="187"/>
    </row>
    <row r="15" spans="1:11" ht="12.75" customHeight="1" x14ac:dyDescent="0.2">
      <c r="A15" s="204" t="s">
        <v>185</v>
      </c>
      <c r="B15" s="205"/>
      <c r="C15" s="177">
        <v>20682.809999999998</v>
      </c>
      <c r="D15" s="177">
        <v>0</v>
      </c>
      <c r="E15" s="259">
        <f>C15-D15</f>
        <v>20682.809999999998</v>
      </c>
      <c r="F15" s="180"/>
      <c r="G15" s="200">
        <f t="shared" si="0"/>
        <v>0</v>
      </c>
      <c r="H15" s="220">
        <v>0</v>
      </c>
      <c r="I15" s="255">
        <f t="shared" si="1"/>
        <v>0</v>
      </c>
      <c r="J15" s="255">
        <f t="shared" si="2"/>
        <v>-20682.809999999998</v>
      </c>
      <c r="K15" s="187"/>
    </row>
    <row r="16" spans="1:11" ht="12.75" customHeight="1" x14ac:dyDescent="0.2">
      <c r="A16" s="204" t="s">
        <v>186</v>
      </c>
      <c r="B16" s="205"/>
      <c r="C16" s="177">
        <v>371784.94</v>
      </c>
      <c r="D16" s="179">
        <v>0</v>
      </c>
      <c r="E16" s="259">
        <f>C16-D16</f>
        <v>371784.94</v>
      </c>
      <c r="F16" s="180"/>
      <c r="G16" s="200">
        <f t="shared" si="0"/>
        <v>0</v>
      </c>
      <c r="H16" s="220">
        <v>0</v>
      </c>
      <c r="I16" s="255">
        <f t="shared" si="1"/>
        <v>0</v>
      </c>
      <c r="J16" s="255">
        <f t="shared" si="2"/>
        <v>-371784.94</v>
      </c>
      <c r="K16" s="187"/>
    </row>
    <row r="17" spans="1:11" s="154" customFormat="1" x14ac:dyDescent="0.2">
      <c r="A17" s="204" t="s">
        <v>178</v>
      </c>
      <c r="B17" s="205"/>
      <c r="C17" s="177">
        <v>69640.600000000006</v>
      </c>
      <c r="D17" s="178">
        <v>11534</v>
      </c>
      <c r="E17" s="259">
        <f>C17-D17</f>
        <v>58106.600000000006</v>
      </c>
      <c r="F17" s="180"/>
      <c r="G17" s="200">
        <v>8000</v>
      </c>
      <c r="H17" s="220">
        <v>25000</v>
      </c>
      <c r="I17" s="255">
        <f>D17+F17+G17+H17</f>
        <v>44534</v>
      </c>
      <c r="J17" s="255">
        <f t="shared" si="2"/>
        <v>-25106.600000000006</v>
      </c>
      <c r="K17" s="187"/>
    </row>
    <row r="18" spans="1:11" s="176" customFormat="1" x14ac:dyDescent="0.2">
      <c r="A18" s="190"/>
      <c r="B18" s="191"/>
      <c r="C18" s="192"/>
      <c r="D18" s="193"/>
      <c r="E18" s="194"/>
      <c r="F18" s="194"/>
      <c r="G18" s="194"/>
      <c r="H18" s="195"/>
      <c r="I18" s="195"/>
      <c r="J18" s="195"/>
      <c r="K18" s="196"/>
    </row>
    <row r="19" spans="1:11" x14ac:dyDescent="0.2">
      <c r="A19" s="206" t="s">
        <v>51</v>
      </c>
      <c r="B19" s="19"/>
      <c r="C19" s="209">
        <f>SUM(C7:C17)</f>
        <v>3923054.1</v>
      </c>
      <c r="D19" s="198">
        <f t="shared" ref="D19:G19" si="4">SUM(D7:D17)</f>
        <v>3843117.5</v>
      </c>
      <c r="E19" s="223">
        <f t="shared" si="4"/>
        <v>79936.600000000006</v>
      </c>
      <c r="F19" s="260">
        <f t="shared" si="4"/>
        <v>70866</v>
      </c>
      <c r="G19" s="260">
        <f t="shared" si="4"/>
        <v>31621.999999999996</v>
      </c>
      <c r="H19" s="261">
        <f>SUM(H7:H17)</f>
        <v>177075</v>
      </c>
      <c r="I19" s="209">
        <f>D19+F19+G19+H19</f>
        <v>4122680.5</v>
      </c>
      <c r="J19" s="209">
        <f>SUM(J7:J17)</f>
        <v>199626.40000000017</v>
      </c>
      <c r="K19" s="218"/>
    </row>
    <row r="20" spans="1:11" x14ac:dyDescent="0.2">
      <c r="C20" s="221"/>
      <c r="D20" s="224" t="s">
        <v>200</v>
      </c>
      <c r="E20" s="219"/>
      <c r="F20" s="219"/>
      <c r="G20" s="219"/>
      <c r="H20" s="225" t="s">
        <v>208</v>
      </c>
      <c r="I20" s="222"/>
      <c r="J20" s="222"/>
    </row>
    <row r="21" spans="1:11" x14ac:dyDescent="0.2">
      <c r="C21" s="307">
        <f>C19-I19</f>
        <v>-199626.39999999991</v>
      </c>
      <c r="D21" s="307"/>
      <c r="E21" s="307"/>
      <c r="F21" s="307"/>
      <c r="G21" s="307"/>
      <c r="H21" s="307"/>
      <c r="I21" s="307"/>
      <c r="J21" s="235"/>
      <c r="K21">
        <f>I19/C19*100</f>
        <v>105.0885456817942</v>
      </c>
    </row>
    <row r="22" spans="1:11" x14ac:dyDescent="0.2">
      <c r="F22" s="256">
        <f>J19/C19</f>
        <v>5.088545681794196E-2</v>
      </c>
    </row>
    <row r="23" spans="1:11" x14ac:dyDescent="0.2">
      <c r="H23" t="s">
        <v>206</v>
      </c>
    </row>
    <row r="24" spans="1:11" x14ac:dyDescent="0.2">
      <c r="A24" t="s">
        <v>193</v>
      </c>
      <c r="D24" s="181">
        <f>SUM(D7,D8,D9,D10,D11,D12,D13+D17)</f>
        <v>3843117.5</v>
      </c>
      <c r="H24">
        <v>1.1000000000000001</v>
      </c>
    </row>
    <row r="26" spans="1:11" x14ac:dyDescent="0.2">
      <c r="A26" s="212"/>
      <c r="B26" s="212" t="s">
        <v>5</v>
      </c>
      <c r="C26" s="212" t="s">
        <v>4</v>
      </c>
      <c r="D26" s="212" t="s">
        <v>6</v>
      </c>
      <c r="E26" s="212" t="s">
        <v>7</v>
      </c>
      <c r="F26" s="212"/>
      <c r="G26" s="212"/>
      <c r="H26" s="212" t="s">
        <v>203</v>
      </c>
    </row>
    <row r="27" spans="1:11" x14ac:dyDescent="0.2">
      <c r="A27" s="214" t="s">
        <v>172</v>
      </c>
      <c r="B27" s="210">
        <v>3632.5</v>
      </c>
      <c r="C27" s="210">
        <v>2725.5</v>
      </c>
      <c r="D27" s="210">
        <v>0</v>
      </c>
      <c r="E27" s="210">
        <v>0</v>
      </c>
      <c r="F27" s="210"/>
      <c r="G27" s="210"/>
      <c r="H27" s="213">
        <f>SUM(B27:E27)</f>
        <v>6358</v>
      </c>
    </row>
    <row r="28" spans="1:11" x14ac:dyDescent="0.2">
      <c r="A28" s="215" t="s">
        <v>201</v>
      </c>
      <c r="B28" s="211"/>
      <c r="C28" s="211">
        <v>5222.75</v>
      </c>
      <c r="D28" s="211">
        <v>183</v>
      </c>
      <c r="E28" s="211">
        <v>1682</v>
      </c>
      <c r="F28" s="211"/>
      <c r="G28" s="211"/>
      <c r="H28" s="213">
        <f>SUM(B28:E28)</f>
        <v>7087.75</v>
      </c>
    </row>
    <row r="29" spans="1:11" x14ac:dyDescent="0.2">
      <c r="A29" s="215" t="s">
        <v>202</v>
      </c>
      <c r="B29" s="211">
        <v>142.5</v>
      </c>
      <c r="C29" s="211"/>
      <c r="D29" s="211"/>
      <c r="E29" s="211"/>
      <c r="F29" s="211"/>
      <c r="G29" s="211"/>
      <c r="H29" s="213">
        <f>SUM(B29:E29)</f>
        <v>142.5</v>
      </c>
    </row>
    <row r="30" spans="1:11" x14ac:dyDescent="0.2">
      <c r="A30" s="215" t="s">
        <v>189</v>
      </c>
      <c r="B30" s="211"/>
      <c r="C30" s="211"/>
      <c r="D30" s="211">
        <v>122</v>
      </c>
      <c r="E30" s="211"/>
      <c r="F30" s="211"/>
      <c r="G30" s="211"/>
      <c r="H30" s="213">
        <f>SUM(B30:E30)</f>
        <v>122</v>
      </c>
    </row>
    <row r="31" spans="1:11" x14ac:dyDescent="0.2">
      <c r="A31" s="215" t="s">
        <v>178</v>
      </c>
      <c r="B31" s="211"/>
      <c r="C31" s="211">
        <v>1504.28</v>
      </c>
      <c r="D31" s="211"/>
      <c r="E31" s="211"/>
      <c r="F31" s="211"/>
      <c r="G31" s="211"/>
      <c r="H31" s="213">
        <f>SUM(B31:E31)</f>
        <v>1504.28</v>
      </c>
    </row>
    <row r="32" spans="1:11" x14ac:dyDescent="0.2">
      <c r="H32" s="216">
        <f>SUM(H27:H31)</f>
        <v>15214.53</v>
      </c>
    </row>
    <row r="34" spans="1:10" x14ac:dyDescent="0.2">
      <c r="A34" s="234" t="s">
        <v>238</v>
      </c>
      <c r="B34" s="227"/>
      <c r="C34" s="227"/>
      <c r="D34" s="234" t="s">
        <v>210</v>
      </c>
      <c r="E34" s="234" t="s">
        <v>178</v>
      </c>
      <c r="F34" s="234"/>
      <c r="G34" s="234"/>
    </row>
    <row r="35" spans="1:10" x14ac:dyDescent="0.2">
      <c r="A35" s="233"/>
      <c r="B35" s="233"/>
      <c r="C35" s="233"/>
      <c r="D35" s="233" t="s">
        <v>209</v>
      </c>
      <c r="E35" s="233" t="s">
        <v>209</v>
      </c>
      <c r="F35" s="231"/>
      <c r="G35" s="231"/>
      <c r="J35" s="262">
        <v>44958</v>
      </c>
    </row>
    <row r="36" spans="1:10" x14ac:dyDescent="0.2">
      <c r="A36" s="228">
        <v>44834</v>
      </c>
      <c r="B36" s="227"/>
      <c r="C36" s="227"/>
      <c r="D36" s="229">
        <v>3713991.5</v>
      </c>
      <c r="E36" s="229">
        <v>6357.71</v>
      </c>
      <c r="F36" s="229"/>
      <c r="G36" s="229"/>
      <c r="I36" t="s">
        <v>4</v>
      </c>
      <c r="J36" s="263">
        <v>24324</v>
      </c>
    </row>
    <row r="37" spans="1:10" x14ac:dyDescent="0.2">
      <c r="A37" s="228">
        <v>44865</v>
      </c>
      <c r="B37" s="227"/>
      <c r="C37" s="227"/>
      <c r="D37" s="229">
        <v>17152.45</v>
      </c>
      <c r="E37" s="229">
        <v>2015.18</v>
      </c>
      <c r="F37" s="229"/>
      <c r="G37" s="229"/>
      <c r="I37" t="s">
        <v>232</v>
      </c>
      <c r="J37" s="263">
        <v>2658</v>
      </c>
    </row>
    <row r="38" spans="1:10" x14ac:dyDescent="0.2">
      <c r="A38" s="228">
        <v>44895</v>
      </c>
      <c r="B38" s="227"/>
      <c r="C38" s="227"/>
      <c r="D38" s="229">
        <v>18264.5</v>
      </c>
      <c r="E38" s="229"/>
      <c r="F38" s="229"/>
      <c r="G38" s="229"/>
      <c r="J38" s="263">
        <v>6314</v>
      </c>
    </row>
    <row r="39" spans="1:10" x14ac:dyDescent="0.2">
      <c r="A39" s="228">
        <v>44926</v>
      </c>
      <c r="B39" s="227"/>
      <c r="C39" s="227"/>
      <c r="D39" s="229">
        <v>15903.74</v>
      </c>
      <c r="E39" s="229">
        <v>115.74</v>
      </c>
      <c r="F39" s="229"/>
      <c r="G39" s="229"/>
      <c r="J39" s="263">
        <v>3042.25</v>
      </c>
    </row>
    <row r="40" spans="1:10" x14ac:dyDescent="0.2">
      <c r="A40" s="228">
        <v>44957</v>
      </c>
      <c r="B40" s="227"/>
      <c r="C40" s="227"/>
      <c r="D40" s="229">
        <v>69940</v>
      </c>
      <c r="E40" s="229"/>
      <c r="F40" s="229"/>
      <c r="G40" s="229"/>
      <c r="J40" s="263">
        <v>2722.5</v>
      </c>
    </row>
    <row r="41" spans="1:10" x14ac:dyDescent="0.2">
      <c r="A41" s="230">
        <v>44985</v>
      </c>
      <c r="B41" s="227"/>
      <c r="C41" s="227"/>
      <c r="D41" s="229">
        <v>55410</v>
      </c>
      <c r="E41" s="229"/>
      <c r="F41" s="229"/>
      <c r="G41" s="229"/>
      <c r="J41" s="263">
        <v>1529.75</v>
      </c>
    </row>
    <row r="42" spans="1:10" x14ac:dyDescent="0.2">
      <c r="A42" s="230">
        <v>45016</v>
      </c>
      <c r="B42" s="231"/>
      <c r="C42" s="231"/>
      <c r="D42" s="266">
        <f>1/3*D41</f>
        <v>18470</v>
      </c>
      <c r="E42" s="267">
        <v>8000</v>
      </c>
      <c r="F42" s="236"/>
      <c r="G42" s="236"/>
      <c r="H42" s="265" t="s">
        <v>233</v>
      </c>
      <c r="J42" s="263">
        <v>14819.75</v>
      </c>
    </row>
    <row r="43" spans="1:10" x14ac:dyDescent="0.2">
      <c r="A43" s="230">
        <v>45046</v>
      </c>
      <c r="B43" s="231"/>
      <c r="C43" s="231"/>
      <c r="D43" s="267">
        <v>5000</v>
      </c>
      <c r="E43" s="267"/>
      <c r="F43" s="268"/>
      <c r="G43" s="268"/>
      <c r="H43" s="269"/>
      <c r="J43" s="264">
        <f>SUM(J36:J42)</f>
        <v>55410.25</v>
      </c>
    </row>
    <row r="44" spans="1:10" x14ac:dyDescent="0.2">
      <c r="A44" s="230">
        <v>45077</v>
      </c>
      <c r="B44" s="231"/>
      <c r="C44" s="231"/>
      <c r="D44" s="267">
        <v>5000</v>
      </c>
      <c r="E44" s="267"/>
      <c r="F44" s="268"/>
      <c r="G44" s="268"/>
      <c r="H44" s="269"/>
    </row>
    <row r="45" spans="1:10" x14ac:dyDescent="0.2">
      <c r="A45" s="232">
        <v>45107</v>
      </c>
      <c r="B45" s="233"/>
      <c r="C45" s="233"/>
      <c r="D45" s="270">
        <v>60000</v>
      </c>
      <c r="E45" s="270">
        <v>25000</v>
      </c>
      <c r="F45" s="268"/>
      <c r="G45" s="268"/>
      <c r="H45" s="269" t="s">
        <v>234</v>
      </c>
    </row>
    <row r="46" spans="1:10" x14ac:dyDescent="0.2">
      <c r="A46" s="227"/>
      <c r="B46" s="227"/>
      <c r="C46" s="227"/>
      <c r="D46" s="309">
        <f>SUM(D36:E45)</f>
        <v>4020620.8200000008</v>
      </c>
      <c r="E46" s="310"/>
      <c r="F46" s="238"/>
      <c r="G46" s="238"/>
    </row>
    <row r="47" spans="1:10" x14ac:dyDescent="0.2">
      <c r="A47" s="227" t="s">
        <v>235</v>
      </c>
      <c r="B47" s="227"/>
      <c r="C47" s="227"/>
      <c r="D47" s="271">
        <v>92075</v>
      </c>
      <c r="E47" s="227"/>
      <c r="F47" s="227"/>
      <c r="G47" s="227"/>
    </row>
    <row r="48" spans="1:10" x14ac:dyDescent="0.2">
      <c r="A48" s="227" t="s">
        <v>236</v>
      </c>
      <c r="B48" s="227"/>
      <c r="C48" s="227"/>
      <c r="D48" s="272">
        <f>SUM(D46:E47)</f>
        <v>4112695.8200000008</v>
      </c>
      <c r="E48" s="227"/>
      <c r="F48" s="227"/>
      <c r="G48" s="227"/>
    </row>
    <row r="49" spans="1:7" x14ac:dyDescent="0.2">
      <c r="A49" s="227" t="s">
        <v>237</v>
      </c>
      <c r="B49" s="227"/>
      <c r="C49" s="227"/>
      <c r="D49" s="273">
        <f>D48-C19</f>
        <v>189641.72000000067</v>
      </c>
      <c r="E49" s="227"/>
      <c r="F49" s="227"/>
      <c r="G49" s="227"/>
    </row>
  </sheetData>
  <mergeCells count="4">
    <mergeCell ref="F5:H5"/>
    <mergeCell ref="C21:I21"/>
    <mergeCell ref="A8:A9"/>
    <mergeCell ref="D46:E46"/>
  </mergeCells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 xml:space="preserve">&amp;R&amp;"Arial,Fett"&amp;9IG EP RF BB </oddHeader>
    <oddFooter>&amp;L&amp;8&amp;F
&amp;A&amp;R&amp;8&amp;D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G3" sqref="G3:G5"/>
    </sheetView>
  </sheetViews>
  <sheetFormatPr baseColWidth="10" defaultRowHeight="12.75" x14ac:dyDescent="0.2"/>
  <cols>
    <col min="5" max="8" width="11.42578125" customWidth="1"/>
  </cols>
  <sheetData>
    <row r="2" spans="1:10" x14ac:dyDescent="0.2">
      <c r="A2" s="243"/>
      <c r="B2" s="242"/>
      <c r="C2" s="313" t="s">
        <v>220</v>
      </c>
      <c r="D2" s="312"/>
      <c r="E2" s="311" t="s">
        <v>219</v>
      </c>
      <c r="F2" s="312"/>
      <c r="G2" s="311" t="s">
        <v>218</v>
      </c>
      <c r="H2" s="312"/>
      <c r="I2" s="311" t="s">
        <v>215</v>
      </c>
      <c r="J2" s="312"/>
    </row>
    <row r="3" spans="1:10" x14ac:dyDescent="0.2">
      <c r="A3" s="244" t="s">
        <v>4</v>
      </c>
      <c r="B3" s="244" t="s">
        <v>221</v>
      </c>
      <c r="C3" s="245"/>
      <c r="D3" s="246">
        <v>67987</v>
      </c>
      <c r="E3" s="247">
        <f>F3-D3</f>
        <v>6657</v>
      </c>
      <c r="F3" s="246">
        <v>74644</v>
      </c>
      <c r="G3" s="247">
        <f>H3-F3</f>
        <v>9256</v>
      </c>
      <c r="H3" s="246">
        <v>83900</v>
      </c>
      <c r="I3" s="247">
        <f>J3-H3</f>
        <v>6434</v>
      </c>
      <c r="J3" s="246">
        <v>90334</v>
      </c>
    </row>
    <row r="4" spans="1:10" x14ac:dyDescent="0.2">
      <c r="A4" s="244" t="s">
        <v>4</v>
      </c>
      <c r="B4" s="244" t="s">
        <v>216</v>
      </c>
      <c r="C4" s="245"/>
      <c r="D4" s="246">
        <v>356268</v>
      </c>
      <c r="E4" s="247">
        <f>F4-D4</f>
        <v>2617</v>
      </c>
      <c r="F4" s="246">
        <v>358885</v>
      </c>
      <c r="G4" s="247">
        <f>H4-F4</f>
        <v>5890</v>
      </c>
      <c r="H4" s="246">
        <v>364775</v>
      </c>
      <c r="I4" s="247">
        <f>J4-H4</f>
        <v>150</v>
      </c>
      <c r="J4" s="246">
        <v>364925</v>
      </c>
    </row>
    <row r="5" spans="1:10" x14ac:dyDescent="0.2">
      <c r="A5" s="244" t="s">
        <v>4</v>
      </c>
      <c r="B5" s="244" t="s">
        <v>217</v>
      </c>
      <c r="C5" s="245"/>
      <c r="D5" s="246">
        <v>257883.5</v>
      </c>
      <c r="E5" s="247">
        <f t="shared" ref="E5:E6" si="0">F5-D5</f>
        <v>5939</v>
      </c>
      <c r="F5" s="246">
        <v>263822.5</v>
      </c>
      <c r="G5" s="247">
        <f t="shared" ref="G5:G6" si="1">H5-F5</f>
        <v>9178</v>
      </c>
      <c r="H5" s="246">
        <v>273000.5</v>
      </c>
      <c r="I5" s="247">
        <f t="shared" ref="I5:I6" si="2">J5-H5</f>
        <v>3203.5</v>
      </c>
      <c r="J5" s="246">
        <v>276204</v>
      </c>
    </row>
    <row r="6" spans="1:10" x14ac:dyDescent="0.2">
      <c r="A6" s="248" t="s">
        <v>4</v>
      </c>
      <c r="B6" s="248" t="s">
        <v>201</v>
      </c>
      <c r="C6" s="249"/>
      <c r="D6" s="250">
        <v>490139</v>
      </c>
      <c r="E6" s="251">
        <f t="shared" si="0"/>
        <v>11044.5</v>
      </c>
      <c r="F6" s="250">
        <v>501183.5</v>
      </c>
      <c r="G6" s="251">
        <f t="shared" si="1"/>
        <v>12800</v>
      </c>
      <c r="H6" s="250">
        <v>513983.5</v>
      </c>
      <c r="I6" s="251">
        <f t="shared" si="2"/>
        <v>1383</v>
      </c>
      <c r="J6" s="250">
        <v>515366.5</v>
      </c>
    </row>
    <row r="7" spans="1:10" x14ac:dyDescent="0.2">
      <c r="A7" s="244" t="s">
        <v>5</v>
      </c>
      <c r="B7" s="244" t="s">
        <v>222</v>
      </c>
      <c r="C7" s="245"/>
      <c r="D7" s="246"/>
      <c r="E7" s="247"/>
      <c r="F7" s="246"/>
      <c r="G7" s="247">
        <v>14819</v>
      </c>
      <c r="H7" s="246"/>
      <c r="I7" s="247"/>
      <c r="J7" s="246"/>
    </row>
    <row r="8" spans="1:10" x14ac:dyDescent="0.2">
      <c r="B8" t="s">
        <v>223</v>
      </c>
      <c r="C8" s="25"/>
      <c r="D8" s="240"/>
      <c r="E8" s="241"/>
      <c r="F8" s="240"/>
      <c r="G8" s="241">
        <v>3042</v>
      </c>
      <c r="H8" s="240"/>
      <c r="I8" s="241"/>
      <c r="J8" s="240"/>
    </row>
    <row r="9" spans="1:10" x14ac:dyDescent="0.2">
      <c r="A9" s="248"/>
      <c r="B9" s="248" t="s">
        <v>201</v>
      </c>
      <c r="C9" s="249"/>
      <c r="D9" s="250"/>
      <c r="E9" s="251"/>
      <c r="F9" s="250"/>
      <c r="G9" s="251">
        <v>1529</v>
      </c>
      <c r="H9" s="250"/>
      <c r="I9" s="251"/>
      <c r="J9" s="250"/>
    </row>
    <row r="10" spans="1:10" x14ac:dyDescent="0.2">
      <c r="B10" t="s">
        <v>224</v>
      </c>
      <c r="C10" s="25"/>
      <c r="D10" s="240"/>
      <c r="E10" s="241"/>
      <c r="F10" s="240"/>
      <c r="G10" s="241">
        <v>2722</v>
      </c>
      <c r="H10" s="240"/>
      <c r="I10" s="241"/>
      <c r="J10" s="240"/>
    </row>
    <row r="11" spans="1:10" x14ac:dyDescent="0.2">
      <c r="A11" s="244" t="s">
        <v>225</v>
      </c>
      <c r="B11" s="244" t="s">
        <v>226</v>
      </c>
      <c r="C11" s="245"/>
      <c r="D11" s="246"/>
      <c r="E11" s="247"/>
      <c r="F11" s="246"/>
      <c r="G11" s="247">
        <v>2658</v>
      </c>
      <c r="H11" s="246"/>
      <c r="I11" s="247"/>
      <c r="J11" s="246"/>
    </row>
    <row r="12" spans="1:10" x14ac:dyDescent="0.2">
      <c r="A12" s="252" t="s">
        <v>227</v>
      </c>
      <c r="B12" s="252" t="s">
        <v>201</v>
      </c>
      <c r="C12" s="252"/>
      <c r="D12" s="253"/>
      <c r="E12" s="254"/>
      <c r="F12" s="253"/>
      <c r="G12" s="254">
        <v>6314</v>
      </c>
      <c r="H12" s="253"/>
      <c r="I12" s="254"/>
      <c r="J12" s="253"/>
    </row>
    <row r="13" spans="1:10" x14ac:dyDescent="0.2">
      <c r="C13" s="25"/>
      <c r="D13" s="240"/>
      <c r="E13" s="241"/>
      <c r="F13" s="240"/>
      <c r="G13" s="241">
        <f>SUM(G3:G12)</f>
        <v>68208</v>
      </c>
      <c r="H13" s="240"/>
      <c r="I13" s="241">
        <f>SUM(I3:I12)</f>
        <v>11170.5</v>
      </c>
      <c r="J13" s="240"/>
    </row>
  </sheetData>
  <mergeCells count="4">
    <mergeCell ref="E2:F2"/>
    <mergeCell ref="G2:H2"/>
    <mergeCell ref="I2:J2"/>
    <mergeCell ref="C2:D2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Synthese und T-U</vt:lpstr>
      <vt:lpstr>2021_Synthese und T-U</vt:lpstr>
      <vt:lpstr>Triage EK-MK FCh</vt:lpstr>
      <vt:lpstr>Tabelle1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2023-03-08T10:51:34Z</cp:lastPrinted>
  <dcterms:created xsi:type="dcterms:W3CDTF">2019-02-25T12:33:26Z</dcterms:created>
  <dcterms:modified xsi:type="dcterms:W3CDTF">2023-03-20T08:38:26Z</dcterms:modified>
</cp:coreProperties>
</file>