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INGE-Budget\Phase EK\"/>
    </mc:Choice>
  </mc:AlternateContent>
  <bookViews>
    <workbookView xWindow="0" yWindow="0" windowWidth="28800" windowHeight="14295" activeTab="1"/>
  </bookViews>
  <sheets>
    <sheet name="per 31.12.2019" sheetId="1" r:id="rId1"/>
    <sheet name="per 31.03.2020" sheetId="2" r:id="rId2"/>
  </sheets>
  <definedNames>
    <definedName name="_xlnm.Print_Area" localSheetId="1">'per 31.03.2020'!$A$1:$I$38</definedName>
    <definedName name="_xlnm.Print_Area" localSheetId="0">'per 31.12.2019'!$A$1:$I$37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2" l="1"/>
  <c r="F35" i="2"/>
  <c r="G35" i="2" s="1"/>
  <c r="I35" i="2" s="1"/>
  <c r="D36" i="2"/>
  <c r="F36" i="2" s="1"/>
  <c r="G36" i="2" s="1"/>
  <c r="I36" i="2" s="1"/>
  <c r="D33" i="2"/>
  <c r="F33" i="2" s="1"/>
  <c r="D30" i="2"/>
  <c r="D29" i="2"/>
  <c r="D16" i="2"/>
  <c r="G16" i="2" s="1"/>
  <c r="D15" i="2"/>
  <c r="D26" i="2"/>
  <c r="D25" i="2"/>
  <c r="G25" i="2" s="1"/>
  <c r="D23" i="2"/>
  <c r="G23" i="2" s="1"/>
  <c r="D22" i="2"/>
  <c r="G22" i="2" s="1"/>
  <c r="D21" i="2"/>
  <c r="D20" i="2"/>
  <c r="G20" i="2" s="1"/>
  <c r="D19" i="2"/>
  <c r="G19" i="2" s="1"/>
  <c r="G15" i="2"/>
  <c r="D13" i="2"/>
  <c r="G13" i="2" s="1"/>
  <c r="D12" i="2"/>
  <c r="G12" i="2" s="1"/>
  <c r="D11" i="2"/>
  <c r="G11" i="2" s="1"/>
  <c r="I11" i="2" s="1"/>
  <c r="D10" i="2"/>
  <c r="D9" i="2"/>
  <c r="H37" i="2"/>
  <c r="E37" i="2"/>
  <c r="F34" i="2"/>
  <c r="G34" i="2" s="1"/>
  <c r="I34" i="2" s="1"/>
  <c r="H32" i="2"/>
  <c r="E32" i="2"/>
  <c r="F31" i="2"/>
  <c r="G31" i="2" s="1"/>
  <c r="I31" i="2" s="1"/>
  <c r="F30" i="2"/>
  <c r="G30" i="2" s="1"/>
  <c r="I30" i="2" s="1"/>
  <c r="F29" i="2"/>
  <c r="H26" i="2"/>
  <c r="G26" i="2"/>
  <c r="I26" i="2" s="1"/>
  <c r="H25" i="2"/>
  <c r="H24" i="2"/>
  <c r="G24" i="2"/>
  <c r="I24" i="2" s="1"/>
  <c r="F24" i="2"/>
  <c r="H23" i="2"/>
  <c r="H22" i="2"/>
  <c r="E21" i="2"/>
  <c r="H21" i="2" s="1"/>
  <c r="E20" i="2"/>
  <c r="H19" i="2"/>
  <c r="H18" i="2"/>
  <c r="G18" i="2"/>
  <c r="F18" i="2"/>
  <c r="E16" i="2"/>
  <c r="H16" i="2" s="1"/>
  <c r="E15" i="2"/>
  <c r="H15" i="2" s="1"/>
  <c r="H14" i="2"/>
  <c r="G14" i="2"/>
  <c r="F14" i="2"/>
  <c r="E13" i="2"/>
  <c r="H13" i="2" s="1"/>
  <c r="E12" i="2"/>
  <c r="H12" i="2" s="1"/>
  <c r="E11" i="2"/>
  <c r="H11" i="2" s="1"/>
  <c r="E10" i="2"/>
  <c r="H10" i="2" s="1"/>
  <c r="G10" i="2"/>
  <c r="E9" i="2"/>
  <c r="E17" i="2" s="1"/>
  <c r="F34" i="1"/>
  <c r="G34" i="1" s="1"/>
  <c r="I34" i="1" s="1"/>
  <c r="D33" i="1"/>
  <c r="E10" i="1"/>
  <c r="D30" i="1"/>
  <c r="D29" i="1"/>
  <c r="D26" i="1"/>
  <c r="D25" i="1"/>
  <c r="D22" i="1"/>
  <c r="D21" i="1"/>
  <c r="D20" i="1"/>
  <c r="D19" i="1"/>
  <c r="D13" i="1"/>
  <c r="D11" i="1"/>
  <c r="D10" i="1"/>
  <c r="D9" i="1"/>
  <c r="E21" i="1"/>
  <c r="E20" i="1"/>
  <c r="E16" i="1"/>
  <c r="E15" i="1"/>
  <c r="E11" i="1"/>
  <c r="F12" i="2" l="1"/>
  <c r="H9" i="2"/>
  <c r="H17" i="2" s="1"/>
  <c r="F23" i="2"/>
  <c r="F9" i="2"/>
  <c r="F21" i="2"/>
  <c r="I14" i="2"/>
  <c r="I22" i="2"/>
  <c r="I23" i="2"/>
  <c r="I12" i="2"/>
  <c r="I25" i="2"/>
  <c r="I18" i="2"/>
  <c r="I13" i="2"/>
  <c r="I15" i="2"/>
  <c r="I10" i="2"/>
  <c r="F15" i="2"/>
  <c r="G21" i="2"/>
  <c r="I21" i="2" s="1"/>
  <c r="F20" i="2"/>
  <c r="D27" i="2"/>
  <c r="F19" i="2"/>
  <c r="D17" i="2"/>
  <c r="G9" i="2"/>
  <c r="G29" i="2"/>
  <c r="F32" i="2"/>
  <c r="I16" i="2"/>
  <c r="G33" i="2"/>
  <c r="F37" i="2"/>
  <c r="D37" i="2"/>
  <c r="F16" i="2"/>
  <c r="F22" i="2"/>
  <c r="F10" i="2"/>
  <c r="F13" i="2"/>
  <c r="I19" i="2"/>
  <c r="F26" i="2"/>
  <c r="F11" i="2"/>
  <c r="H20" i="2"/>
  <c r="I20" i="2" s="1"/>
  <c r="E27" i="2"/>
  <c r="E38" i="2" s="1"/>
  <c r="D32" i="2"/>
  <c r="F25" i="2"/>
  <c r="I9" i="2" l="1"/>
  <c r="I27" i="2"/>
  <c r="I17" i="2"/>
  <c r="G27" i="2"/>
  <c r="F27" i="2"/>
  <c r="F17" i="2"/>
  <c r="G17" i="2"/>
  <c r="D38" i="2"/>
  <c r="H27" i="2"/>
  <c r="H38" i="2" s="1"/>
  <c r="H40" i="2" s="1"/>
  <c r="G32" i="2"/>
  <c r="I29" i="2"/>
  <c r="I32" i="2" s="1"/>
  <c r="G37" i="2"/>
  <c r="I33" i="2"/>
  <c r="I37" i="2" s="1"/>
  <c r="I38" i="2" l="1"/>
  <c r="G38" i="2"/>
  <c r="G40" i="2" s="1"/>
  <c r="F38" i="2"/>
  <c r="I40" i="2" l="1"/>
  <c r="H36" i="1" l="1"/>
  <c r="E36" i="1"/>
  <c r="D36" i="1"/>
  <c r="H32" i="1"/>
  <c r="E32" i="1"/>
  <c r="D32" i="1"/>
  <c r="E27" i="1"/>
  <c r="D27" i="1"/>
  <c r="D17" i="1"/>
  <c r="F35" i="1"/>
  <c r="H26" i="1"/>
  <c r="G26" i="1"/>
  <c r="I26" i="1" s="1"/>
  <c r="F26" i="1"/>
  <c r="G35" i="1" l="1"/>
  <c r="I35" i="1" s="1"/>
  <c r="D37" i="1"/>
  <c r="G25" i="1"/>
  <c r="G24" i="1"/>
  <c r="G23" i="1"/>
  <c r="G22" i="1"/>
  <c r="G21" i="1"/>
  <c r="G20" i="1"/>
  <c r="G19" i="1"/>
  <c r="G18" i="1"/>
  <c r="G16" i="1"/>
  <c r="G15" i="1"/>
  <c r="G14" i="1"/>
  <c r="G12" i="1"/>
  <c r="G11" i="1"/>
  <c r="G10" i="1"/>
  <c r="G9" i="1"/>
  <c r="G27" i="1" l="1"/>
  <c r="F33" i="1"/>
  <c r="G33" i="1" l="1"/>
  <c r="G36" i="1" s="1"/>
  <c r="F36" i="1"/>
  <c r="I33" i="1"/>
  <c r="I36" i="1" s="1"/>
  <c r="F30" i="1"/>
  <c r="G30" i="1" s="1"/>
  <c r="I30" i="1" s="1"/>
  <c r="F31" i="1"/>
  <c r="G31" i="1" s="1"/>
  <c r="F29" i="1"/>
  <c r="G13" i="1"/>
  <c r="G17" i="1" s="1"/>
  <c r="H14" i="1"/>
  <c r="H15" i="1"/>
  <c r="H16" i="1"/>
  <c r="F13" i="1"/>
  <c r="F14" i="1"/>
  <c r="F15" i="1"/>
  <c r="F16" i="1"/>
  <c r="H11" i="1"/>
  <c r="E12" i="1"/>
  <c r="F12" i="1" s="1"/>
  <c r="E13" i="1"/>
  <c r="H13" i="1" s="1"/>
  <c r="H10" i="1"/>
  <c r="E9" i="1"/>
  <c r="E17" i="1" l="1"/>
  <c r="E37" i="1" s="1"/>
  <c r="G29" i="1"/>
  <c r="G32" i="1" s="1"/>
  <c r="G37" i="1" s="1"/>
  <c r="G39" i="1" s="1"/>
  <c r="F32" i="1"/>
  <c r="F9" i="1"/>
  <c r="F10" i="1"/>
  <c r="H9" i="1"/>
  <c r="H17" i="1" s="1"/>
  <c r="I29" i="1"/>
  <c r="I10" i="1"/>
  <c r="I31" i="1"/>
  <c r="I11" i="1"/>
  <c r="I13" i="1"/>
  <c r="F11" i="1"/>
  <c r="I15" i="1"/>
  <c r="I14" i="1"/>
  <c r="I16" i="1"/>
  <c r="H12" i="1"/>
  <c r="I12" i="1" s="1"/>
  <c r="I32" i="1" l="1"/>
  <c r="F17" i="1"/>
  <c r="I9" i="1"/>
  <c r="I17" i="1" s="1"/>
  <c r="H19" i="1"/>
  <c r="I19" i="1" s="1"/>
  <c r="H20" i="1"/>
  <c r="H21" i="1"/>
  <c r="I21" i="1" s="1"/>
  <c r="H22" i="1"/>
  <c r="I22" i="1" s="1"/>
  <c r="H23" i="1"/>
  <c r="H24" i="1"/>
  <c r="I24" i="1" s="1"/>
  <c r="H25" i="1"/>
  <c r="H18" i="1"/>
  <c r="I18" i="1" s="1"/>
  <c r="I25" i="1"/>
  <c r="F19" i="1"/>
  <c r="F20" i="1"/>
  <c r="F21" i="1"/>
  <c r="F22" i="1"/>
  <c r="F23" i="1"/>
  <c r="F24" i="1"/>
  <c r="F25" i="1"/>
  <c r="F18" i="1"/>
  <c r="H27" i="1" l="1"/>
  <c r="H37" i="1" s="1"/>
  <c r="H39" i="1" s="1"/>
  <c r="F27" i="1"/>
  <c r="F37" i="1" s="1"/>
  <c r="I23" i="1"/>
  <c r="I20" i="1"/>
  <c r="I27" i="1" s="1"/>
  <c r="I37" i="1" s="1"/>
  <c r="I39" i="1" l="1"/>
</calcChain>
</file>

<file path=xl/sharedStrings.xml><?xml version="1.0" encoding="utf-8"?>
<sst xmlns="http://schemas.openxmlformats.org/spreadsheetml/2006/main" count="95" uniqueCount="26">
  <si>
    <t>Stunden</t>
  </si>
  <si>
    <t>Grundauftrag</t>
  </si>
  <si>
    <t>Digitalisierung</t>
  </si>
  <si>
    <t>Total</t>
  </si>
  <si>
    <t>CHF</t>
  </si>
  <si>
    <t>Jauslin + Stebler</t>
  </si>
  <si>
    <t>Leipert</t>
  </si>
  <si>
    <t>Holinger</t>
  </si>
  <si>
    <t>A</t>
  </si>
  <si>
    <t>B</t>
  </si>
  <si>
    <t>C</t>
  </si>
  <si>
    <t>D</t>
  </si>
  <si>
    <t>E</t>
  </si>
  <si>
    <t>F</t>
  </si>
  <si>
    <t>G</t>
  </si>
  <si>
    <t>G 3/4</t>
  </si>
  <si>
    <t>G 1/2</t>
  </si>
  <si>
    <t>Kat.</t>
  </si>
  <si>
    <t>N03 EP Rheinfelden - Frick</t>
  </si>
  <si>
    <t>Bosshardt</t>
  </si>
  <si>
    <t>Aegerter &amp;</t>
  </si>
  <si>
    <t>Grundauftrag inkl. NO GIS-basierte Entwässerung und Digitalisierung Archiv</t>
  </si>
  <si>
    <t>Gesamttotal</t>
  </si>
  <si>
    <t>durchschn. Ansatz</t>
  </si>
  <si>
    <t>Aufwände per 31.12.2019</t>
  </si>
  <si>
    <t>Aufwände per 31.03.2020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</si>
</sst>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" fontId="1" fillId="0" borderId="5" xfId="0" applyNumberFormat="1" applyFont="1" applyBorder="1"/>
    <xf numFmtId="4" fontId="0" fillId="0" borderId="11" xfId="0" applyNumberFormat="1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0" xfId="0" applyFont="1"/>
    <xf numFmtId="4" fontId="0" fillId="0" borderId="13" xfId="0" applyNumberFormat="1" applyBorder="1"/>
    <xf numFmtId="4" fontId="0" fillId="0" borderId="14" xfId="0" applyNumberFormat="1" applyBorder="1"/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7" xfId="0" applyBorder="1"/>
    <xf numFmtId="0" fontId="1" fillId="0" borderId="18" xfId="0" applyFont="1" applyBorder="1" applyAlignment="1">
      <alignment horizontal="center" vertical="center"/>
    </xf>
    <xf numFmtId="4" fontId="0" fillId="0" borderId="9" xfId="0" applyNumberFormat="1" applyBorder="1"/>
    <xf numFmtId="4" fontId="0" fillId="0" borderId="18" xfId="0" applyNumberFormat="1" applyBorder="1"/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" fillId="0" borderId="21" xfId="0" applyFont="1" applyBorder="1"/>
    <xf numFmtId="0" fontId="0" fillId="0" borderId="19" xfId="0" applyBorder="1"/>
    <xf numFmtId="0" fontId="0" fillId="0" borderId="16" xfId="0" applyBorder="1"/>
    <xf numFmtId="0" fontId="0" fillId="0" borderId="11" xfId="0" applyFill="1" applyBorder="1"/>
    <xf numFmtId="0" fontId="1" fillId="0" borderId="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4" fontId="0" fillId="0" borderId="0" xfId="0" applyNumberFormat="1" applyBorder="1"/>
    <xf numFmtId="4" fontId="1" fillId="0" borderId="21" xfId="0" applyNumberFormat="1" applyFont="1" applyBorder="1"/>
    <xf numFmtId="0" fontId="1" fillId="0" borderId="6" xfId="0" applyFont="1" applyBorder="1"/>
    <xf numFmtId="4" fontId="1" fillId="0" borderId="8" xfId="0" applyNumberFormat="1" applyFont="1" applyBorder="1"/>
    <xf numFmtId="0" fontId="1" fillId="0" borderId="24" xfId="0" applyFont="1" applyBorder="1"/>
    <xf numFmtId="0" fontId="1" fillId="0" borderId="23" xfId="0" applyFont="1" applyBorder="1"/>
    <xf numFmtId="0" fontId="1" fillId="0" borderId="25" xfId="0" applyFont="1" applyBorder="1"/>
    <xf numFmtId="0" fontId="1" fillId="0" borderId="23" xfId="0" applyFont="1" applyFill="1" applyBorder="1"/>
    <xf numFmtId="0" fontId="1" fillId="0" borderId="26" xfId="0" applyFont="1" applyBorder="1"/>
    <xf numFmtId="4" fontId="1" fillId="0" borderId="27" xfId="0" applyNumberFormat="1" applyFont="1" applyBorder="1"/>
    <xf numFmtId="4" fontId="1" fillId="0" borderId="23" xfId="0" applyNumberFormat="1" applyFont="1" applyBorder="1"/>
    <xf numFmtId="4" fontId="1" fillId="0" borderId="28" xfId="0" applyNumberFormat="1" applyFont="1" applyBorder="1"/>
    <xf numFmtId="0" fontId="1" fillId="0" borderId="10" xfId="0" applyFont="1" applyBorder="1"/>
    <xf numFmtId="4" fontId="1" fillId="0" borderId="29" xfId="0" applyNumberFormat="1" applyFont="1" applyBorder="1"/>
    <xf numFmtId="0" fontId="1" fillId="0" borderId="30" xfId="0" applyFont="1" applyBorder="1"/>
    <xf numFmtId="4" fontId="1" fillId="0" borderId="31" xfId="0" applyNumberFormat="1" applyFont="1" applyBorder="1"/>
    <xf numFmtId="4" fontId="1" fillId="0" borderId="26" xfId="0" applyNumberFormat="1" applyFont="1" applyBorder="1"/>
    <xf numFmtId="2" fontId="1" fillId="0" borderId="23" xfId="0" applyNumberFormat="1" applyFont="1" applyBorder="1"/>
    <xf numFmtId="0" fontId="1" fillId="0" borderId="27" xfId="0" applyFont="1" applyBorder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4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1" fillId="3" borderId="30" xfId="0" applyFont="1" applyFill="1" applyBorder="1"/>
    <xf numFmtId="0" fontId="1" fillId="3" borderId="24" xfId="0" applyFont="1" applyFill="1" applyBorder="1"/>
    <xf numFmtId="0" fontId="1" fillId="3" borderId="23" xfId="0" applyFont="1" applyFill="1" applyBorder="1"/>
    <xf numFmtId="0" fontId="1" fillId="3" borderId="25" xfId="0" applyFont="1" applyFill="1" applyBorder="1"/>
    <xf numFmtId="0" fontId="1" fillId="3" borderId="26" xfId="0" applyFont="1" applyFill="1" applyBorder="1"/>
    <xf numFmtId="4" fontId="1" fillId="3" borderId="27" xfId="0" applyNumberFormat="1" applyFont="1" applyFill="1" applyBorder="1"/>
    <xf numFmtId="4" fontId="1" fillId="3" borderId="23" xfId="0" applyNumberFormat="1" applyFont="1" applyFill="1" applyBorder="1"/>
    <xf numFmtId="4" fontId="1" fillId="3" borderId="31" xfId="0" applyNumberFormat="1" applyFont="1" applyFill="1" applyBorder="1"/>
    <xf numFmtId="4" fontId="1" fillId="3" borderId="28" xfId="0" applyNumberFormat="1" applyFont="1" applyFill="1" applyBorder="1"/>
    <xf numFmtId="4" fontId="1" fillId="3" borderId="26" xfId="0" applyNumberFormat="1" applyFont="1" applyFill="1" applyBorder="1"/>
    <xf numFmtId="0" fontId="1" fillId="2" borderId="6" xfId="0" applyFont="1" applyFill="1" applyBorder="1"/>
    <xf numFmtId="0" fontId="1" fillId="2" borderId="10" xfId="0" applyFont="1" applyFill="1" applyBorder="1"/>
    <xf numFmtId="4" fontId="1" fillId="2" borderId="8" xfId="0" applyNumberFormat="1" applyFont="1" applyFill="1" applyBorder="1"/>
    <xf numFmtId="4" fontId="1" fillId="2" borderId="29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zoomScaleNormal="100" workbookViewId="0">
      <selection activeCell="D44" sqref="D44"/>
    </sheetView>
  </sheetViews>
  <sheetFormatPr baseColWidth="10" defaultRowHeight="12.75" outlineLevelCol="1" x14ac:dyDescent="0.2"/>
  <cols>
    <col min="1" max="1" width="15.42578125" customWidth="1"/>
    <col min="2" max="2" width="6" customWidth="1"/>
    <col min="3" max="3" width="5.140625" customWidth="1" outlineLevel="1"/>
    <col min="4" max="9" width="15.28515625" customWidth="1"/>
  </cols>
  <sheetData>
    <row r="1" spans="1:9" ht="15" x14ac:dyDescent="0.25">
      <c r="A1" s="13" t="s">
        <v>18</v>
      </c>
    </row>
    <row r="2" spans="1:9" ht="15" x14ac:dyDescent="0.25">
      <c r="A2" s="13"/>
    </row>
    <row r="3" spans="1:9" ht="15" x14ac:dyDescent="0.25">
      <c r="A3" s="13" t="s">
        <v>21</v>
      </c>
    </row>
    <row r="4" spans="1:9" ht="15" x14ac:dyDescent="0.25">
      <c r="A4" s="13" t="s">
        <v>24</v>
      </c>
    </row>
    <row r="5" spans="1:9" ht="13.5" thickBot="1" x14ac:dyDescent="0.25"/>
    <row r="6" spans="1:9" ht="17.25" customHeight="1" x14ac:dyDescent="0.2">
      <c r="A6" s="1"/>
      <c r="B6" s="16" t="s">
        <v>17</v>
      </c>
      <c r="C6" s="30"/>
      <c r="D6" s="52" t="s">
        <v>0</v>
      </c>
      <c r="E6" s="53"/>
      <c r="F6" s="54"/>
      <c r="G6" s="53" t="s">
        <v>4</v>
      </c>
      <c r="H6" s="53"/>
      <c r="I6" s="54"/>
    </row>
    <row r="7" spans="1:9" ht="19.5" customHeight="1" x14ac:dyDescent="0.2">
      <c r="A7" s="7"/>
      <c r="B7" s="17"/>
      <c r="C7" s="31"/>
      <c r="D7" s="22" t="s">
        <v>1</v>
      </c>
      <c r="E7" s="11" t="s">
        <v>2</v>
      </c>
      <c r="F7" s="23" t="s">
        <v>3</v>
      </c>
      <c r="G7" s="19" t="s">
        <v>1</v>
      </c>
      <c r="H7" s="11" t="s">
        <v>2</v>
      </c>
      <c r="I7" s="12" t="s">
        <v>3</v>
      </c>
    </row>
    <row r="8" spans="1:9" ht="15" customHeight="1" x14ac:dyDescent="0.2">
      <c r="A8" s="2" t="s">
        <v>20</v>
      </c>
      <c r="B8" s="4" t="s">
        <v>8</v>
      </c>
      <c r="C8" s="6">
        <v>145</v>
      </c>
      <c r="D8" s="24"/>
      <c r="E8" s="6"/>
      <c r="F8" s="25"/>
      <c r="G8" s="5"/>
      <c r="H8" s="6"/>
      <c r="I8" s="3"/>
    </row>
    <row r="9" spans="1:9" ht="15" customHeight="1" x14ac:dyDescent="0.2">
      <c r="A9" s="2" t="s">
        <v>19</v>
      </c>
      <c r="B9" s="4" t="s">
        <v>9</v>
      </c>
      <c r="C9" s="6">
        <v>122</v>
      </c>
      <c r="D9" s="24">
        <f>1129.5+146+130.25</f>
        <v>1405.75</v>
      </c>
      <c r="E9" s="6">
        <f>8.5+1.5</f>
        <v>10</v>
      </c>
      <c r="F9" s="26">
        <f>SUM(D9:E9)</f>
        <v>1415.75</v>
      </c>
      <c r="G9" s="20">
        <f t="shared" ref="G9:G25" si="0">D9*C9</f>
        <v>171501.5</v>
      </c>
      <c r="H9" s="10">
        <f t="shared" ref="H9:H25" si="1">E9*C9</f>
        <v>1220</v>
      </c>
      <c r="I9" s="9">
        <f>SUM(G9:H9)</f>
        <v>172721.5</v>
      </c>
    </row>
    <row r="10" spans="1:9" ht="15" customHeight="1" x14ac:dyDescent="0.2">
      <c r="A10" s="2"/>
      <c r="B10" s="4" t="s">
        <v>10</v>
      </c>
      <c r="C10" s="6">
        <v>95</v>
      </c>
      <c r="D10" s="24">
        <f>501+90.25+65.75</f>
        <v>657</v>
      </c>
      <c r="E10" s="6">
        <f>51+160.5+86+148.5+114.75+158.75+71.25+121.25+102.75+14.75+1</f>
        <v>1030.5</v>
      </c>
      <c r="F10" s="26">
        <f t="shared" ref="F10:F16" si="2">SUM(D10:E10)</f>
        <v>1687.5</v>
      </c>
      <c r="G10" s="20">
        <f t="shared" si="0"/>
        <v>62415</v>
      </c>
      <c r="H10" s="10">
        <f t="shared" si="1"/>
        <v>97897.5</v>
      </c>
      <c r="I10" s="9">
        <f t="shared" ref="I10:I16" si="3">SUM(G10:H10)</f>
        <v>160312.5</v>
      </c>
    </row>
    <row r="11" spans="1:9" ht="15" customHeight="1" x14ac:dyDescent="0.2">
      <c r="A11" s="2"/>
      <c r="B11" s="4" t="s">
        <v>11</v>
      </c>
      <c r="C11" s="6">
        <v>86</v>
      </c>
      <c r="D11" s="24">
        <f>243.5+99.5+85</f>
        <v>428</v>
      </c>
      <c r="E11" s="6">
        <f>104.5+30+50.75+71.5+75.5+3.5+44.25+0.5</f>
        <v>380.5</v>
      </c>
      <c r="F11" s="26">
        <f t="shared" si="2"/>
        <v>808.5</v>
      </c>
      <c r="G11" s="20">
        <f t="shared" si="0"/>
        <v>36808</v>
      </c>
      <c r="H11" s="10">
        <f t="shared" si="1"/>
        <v>32723</v>
      </c>
      <c r="I11" s="9">
        <f t="shared" si="3"/>
        <v>69531</v>
      </c>
    </row>
    <row r="12" spans="1:9" ht="15" customHeight="1" x14ac:dyDescent="0.2">
      <c r="A12" s="2"/>
      <c r="B12" s="4" t="s">
        <v>12</v>
      </c>
      <c r="C12" s="6">
        <v>62</v>
      </c>
      <c r="D12" s="24">
        <v>80.75</v>
      </c>
      <c r="E12" s="6">
        <f>17+36.75+173.5+43.25+109.25+121+18+15.75</f>
        <v>534.5</v>
      </c>
      <c r="F12" s="26">
        <f t="shared" si="2"/>
        <v>615.25</v>
      </c>
      <c r="G12" s="20">
        <f t="shared" si="0"/>
        <v>5006.5</v>
      </c>
      <c r="H12" s="10">
        <f t="shared" si="1"/>
        <v>33139</v>
      </c>
      <c r="I12" s="9">
        <f t="shared" si="3"/>
        <v>38145.5</v>
      </c>
    </row>
    <row r="13" spans="1:9" ht="15" customHeight="1" x14ac:dyDescent="0.2">
      <c r="A13" s="2"/>
      <c r="B13" s="4" t="s">
        <v>13</v>
      </c>
      <c r="C13" s="6">
        <v>50</v>
      </c>
      <c r="D13" s="24">
        <f>264.5+10.5</f>
        <v>275</v>
      </c>
      <c r="E13" s="6">
        <f>68+51+34.25+38.25</f>
        <v>191.5</v>
      </c>
      <c r="F13" s="26">
        <f t="shared" si="2"/>
        <v>466.5</v>
      </c>
      <c r="G13" s="20">
        <f t="shared" si="0"/>
        <v>13750</v>
      </c>
      <c r="H13" s="10">
        <f t="shared" si="1"/>
        <v>9575</v>
      </c>
      <c r="I13" s="9">
        <f t="shared" si="3"/>
        <v>23325</v>
      </c>
    </row>
    <row r="14" spans="1:9" ht="15" customHeight="1" x14ac:dyDescent="0.2">
      <c r="A14" s="2"/>
      <c r="B14" s="4" t="s">
        <v>14</v>
      </c>
      <c r="C14" s="6">
        <v>8</v>
      </c>
      <c r="D14" s="24">
        <v>0</v>
      </c>
      <c r="E14" s="6">
        <v>0</v>
      </c>
      <c r="F14" s="26">
        <f t="shared" si="2"/>
        <v>0</v>
      </c>
      <c r="G14" s="20">
        <f t="shared" si="0"/>
        <v>0</v>
      </c>
      <c r="H14" s="10">
        <f t="shared" si="1"/>
        <v>0</v>
      </c>
      <c r="I14" s="9">
        <f t="shared" si="3"/>
        <v>0</v>
      </c>
    </row>
    <row r="15" spans="1:9" ht="15" customHeight="1" x14ac:dyDescent="0.2">
      <c r="A15" s="2"/>
      <c r="B15" s="4" t="s">
        <v>15</v>
      </c>
      <c r="C15" s="6">
        <v>6</v>
      </c>
      <c r="D15" s="24">
        <v>4</v>
      </c>
      <c r="E15" s="6">
        <f>5.75+20.25</f>
        <v>26</v>
      </c>
      <c r="F15" s="26">
        <f t="shared" si="2"/>
        <v>30</v>
      </c>
      <c r="G15" s="20">
        <f t="shared" si="0"/>
        <v>24</v>
      </c>
      <c r="H15" s="10">
        <f t="shared" si="1"/>
        <v>156</v>
      </c>
      <c r="I15" s="9">
        <f t="shared" si="3"/>
        <v>180</v>
      </c>
    </row>
    <row r="16" spans="1:9" ht="15" customHeight="1" x14ac:dyDescent="0.2">
      <c r="A16" s="2"/>
      <c r="B16" s="4" t="s">
        <v>16</v>
      </c>
      <c r="C16" s="6">
        <v>4</v>
      </c>
      <c r="D16" s="24"/>
      <c r="E16" s="6">
        <f>23+25</f>
        <v>48</v>
      </c>
      <c r="F16" s="26">
        <f t="shared" si="2"/>
        <v>48</v>
      </c>
      <c r="G16" s="20">
        <f t="shared" si="0"/>
        <v>0</v>
      </c>
      <c r="H16" s="10">
        <f t="shared" si="1"/>
        <v>192</v>
      </c>
      <c r="I16" s="9">
        <f t="shared" si="3"/>
        <v>192</v>
      </c>
    </row>
    <row r="17" spans="1:9" ht="15" customHeight="1" x14ac:dyDescent="0.2">
      <c r="A17" s="46" t="s">
        <v>3</v>
      </c>
      <c r="B17" s="36"/>
      <c r="C17" s="37"/>
      <c r="D17" s="38">
        <f>SUM(D9:D16)</f>
        <v>2850.5</v>
      </c>
      <c r="E17" s="39">
        <f t="shared" ref="E17:I17" si="4">SUM(E9:E16)</f>
        <v>2221</v>
      </c>
      <c r="F17" s="40">
        <f t="shared" si="4"/>
        <v>5071.5</v>
      </c>
      <c r="G17" s="41">
        <f t="shared" si="4"/>
        <v>289505</v>
      </c>
      <c r="H17" s="42">
        <f t="shared" si="4"/>
        <v>174902.5</v>
      </c>
      <c r="I17" s="47">
        <f t="shared" si="4"/>
        <v>464407.5</v>
      </c>
    </row>
    <row r="18" spans="1:9" ht="15" customHeight="1" x14ac:dyDescent="0.2">
      <c r="A18" s="2" t="s">
        <v>5</v>
      </c>
      <c r="B18" s="4" t="s">
        <v>8</v>
      </c>
      <c r="C18" s="6">
        <v>145</v>
      </c>
      <c r="D18" s="24">
        <v>12.75</v>
      </c>
      <c r="E18" s="29">
        <v>0</v>
      </c>
      <c r="F18" s="26">
        <f>SUM(D18:E18)</f>
        <v>12.75</v>
      </c>
      <c r="G18" s="32">
        <f t="shared" si="0"/>
        <v>1848.75</v>
      </c>
      <c r="H18" s="10">
        <f t="shared" si="1"/>
        <v>0</v>
      </c>
      <c r="I18" s="9">
        <f>SUM(G18:H18)</f>
        <v>1848.75</v>
      </c>
    </row>
    <row r="19" spans="1:9" ht="15" customHeight="1" x14ac:dyDescent="0.2">
      <c r="A19" s="2"/>
      <c r="B19" s="4" t="s">
        <v>9</v>
      </c>
      <c r="C19" s="6">
        <v>122</v>
      </c>
      <c r="D19" s="24">
        <f>248.75+38.75+1</f>
        <v>288.5</v>
      </c>
      <c r="E19" s="6">
        <v>2.5</v>
      </c>
      <c r="F19" s="26">
        <f t="shared" ref="F19:F25" si="5">SUM(D19:E19)</f>
        <v>291</v>
      </c>
      <c r="G19" s="32">
        <f t="shared" si="0"/>
        <v>35197</v>
      </c>
      <c r="H19" s="10">
        <f t="shared" si="1"/>
        <v>305</v>
      </c>
      <c r="I19" s="9">
        <f t="shared" ref="I19:I25" si="6">SUM(G19:H19)</f>
        <v>35502</v>
      </c>
    </row>
    <row r="20" spans="1:9" ht="15" customHeight="1" x14ac:dyDescent="0.2">
      <c r="A20" s="2"/>
      <c r="B20" s="4" t="s">
        <v>10</v>
      </c>
      <c r="C20" s="6">
        <v>95</v>
      </c>
      <c r="D20" s="24">
        <f>374+109+28</f>
        <v>511</v>
      </c>
      <c r="E20" s="6">
        <f>417+18.5</f>
        <v>435.5</v>
      </c>
      <c r="F20" s="26">
        <f t="shared" si="5"/>
        <v>946.5</v>
      </c>
      <c r="G20" s="32">
        <f t="shared" si="0"/>
        <v>48545</v>
      </c>
      <c r="H20" s="10">
        <f t="shared" si="1"/>
        <v>41372.5</v>
      </c>
      <c r="I20" s="9">
        <f t="shared" si="6"/>
        <v>89917.5</v>
      </c>
    </row>
    <row r="21" spans="1:9" ht="15" customHeight="1" x14ac:dyDescent="0.2">
      <c r="A21" s="2"/>
      <c r="B21" s="4" t="s">
        <v>11</v>
      </c>
      <c r="C21" s="6">
        <v>86</v>
      </c>
      <c r="D21" s="24">
        <f>181.5+68.75+63.75</f>
        <v>314</v>
      </c>
      <c r="E21" s="6">
        <f>1017+4.5</f>
        <v>1021.5</v>
      </c>
      <c r="F21" s="26">
        <f t="shared" si="5"/>
        <v>1335.5</v>
      </c>
      <c r="G21" s="32">
        <f t="shared" si="0"/>
        <v>27004</v>
      </c>
      <c r="H21" s="10">
        <f t="shared" si="1"/>
        <v>87849</v>
      </c>
      <c r="I21" s="9">
        <f t="shared" si="6"/>
        <v>114853</v>
      </c>
    </row>
    <row r="22" spans="1:9" ht="15" customHeight="1" x14ac:dyDescent="0.2">
      <c r="A22" s="2"/>
      <c r="B22" s="4" t="s">
        <v>12</v>
      </c>
      <c r="C22" s="6">
        <v>62</v>
      </c>
      <c r="D22" s="24">
        <f>98.25+33.75+55.75</f>
        <v>187.75</v>
      </c>
      <c r="E22" s="6">
        <v>101.25</v>
      </c>
      <c r="F22" s="26">
        <f t="shared" si="5"/>
        <v>289</v>
      </c>
      <c r="G22" s="32">
        <f t="shared" si="0"/>
        <v>11640.5</v>
      </c>
      <c r="H22" s="10">
        <f t="shared" si="1"/>
        <v>6277.5</v>
      </c>
      <c r="I22" s="9">
        <f t="shared" si="6"/>
        <v>17918</v>
      </c>
    </row>
    <row r="23" spans="1:9" ht="15" customHeight="1" x14ac:dyDescent="0.2">
      <c r="A23" s="2"/>
      <c r="B23" s="4" t="s">
        <v>13</v>
      </c>
      <c r="C23" s="6">
        <v>50</v>
      </c>
      <c r="D23" s="24">
        <v>0</v>
      </c>
      <c r="E23" s="6">
        <v>0</v>
      </c>
      <c r="F23" s="26">
        <f t="shared" si="5"/>
        <v>0</v>
      </c>
      <c r="G23" s="32">
        <f t="shared" si="0"/>
        <v>0</v>
      </c>
      <c r="H23" s="10">
        <f t="shared" si="1"/>
        <v>0</v>
      </c>
      <c r="I23" s="9">
        <f t="shared" si="6"/>
        <v>0</v>
      </c>
    </row>
    <row r="24" spans="1:9" ht="15" customHeight="1" x14ac:dyDescent="0.2">
      <c r="A24" s="2"/>
      <c r="B24" s="4" t="s">
        <v>14</v>
      </c>
      <c r="C24" s="6">
        <v>8</v>
      </c>
      <c r="D24" s="24">
        <v>16.25</v>
      </c>
      <c r="E24" s="6">
        <v>29.5</v>
      </c>
      <c r="F24" s="26">
        <f t="shared" si="5"/>
        <v>45.75</v>
      </c>
      <c r="G24" s="32">
        <f t="shared" si="0"/>
        <v>130</v>
      </c>
      <c r="H24" s="10">
        <f t="shared" si="1"/>
        <v>236</v>
      </c>
      <c r="I24" s="9">
        <f t="shared" si="6"/>
        <v>366</v>
      </c>
    </row>
    <row r="25" spans="1:9" ht="15" customHeight="1" x14ac:dyDescent="0.2">
      <c r="A25" s="2"/>
      <c r="B25" s="4" t="s">
        <v>15</v>
      </c>
      <c r="C25" s="6">
        <v>6</v>
      </c>
      <c r="D25" s="24">
        <f>4.5+11</f>
        <v>15.5</v>
      </c>
      <c r="E25" s="6">
        <v>55.5</v>
      </c>
      <c r="F25" s="26">
        <f t="shared" si="5"/>
        <v>71</v>
      </c>
      <c r="G25" s="32">
        <f t="shared" si="0"/>
        <v>93</v>
      </c>
      <c r="H25" s="10">
        <f t="shared" si="1"/>
        <v>333</v>
      </c>
      <c r="I25" s="9">
        <f t="shared" si="6"/>
        <v>426</v>
      </c>
    </row>
    <row r="26" spans="1:9" ht="15" customHeight="1" x14ac:dyDescent="0.2">
      <c r="A26" s="2"/>
      <c r="B26" s="4" t="s">
        <v>16</v>
      </c>
      <c r="C26" s="6">
        <v>4</v>
      </c>
      <c r="D26" s="24">
        <f>2.5+3.5</f>
        <v>6</v>
      </c>
      <c r="E26" s="6">
        <v>0</v>
      </c>
      <c r="F26" s="26">
        <f t="shared" ref="F26" si="7">SUM(D26:E26)</f>
        <v>6</v>
      </c>
      <c r="G26" s="32">
        <f t="shared" ref="G26" si="8">D26*C26</f>
        <v>24</v>
      </c>
      <c r="H26" s="10">
        <f t="shared" ref="H26" si="9">E26*C26</f>
        <v>0</v>
      </c>
      <c r="I26" s="9">
        <f t="shared" ref="I26" si="10">SUM(G26:H26)</f>
        <v>24</v>
      </c>
    </row>
    <row r="27" spans="1:9" ht="15" customHeight="1" x14ac:dyDescent="0.2">
      <c r="A27" s="46" t="s">
        <v>3</v>
      </c>
      <c r="B27" s="36"/>
      <c r="C27" s="37"/>
      <c r="D27" s="38">
        <f>SUM(D18:D26)</f>
        <v>1351.75</v>
      </c>
      <c r="E27" s="37">
        <f t="shared" ref="E27:I27" si="11">SUM(E18:E26)</f>
        <v>1645.75</v>
      </c>
      <c r="F27" s="40">
        <f t="shared" si="11"/>
        <v>2997.5</v>
      </c>
      <c r="G27" s="41">
        <f t="shared" si="11"/>
        <v>124482.25</v>
      </c>
      <c r="H27" s="42">
        <f t="shared" si="11"/>
        <v>136373</v>
      </c>
      <c r="I27" s="47">
        <f t="shared" si="11"/>
        <v>260855.25</v>
      </c>
    </row>
    <row r="28" spans="1:9" ht="3.75" customHeight="1" x14ac:dyDescent="0.2">
      <c r="A28" s="7"/>
      <c r="B28" s="18"/>
      <c r="C28" s="28"/>
      <c r="D28" s="27"/>
      <c r="E28" s="8"/>
      <c r="F28" s="28"/>
      <c r="G28" s="21"/>
      <c r="H28" s="14"/>
      <c r="I28" s="15"/>
    </row>
    <row r="29" spans="1:9" ht="15" customHeight="1" x14ac:dyDescent="0.2">
      <c r="A29" s="2" t="s">
        <v>6</v>
      </c>
      <c r="B29" s="4" t="s">
        <v>9</v>
      </c>
      <c r="C29" s="6">
        <v>122</v>
      </c>
      <c r="D29" s="24">
        <f>119+9+0.5</f>
        <v>128.5</v>
      </c>
      <c r="E29" s="6"/>
      <c r="F29" s="26">
        <f>SUM(D29:E29)</f>
        <v>128.5</v>
      </c>
      <c r="G29" s="20">
        <f>F29*C29</f>
        <v>15677</v>
      </c>
      <c r="H29" s="10"/>
      <c r="I29" s="9">
        <f>SUM(G29:H29)</f>
        <v>15677</v>
      </c>
    </row>
    <row r="30" spans="1:9" ht="15" customHeight="1" x14ac:dyDescent="0.2">
      <c r="A30" s="2"/>
      <c r="B30" s="4" t="s">
        <v>10</v>
      </c>
      <c r="C30" s="6">
        <v>95</v>
      </c>
      <c r="D30" s="24">
        <f>97.25+10+35.75</f>
        <v>143</v>
      </c>
      <c r="E30" s="6"/>
      <c r="F30" s="26">
        <f t="shared" ref="F30:F31" si="12">SUM(D30:E30)</f>
        <v>143</v>
      </c>
      <c r="G30" s="20">
        <f>F30*C30</f>
        <v>13585</v>
      </c>
      <c r="H30" s="10"/>
      <c r="I30" s="9">
        <f t="shared" ref="I30:I34" si="13">SUM(G30:H30)</f>
        <v>13585</v>
      </c>
    </row>
    <row r="31" spans="1:9" ht="15" customHeight="1" x14ac:dyDescent="0.2">
      <c r="A31" s="2"/>
      <c r="B31" s="4" t="s">
        <v>11</v>
      </c>
      <c r="C31" s="6">
        <v>86</v>
      </c>
      <c r="D31" s="24">
        <v>0.5</v>
      </c>
      <c r="E31" s="6"/>
      <c r="F31" s="26">
        <f t="shared" si="12"/>
        <v>0.5</v>
      </c>
      <c r="G31" s="20">
        <f>F31*C31</f>
        <v>43</v>
      </c>
      <c r="H31" s="10"/>
      <c r="I31" s="9">
        <f t="shared" si="13"/>
        <v>43</v>
      </c>
    </row>
    <row r="32" spans="1:9" ht="15" customHeight="1" x14ac:dyDescent="0.2">
      <c r="A32" s="46" t="s">
        <v>3</v>
      </c>
      <c r="B32" s="36"/>
      <c r="C32" s="37"/>
      <c r="D32" s="38">
        <f>SUM(D29:D31)</f>
        <v>272</v>
      </c>
      <c r="E32" s="37">
        <f t="shared" ref="E32:I32" si="14">SUM(E29:E31)</f>
        <v>0</v>
      </c>
      <c r="F32" s="40">
        <f t="shared" si="14"/>
        <v>272</v>
      </c>
      <c r="G32" s="43">
        <f t="shared" si="14"/>
        <v>29305</v>
      </c>
      <c r="H32" s="42">
        <f t="shared" si="14"/>
        <v>0</v>
      </c>
      <c r="I32" s="47">
        <f t="shared" si="14"/>
        <v>29305</v>
      </c>
    </row>
    <row r="33" spans="1:9" ht="15" customHeight="1" x14ac:dyDescent="0.2">
      <c r="A33" s="2" t="s">
        <v>7</v>
      </c>
      <c r="B33" s="4" t="s">
        <v>9</v>
      </c>
      <c r="C33" s="6">
        <v>122</v>
      </c>
      <c r="D33" s="24">
        <f>11.25+1.5+1</f>
        <v>13.75</v>
      </c>
      <c r="E33" s="6"/>
      <c r="F33" s="26">
        <f>SUM(D33:E33)</f>
        <v>13.75</v>
      </c>
      <c r="G33" s="20">
        <f>F33*C33</f>
        <v>1677.5</v>
      </c>
      <c r="H33" s="10"/>
      <c r="I33" s="9">
        <f t="shared" si="13"/>
        <v>1677.5</v>
      </c>
    </row>
    <row r="34" spans="1:9" ht="15" customHeight="1" x14ac:dyDescent="0.2">
      <c r="A34" s="2"/>
      <c r="B34" s="4" t="s">
        <v>10</v>
      </c>
      <c r="C34" s="6">
        <v>95</v>
      </c>
      <c r="D34" s="24">
        <v>6.25</v>
      </c>
      <c r="E34" s="6"/>
      <c r="F34" s="26">
        <f t="shared" ref="F34" si="15">SUM(D34:E34)</f>
        <v>6.25</v>
      </c>
      <c r="G34" s="20">
        <f>F34*C34</f>
        <v>593.75</v>
      </c>
      <c r="H34" s="10"/>
      <c r="I34" s="33">
        <f t="shared" si="13"/>
        <v>593.75</v>
      </c>
    </row>
    <row r="35" spans="1:9" ht="15" customHeight="1" x14ac:dyDescent="0.2">
      <c r="A35" s="2"/>
      <c r="B35" s="4" t="s">
        <v>12</v>
      </c>
      <c r="C35" s="6">
        <v>62</v>
      </c>
      <c r="D35" s="24">
        <v>0.25</v>
      </c>
      <c r="E35" s="6"/>
      <c r="F35" s="26">
        <f t="shared" ref="F35" si="16">SUM(D35:E35)</f>
        <v>0.25</v>
      </c>
      <c r="G35" s="20">
        <f>F35*C35</f>
        <v>15.5</v>
      </c>
      <c r="H35" s="10"/>
      <c r="I35" s="33">
        <f t="shared" ref="I35" si="17">SUM(G35:H35)</f>
        <v>15.5</v>
      </c>
    </row>
    <row r="36" spans="1:9" ht="15" customHeight="1" x14ac:dyDescent="0.2">
      <c r="A36" s="46" t="s">
        <v>3</v>
      </c>
      <c r="B36" s="36"/>
      <c r="C36" s="37"/>
      <c r="D36" s="38">
        <f>SUM(D33:D35)</f>
        <v>20.25</v>
      </c>
      <c r="E36" s="37">
        <f t="shared" ref="E36:I36" si="18">SUM(E33:E35)</f>
        <v>0</v>
      </c>
      <c r="F36" s="40">
        <f t="shared" si="18"/>
        <v>20.25</v>
      </c>
      <c r="G36" s="43">
        <f t="shared" si="18"/>
        <v>2286.75</v>
      </c>
      <c r="H36" s="42">
        <f t="shared" si="18"/>
        <v>0</v>
      </c>
      <c r="I36" s="48">
        <f t="shared" si="18"/>
        <v>2286.75</v>
      </c>
    </row>
    <row r="37" spans="1:9" ht="21" customHeight="1" thickBot="1" x14ac:dyDescent="0.25">
      <c r="A37" s="34" t="s">
        <v>22</v>
      </c>
      <c r="B37" s="44"/>
      <c r="C37" s="44"/>
      <c r="D37" s="35">
        <f>D17+D27+D32+D36</f>
        <v>4494.5</v>
      </c>
      <c r="E37" s="35">
        <f t="shared" ref="E37:I37" si="19">E17+E27+E32+E36</f>
        <v>3866.75</v>
      </c>
      <c r="F37" s="35">
        <f t="shared" si="19"/>
        <v>8361.25</v>
      </c>
      <c r="G37" s="35">
        <f t="shared" si="19"/>
        <v>445579</v>
      </c>
      <c r="H37" s="35">
        <f t="shared" si="19"/>
        <v>311275.5</v>
      </c>
      <c r="I37" s="45">
        <f t="shared" si="19"/>
        <v>756854.5</v>
      </c>
    </row>
    <row r="39" spans="1:9" x14ac:dyDescent="0.2">
      <c r="A39" s="55" t="s">
        <v>23</v>
      </c>
      <c r="B39" s="56"/>
      <c r="C39" s="50"/>
      <c r="D39" s="50"/>
      <c r="E39" s="50"/>
      <c r="F39" s="50"/>
      <c r="G39" s="49">
        <f>G37/D37</f>
        <v>99.138725108465906</v>
      </c>
      <c r="H39" s="49">
        <f t="shared" ref="H39:I39" si="20">H37/E37</f>
        <v>80.500549557121616</v>
      </c>
      <c r="I39" s="49">
        <f t="shared" si="20"/>
        <v>90.519300343848116</v>
      </c>
    </row>
  </sheetData>
  <mergeCells count="3">
    <mergeCell ref="D6:F6"/>
    <mergeCell ref="G6:I6"/>
    <mergeCell ref="A39:B39"/>
  </mergeCells>
  <pageMargins left="0.70866141732283472" right="0.70866141732283472" top="0.78740157480314965" bottom="0.78740157480314965" header="0.31496062992125984" footer="0.31496062992125984"/>
  <pageSetup paperSize="9" scale="75" orientation="portrait" r:id="rId1"/>
  <headerFoot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tabSelected="1" topLeftCell="A10" zoomScaleNormal="100" workbookViewId="0">
      <selection activeCell="I38" sqref="A38:I38"/>
    </sheetView>
  </sheetViews>
  <sheetFormatPr baseColWidth="10" defaultRowHeight="12.75" outlineLevelCol="1" x14ac:dyDescent="0.2"/>
  <cols>
    <col min="1" max="1" width="15.42578125" customWidth="1"/>
    <col min="2" max="2" width="6" customWidth="1"/>
    <col min="3" max="3" width="5.140625" hidden="1" customWidth="1" outlineLevel="1"/>
    <col min="4" max="4" width="15.28515625" customWidth="1" collapsed="1"/>
    <col min="5" max="9" width="15.28515625" customWidth="1"/>
  </cols>
  <sheetData>
    <row r="1" spans="1:9" ht="15" x14ac:dyDescent="0.25">
      <c r="A1" s="13" t="s">
        <v>18</v>
      </c>
    </row>
    <row r="2" spans="1:9" ht="15" x14ac:dyDescent="0.25">
      <c r="A2" s="13"/>
    </row>
    <row r="3" spans="1:9" ht="15" x14ac:dyDescent="0.25">
      <c r="A3" s="13" t="s">
        <v>21</v>
      </c>
    </row>
    <row r="4" spans="1:9" ht="15" x14ac:dyDescent="0.25">
      <c r="A4" s="13" t="s">
        <v>25</v>
      </c>
    </row>
    <row r="5" spans="1:9" ht="13.5" thickBot="1" x14ac:dyDescent="0.25"/>
    <row r="6" spans="1:9" ht="17.25" customHeight="1" x14ac:dyDescent="0.2">
      <c r="A6" s="1"/>
      <c r="B6" s="16" t="s">
        <v>17</v>
      </c>
      <c r="C6" s="51"/>
      <c r="D6" s="52" t="s">
        <v>0</v>
      </c>
      <c r="E6" s="53"/>
      <c r="F6" s="54"/>
      <c r="G6" s="53" t="s">
        <v>4</v>
      </c>
      <c r="H6" s="53"/>
      <c r="I6" s="54"/>
    </row>
    <row r="7" spans="1:9" ht="19.5" customHeight="1" x14ac:dyDescent="0.2">
      <c r="A7" s="7"/>
      <c r="B7" s="17"/>
      <c r="C7" s="31"/>
      <c r="D7" s="22" t="s">
        <v>1</v>
      </c>
      <c r="E7" s="11" t="s">
        <v>2</v>
      </c>
      <c r="F7" s="23" t="s">
        <v>3</v>
      </c>
      <c r="G7" s="19" t="s">
        <v>1</v>
      </c>
      <c r="H7" s="11" t="s">
        <v>2</v>
      </c>
      <c r="I7" s="12" t="s">
        <v>3</v>
      </c>
    </row>
    <row r="8" spans="1:9" ht="15" customHeight="1" x14ac:dyDescent="0.2">
      <c r="A8" s="2" t="s">
        <v>20</v>
      </c>
      <c r="B8" s="4" t="s">
        <v>8</v>
      </c>
      <c r="C8" s="6">
        <v>145</v>
      </c>
      <c r="D8" s="24"/>
      <c r="E8" s="6"/>
      <c r="F8" s="25"/>
      <c r="G8" s="5"/>
      <c r="H8" s="6"/>
      <c r="I8" s="3"/>
    </row>
    <row r="9" spans="1:9" ht="15" customHeight="1" x14ac:dyDescent="0.2">
      <c r="A9" s="2" t="s">
        <v>19</v>
      </c>
      <c r="B9" s="4" t="s">
        <v>9</v>
      </c>
      <c r="C9" s="6">
        <v>122</v>
      </c>
      <c r="D9" s="24">
        <f>1129.5+146+130.25+113+118+163.75</f>
        <v>1800.5</v>
      </c>
      <c r="E9" s="6">
        <f>8.5+1.5</f>
        <v>10</v>
      </c>
      <c r="F9" s="26">
        <f>SUM(D9:E9)</f>
        <v>1810.5</v>
      </c>
      <c r="G9" s="20">
        <f t="shared" ref="G9:G26" si="0">D9*C9</f>
        <v>219661</v>
      </c>
      <c r="H9" s="10">
        <f t="shared" ref="H9:H26" si="1">E9*C9</f>
        <v>1220</v>
      </c>
      <c r="I9" s="9">
        <f>SUM(G9:H9)</f>
        <v>220881</v>
      </c>
    </row>
    <row r="10" spans="1:9" ht="15" customHeight="1" x14ac:dyDescent="0.2">
      <c r="A10" s="2"/>
      <c r="B10" s="4" t="s">
        <v>10</v>
      </c>
      <c r="C10" s="6">
        <v>95</v>
      </c>
      <c r="D10" s="24">
        <f>501+90.25+65.75+95.5+88.5+43.5</f>
        <v>884.5</v>
      </c>
      <c r="E10" s="6">
        <f>51+160.5+86+148.5+114.75+158.75+71.25+121.25+102.75+14.75+1</f>
        <v>1030.5</v>
      </c>
      <c r="F10" s="26">
        <f t="shared" ref="F10:F16" si="2">SUM(D10:E10)</f>
        <v>1915</v>
      </c>
      <c r="G10" s="20">
        <f t="shared" si="0"/>
        <v>84027.5</v>
      </c>
      <c r="H10" s="10">
        <f t="shared" si="1"/>
        <v>97897.5</v>
      </c>
      <c r="I10" s="9">
        <f t="shared" ref="I10:I16" si="3">SUM(G10:H10)</f>
        <v>181925</v>
      </c>
    </row>
    <row r="11" spans="1:9" ht="15" customHeight="1" x14ac:dyDescent="0.2">
      <c r="A11" s="2"/>
      <c r="B11" s="4" t="s">
        <v>11</v>
      </c>
      <c r="C11" s="6">
        <v>86</v>
      </c>
      <c r="D11" s="24">
        <f>243.5+99.5+85+88.75+129.75+112.5</f>
        <v>759</v>
      </c>
      <c r="E11" s="6">
        <f>104.5+30+50.75+71.5+75.5+3.5+44.25+0.5</f>
        <v>380.5</v>
      </c>
      <c r="F11" s="26">
        <f t="shared" si="2"/>
        <v>1139.5</v>
      </c>
      <c r="G11" s="20">
        <f t="shared" si="0"/>
        <v>65274</v>
      </c>
      <c r="H11" s="10">
        <f t="shared" si="1"/>
        <v>32723</v>
      </c>
      <c r="I11" s="9">
        <f t="shared" si="3"/>
        <v>97997</v>
      </c>
    </row>
    <row r="12" spans="1:9" ht="15" customHeight="1" x14ac:dyDescent="0.2">
      <c r="A12" s="2"/>
      <c r="B12" s="4" t="s">
        <v>12</v>
      </c>
      <c r="C12" s="6">
        <v>62</v>
      </c>
      <c r="D12" s="24">
        <f>80.75+11+0.5</f>
        <v>92.25</v>
      </c>
      <c r="E12" s="6">
        <f>17+36.75+173.5+43.25+109.25+121+18+15.75</f>
        <v>534.5</v>
      </c>
      <c r="F12" s="26">
        <f t="shared" si="2"/>
        <v>626.75</v>
      </c>
      <c r="G12" s="20">
        <f t="shared" si="0"/>
        <v>5719.5</v>
      </c>
      <c r="H12" s="10">
        <f t="shared" si="1"/>
        <v>33139</v>
      </c>
      <c r="I12" s="9">
        <f t="shared" si="3"/>
        <v>38858.5</v>
      </c>
    </row>
    <row r="13" spans="1:9" ht="15" customHeight="1" x14ac:dyDescent="0.2">
      <c r="A13" s="2"/>
      <c r="B13" s="4" t="s">
        <v>13</v>
      </c>
      <c r="C13" s="6">
        <v>50</v>
      </c>
      <c r="D13" s="24">
        <f>264.5+10.5+19.25+19.75+34.75</f>
        <v>348.75</v>
      </c>
      <c r="E13" s="6">
        <f>68+51+34.25+38.25</f>
        <v>191.5</v>
      </c>
      <c r="F13" s="26">
        <f t="shared" si="2"/>
        <v>540.25</v>
      </c>
      <c r="G13" s="20">
        <f t="shared" si="0"/>
        <v>17437.5</v>
      </c>
      <c r="H13" s="10">
        <f t="shared" si="1"/>
        <v>9575</v>
      </c>
      <c r="I13" s="9">
        <f t="shared" si="3"/>
        <v>27012.5</v>
      </c>
    </row>
    <row r="14" spans="1:9" ht="15" customHeight="1" x14ac:dyDescent="0.2">
      <c r="A14" s="2"/>
      <c r="B14" s="4" t="s">
        <v>14</v>
      </c>
      <c r="C14" s="6">
        <v>8</v>
      </c>
      <c r="D14" s="24">
        <v>0</v>
      </c>
      <c r="E14" s="6">
        <v>0</v>
      </c>
      <c r="F14" s="26">
        <f t="shared" si="2"/>
        <v>0</v>
      </c>
      <c r="G14" s="20">
        <f t="shared" si="0"/>
        <v>0</v>
      </c>
      <c r="H14" s="10">
        <f t="shared" si="1"/>
        <v>0</v>
      </c>
      <c r="I14" s="9">
        <f t="shared" si="3"/>
        <v>0</v>
      </c>
    </row>
    <row r="15" spans="1:9" ht="15" customHeight="1" x14ac:dyDescent="0.2">
      <c r="A15" s="2"/>
      <c r="B15" s="4" t="s">
        <v>15</v>
      </c>
      <c r="C15" s="6">
        <v>6</v>
      </c>
      <c r="D15" s="24">
        <f>4</f>
        <v>4</v>
      </c>
      <c r="E15" s="6">
        <f>5.75+20.25</f>
        <v>26</v>
      </c>
      <c r="F15" s="26">
        <f t="shared" si="2"/>
        <v>30</v>
      </c>
      <c r="G15" s="20">
        <f t="shared" si="0"/>
        <v>24</v>
      </c>
      <c r="H15" s="10">
        <f t="shared" si="1"/>
        <v>156</v>
      </c>
      <c r="I15" s="9">
        <f t="shared" si="3"/>
        <v>180</v>
      </c>
    </row>
    <row r="16" spans="1:9" ht="15" customHeight="1" x14ac:dyDescent="0.2">
      <c r="A16" s="2"/>
      <c r="B16" s="4" t="s">
        <v>16</v>
      </c>
      <c r="C16" s="6">
        <v>4</v>
      </c>
      <c r="D16" s="24">
        <f>17.5</f>
        <v>17.5</v>
      </c>
      <c r="E16" s="6">
        <f>23+25</f>
        <v>48</v>
      </c>
      <c r="F16" s="26">
        <f t="shared" si="2"/>
        <v>65.5</v>
      </c>
      <c r="G16" s="20">
        <f t="shared" si="0"/>
        <v>70</v>
      </c>
      <c r="H16" s="10">
        <f t="shared" si="1"/>
        <v>192</v>
      </c>
      <c r="I16" s="9">
        <f t="shared" si="3"/>
        <v>262</v>
      </c>
    </row>
    <row r="17" spans="1:9" ht="15" customHeight="1" x14ac:dyDescent="0.2">
      <c r="A17" s="57" t="s">
        <v>3</v>
      </c>
      <c r="B17" s="58"/>
      <c r="C17" s="59"/>
      <c r="D17" s="60">
        <f>SUM(D9:D16)</f>
        <v>3906.5</v>
      </c>
      <c r="E17" s="59">
        <f t="shared" ref="E17:I17" si="4">SUM(E9:E16)</f>
        <v>2221</v>
      </c>
      <c r="F17" s="61">
        <f t="shared" si="4"/>
        <v>6127.5</v>
      </c>
      <c r="G17" s="62">
        <f t="shared" si="4"/>
        <v>392213.5</v>
      </c>
      <c r="H17" s="63">
        <f t="shared" si="4"/>
        <v>174902.5</v>
      </c>
      <c r="I17" s="64">
        <f t="shared" si="4"/>
        <v>567116</v>
      </c>
    </row>
    <row r="18" spans="1:9" ht="15" customHeight="1" x14ac:dyDescent="0.2">
      <c r="A18" s="2" t="s">
        <v>5</v>
      </c>
      <c r="B18" s="4" t="s">
        <v>8</v>
      </c>
      <c r="C18" s="6">
        <v>145</v>
      </c>
      <c r="D18" s="24">
        <v>12.75</v>
      </c>
      <c r="E18" s="29">
        <v>0</v>
      </c>
      <c r="F18" s="26">
        <f>SUM(D18:E18)</f>
        <v>12.75</v>
      </c>
      <c r="G18" s="32">
        <f t="shared" si="0"/>
        <v>1848.75</v>
      </c>
      <c r="H18" s="10">
        <f t="shared" si="1"/>
        <v>0</v>
      </c>
      <c r="I18" s="9">
        <f>SUM(G18:H18)</f>
        <v>1848.75</v>
      </c>
    </row>
    <row r="19" spans="1:9" ht="15" customHeight="1" x14ac:dyDescent="0.2">
      <c r="A19" s="2"/>
      <c r="B19" s="4" t="s">
        <v>9</v>
      </c>
      <c r="C19" s="6">
        <v>122</v>
      </c>
      <c r="D19" s="24">
        <f>248.75+38.75+1+82.5+52+27.75</f>
        <v>450.75</v>
      </c>
      <c r="E19" s="6">
        <v>2.5</v>
      </c>
      <c r="F19" s="26">
        <f t="shared" ref="F19:F26" si="5">SUM(D19:E19)</f>
        <v>453.25</v>
      </c>
      <c r="G19" s="32">
        <f t="shared" si="0"/>
        <v>54991.5</v>
      </c>
      <c r="H19" s="10">
        <f t="shared" si="1"/>
        <v>305</v>
      </c>
      <c r="I19" s="9">
        <f t="shared" ref="I19:I26" si="6">SUM(G19:H19)</f>
        <v>55296.5</v>
      </c>
    </row>
    <row r="20" spans="1:9" ht="15" customHeight="1" x14ac:dyDescent="0.2">
      <c r="A20" s="2"/>
      <c r="B20" s="4" t="s">
        <v>10</v>
      </c>
      <c r="C20" s="6">
        <v>95</v>
      </c>
      <c r="D20" s="24">
        <f>374+109+28+119.75+168.5+217.5</f>
        <v>1016.75</v>
      </c>
      <c r="E20" s="6">
        <f>417+18.5</f>
        <v>435.5</v>
      </c>
      <c r="F20" s="26">
        <f t="shared" si="5"/>
        <v>1452.25</v>
      </c>
      <c r="G20" s="32">
        <f t="shared" si="0"/>
        <v>96591.25</v>
      </c>
      <c r="H20" s="10">
        <f t="shared" si="1"/>
        <v>41372.5</v>
      </c>
      <c r="I20" s="9">
        <f t="shared" si="6"/>
        <v>137963.75</v>
      </c>
    </row>
    <row r="21" spans="1:9" ht="15" customHeight="1" x14ac:dyDescent="0.2">
      <c r="A21" s="2"/>
      <c r="B21" s="4" t="s">
        <v>11</v>
      </c>
      <c r="C21" s="6">
        <v>86</v>
      </c>
      <c r="D21" s="24">
        <f>181.5+68.75+63.75+99.75+85.5+123</f>
        <v>622.25</v>
      </c>
      <c r="E21" s="6">
        <f>1017+4.5</f>
        <v>1021.5</v>
      </c>
      <c r="F21" s="26">
        <f t="shared" si="5"/>
        <v>1643.75</v>
      </c>
      <c r="G21" s="32">
        <f t="shared" si="0"/>
        <v>53513.5</v>
      </c>
      <c r="H21" s="10">
        <f t="shared" si="1"/>
        <v>87849</v>
      </c>
      <c r="I21" s="9">
        <f t="shared" si="6"/>
        <v>141362.5</v>
      </c>
    </row>
    <row r="22" spans="1:9" ht="15" customHeight="1" x14ac:dyDescent="0.2">
      <c r="A22" s="2"/>
      <c r="B22" s="4" t="s">
        <v>12</v>
      </c>
      <c r="C22" s="6">
        <v>62</v>
      </c>
      <c r="D22" s="24">
        <f>98.25+33.75+55.75+54+15.25+41</f>
        <v>298</v>
      </c>
      <c r="E22" s="6">
        <v>101.25</v>
      </c>
      <c r="F22" s="26">
        <f t="shared" si="5"/>
        <v>399.25</v>
      </c>
      <c r="G22" s="32">
        <f t="shared" si="0"/>
        <v>18476</v>
      </c>
      <c r="H22" s="10">
        <f t="shared" si="1"/>
        <v>6277.5</v>
      </c>
      <c r="I22" s="9">
        <f t="shared" si="6"/>
        <v>24753.5</v>
      </c>
    </row>
    <row r="23" spans="1:9" ht="15" customHeight="1" x14ac:dyDescent="0.2">
      <c r="A23" s="2"/>
      <c r="B23" s="4" t="s">
        <v>13</v>
      </c>
      <c r="C23" s="6">
        <v>50</v>
      </c>
      <c r="D23" s="24">
        <f>0.5</f>
        <v>0.5</v>
      </c>
      <c r="E23" s="6">
        <v>0</v>
      </c>
      <c r="F23" s="26">
        <f t="shared" si="5"/>
        <v>0.5</v>
      </c>
      <c r="G23" s="32">
        <f t="shared" si="0"/>
        <v>25</v>
      </c>
      <c r="H23" s="10">
        <f t="shared" si="1"/>
        <v>0</v>
      </c>
      <c r="I23" s="9">
        <f t="shared" si="6"/>
        <v>25</v>
      </c>
    </row>
    <row r="24" spans="1:9" ht="15" customHeight="1" x14ac:dyDescent="0.2">
      <c r="A24" s="2"/>
      <c r="B24" s="4" t="s">
        <v>14</v>
      </c>
      <c r="C24" s="6">
        <v>8</v>
      </c>
      <c r="D24" s="24">
        <v>16.25</v>
      </c>
      <c r="E24" s="6">
        <v>29.5</v>
      </c>
      <c r="F24" s="26">
        <f t="shared" si="5"/>
        <v>45.75</v>
      </c>
      <c r="G24" s="32">
        <f t="shared" si="0"/>
        <v>130</v>
      </c>
      <c r="H24" s="10">
        <f t="shared" si="1"/>
        <v>236</v>
      </c>
      <c r="I24" s="9">
        <f t="shared" si="6"/>
        <v>366</v>
      </c>
    </row>
    <row r="25" spans="1:9" ht="15" customHeight="1" x14ac:dyDescent="0.2">
      <c r="A25" s="2"/>
      <c r="B25" s="4" t="s">
        <v>15</v>
      </c>
      <c r="C25" s="6">
        <v>6</v>
      </c>
      <c r="D25" s="24">
        <f>4.5+11+32.25</f>
        <v>47.75</v>
      </c>
      <c r="E25" s="6">
        <v>55.5</v>
      </c>
      <c r="F25" s="26">
        <f t="shared" si="5"/>
        <v>103.25</v>
      </c>
      <c r="G25" s="32">
        <f t="shared" si="0"/>
        <v>286.5</v>
      </c>
      <c r="H25" s="10">
        <f t="shared" si="1"/>
        <v>333</v>
      </c>
      <c r="I25" s="9">
        <f t="shared" si="6"/>
        <v>619.5</v>
      </c>
    </row>
    <row r="26" spans="1:9" ht="15" customHeight="1" x14ac:dyDescent="0.2">
      <c r="A26" s="2"/>
      <c r="B26" s="4" t="s">
        <v>16</v>
      </c>
      <c r="C26" s="6">
        <v>4</v>
      </c>
      <c r="D26" s="24">
        <f>2.5+3.5+25.5+4+9.25</f>
        <v>44.75</v>
      </c>
      <c r="E26" s="6">
        <v>0</v>
      </c>
      <c r="F26" s="26">
        <f t="shared" si="5"/>
        <v>44.75</v>
      </c>
      <c r="G26" s="32">
        <f t="shared" si="0"/>
        <v>179</v>
      </c>
      <c r="H26" s="10">
        <f t="shared" si="1"/>
        <v>0</v>
      </c>
      <c r="I26" s="9">
        <f t="shared" si="6"/>
        <v>179</v>
      </c>
    </row>
    <row r="27" spans="1:9" ht="15" customHeight="1" x14ac:dyDescent="0.2">
      <c r="A27" s="57" t="s">
        <v>3</v>
      </c>
      <c r="B27" s="58"/>
      <c r="C27" s="59"/>
      <c r="D27" s="60">
        <f>SUM(D18:D26)</f>
        <v>2509.75</v>
      </c>
      <c r="E27" s="59">
        <f t="shared" ref="E27:I27" si="7">SUM(E18:E26)</f>
        <v>1645.75</v>
      </c>
      <c r="F27" s="61">
        <f t="shared" si="7"/>
        <v>4155.5</v>
      </c>
      <c r="G27" s="62">
        <f t="shared" si="7"/>
        <v>226041.5</v>
      </c>
      <c r="H27" s="63">
        <f t="shared" si="7"/>
        <v>136373</v>
      </c>
      <c r="I27" s="64">
        <f t="shared" si="7"/>
        <v>362414.5</v>
      </c>
    </row>
    <row r="28" spans="1:9" ht="3.75" customHeight="1" x14ac:dyDescent="0.2">
      <c r="A28" s="7"/>
      <c r="B28" s="18"/>
      <c r="C28" s="28"/>
      <c r="D28" s="27"/>
      <c r="E28" s="8"/>
      <c r="F28" s="28"/>
      <c r="G28" s="21"/>
      <c r="H28" s="14"/>
      <c r="I28" s="15"/>
    </row>
    <row r="29" spans="1:9" ht="15" customHeight="1" x14ac:dyDescent="0.2">
      <c r="A29" s="2" t="s">
        <v>6</v>
      </c>
      <c r="B29" s="4" t="s">
        <v>9</v>
      </c>
      <c r="C29" s="6">
        <v>122</v>
      </c>
      <c r="D29" s="24">
        <f>119+9+0.5+2+2.5+10</f>
        <v>143</v>
      </c>
      <c r="E29" s="6"/>
      <c r="F29" s="26">
        <f>SUM(D29:E29)</f>
        <v>143</v>
      </c>
      <c r="G29" s="20">
        <f>F29*C29</f>
        <v>17446</v>
      </c>
      <c r="H29" s="10"/>
      <c r="I29" s="9">
        <f>SUM(G29:H29)</f>
        <v>17446</v>
      </c>
    </row>
    <row r="30" spans="1:9" ht="15" customHeight="1" x14ac:dyDescent="0.2">
      <c r="A30" s="2"/>
      <c r="B30" s="4" t="s">
        <v>10</v>
      </c>
      <c r="C30" s="6">
        <v>95</v>
      </c>
      <c r="D30" s="24">
        <f>97.25+10+35.75+7</f>
        <v>150</v>
      </c>
      <c r="E30" s="6"/>
      <c r="F30" s="26">
        <f t="shared" ref="F30:F31" si="8">SUM(D30:E30)</f>
        <v>150</v>
      </c>
      <c r="G30" s="20">
        <f>F30*C30</f>
        <v>14250</v>
      </c>
      <c r="H30" s="10"/>
      <c r="I30" s="9">
        <f t="shared" ref="I30:I36" si="9">SUM(G30:H30)</f>
        <v>14250</v>
      </c>
    </row>
    <row r="31" spans="1:9" ht="15" customHeight="1" x14ac:dyDescent="0.2">
      <c r="A31" s="2"/>
      <c r="B31" s="4" t="s">
        <v>11</v>
      </c>
      <c r="C31" s="6">
        <v>86</v>
      </c>
      <c r="D31" s="24">
        <v>0.5</v>
      </c>
      <c r="E31" s="6"/>
      <c r="F31" s="26">
        <f t="shared" si="8"/>
        <v>0.5</v>
      </c>
      <c r="G31" s="20">
        <f>F31*C31</f>
        <v>43</v>
      </c>
      <c r="H31" s="10"/>
      <c r="I31" s="9">
        <f t="shared" si="9"/>
        <v>43</v>
      </c>
    </row>
    <row r="32" spans="1:9" ht="15" customHeight="1" x14ac:dyDescent="0.2">
      <c r="A32" s="57" t="s">
        <v>3</v>
      </c>
      <c r="B32" s="58"/>
      <c r="C32" s="59"/>
      <c r="D32" s="60">
        <f>SUM(D29:D31)</f>
        <v>293.5</v>
      </c>
      <c r="E32" s="59">
        <f t="shared" ref="E32:I32" si="10">SUM(E29:E31)</f>
        <v>0</v>
      </c>
      <c r="F32" s="61">
        <f t="shared" si="10"/>
        <v>293.5</v>
      </c>
      <c r="G32" s="65">
        <f t="shared" si="10"/>
        <v>31739</v>
      </c>
      <c r="H32" s="63">
        <f t="shared" si="10"/>
        <v>0</v>
      </c>
      <c r="I32" s="64">
        <f t="shared" si="10"/>
        <v>31739</v>
      </c>
    </row>
    <row r="33" spans="1:9" ht="15" customHeight="1" x14ac:dyDescent="0.2">
      <c r="A33" s="2" t="s">
        <v>7</v>
      </c>
      <c r="B33" s="4" t="s">
        <v>9</v>
      </c>
      <c r="C33" s="6">
        <v>122</v>
      </c>
      <c r="D33" s="24">
        <f>11.25+1.5+1+2+3+11.5</f>
        <v>30.25</v>
      </c>
      <c r="E33" s="6"/>
      <c r="F33" s="26">
        <f>SUM(D33:E33)</f>
        <v>30.25</v>
      </c>
      <c r="G33" s="20">
        <f>F33*C33</f>
        <v>3690.5</v>
      </c>
      <c r="H33" s="10"/>
      <c r="I33" s="9">
        <f t="shared" si="9"/>
        <v>3690.5</v>
      </c>
    </row>
    <row r="34" spans="1:9" ht="15" customHeight="1" x14ac:dyDescent="0.2">
      <c r="A34" s="2"/>
      <c r="B34" s="4" t="s">
        <v>10</v>
      </c>
      <c r="C34" s="6">
        <v>95</v>
      </c>
      <c r="D34" s="24">
        <v>6.25</v>
      </c>
      <c r="E34" s="6"/>
      <c r="F34" s="26">
        <f t="shared" ref="F34:F36" si="11">SUM(D34:E34)</f>
        <v>6.25</v>
      </c>
      <c r="G34" s="20">
        <f>F34*C34</f>
        <v>593.75</v>
      </c>
      <c r="H34" s="10"/>
      <c r="I34" s="33">
        <f t="shared" si="9"/>
        <v>593.75</v>
      </c>
    </row>
    <row r="35" spans="1:9" ht="15" customHeight="1" x14ac:dyDescent="0.2">
      <c r="A35" s="2"/>
      <c r="B35" s="4" t="s">
        <v>11</v>
      </c>
      <c r="C35" s="6">
        <v>86</v>
      </c>
      <c r="D35" s="24">
        <f>12.5+31.25+8.5</f>
        <v>52.25</v>
      </c>
      <c r="E35" s="6"/>
      <c r="F35" s="26">
        <f t="shared" ref="F35" si="12">SUM(D35:E35)</f>
        <v>52.25</v>
      </c>
      <c r="G35" s="20">
        <f>F35*C35</f>
        <v>4493.5</v>
      </c>
      <c r="H35" s="10"/>
      <c r="I35" s="33">
        <f t="shared" ref="I35" si="13">SUM(G35:H35)</f>
        <v>4493.5</v>
      </c>
    </row>
    <row r="36" spans="1:9" ht="15" customHeight="1" x14ac:dyDescent="0.2">
      <c r="A36" s="2"/>
      <c r="B36" s="4" t="s">
        <v>12</v>
      </c>
      <c r="C36" s="6">
        <v>62</v>
      </c>
      <c r="D36" s="24">
        <f>0.25+0.5</f>
        <v>0.75</v>
      </c>
      <c r="E36" s="6"/>
      <c r="F36" s="26">
        <f t="shared" si="11"/>
        <v>0.75</v>
      </c>
      <c r="G36" s="20">
        <f>F36*C36</f>
        <v>46.5</v>
      </c>
      <c r="H36" s="10"/>
      <c r="I36" s="33">
        <f t="shared" si="9"/>
        <v>46.5</v>
      </c>
    </row>
    <row r="37" spans="1:9" ht="15" customHeight="1" x14ac:dyDescent="0.2">
      <c r="A37" s="57" t="s">
        <v>3</v>
      </c>
      <c r="B37" s="58"/>
      <c r="C37" s="59"/>
      <c r="D37" s="60">
        <f>SUM(D33:D36)</f>
        <v>89.5</v>
      </c>
      <c r="E37" s="59">
        <f t="shared" ref="E37:I37" si="14">SUM(E33:E36)</f>
        <v>0</v>
      </c>
      <c r="F37" s="61">
        <f t="shared" si="14"/>
        <v>89.5</v>
      </c>
      <c r="G37" s="65">
        <f t="shared" si="14"/>
        <v>8824.25</v>
      </c>
      <c r="H37" s="63">
        <f t="shared" si="14"/>
        <v>0</v>
      </c>
      <c r="I37" s="66">
        <f t="shared" si="14"/>
        <v>8824.25</v>
      </c>
    </row>
    <row r="38" spans="1:9" ht="28.5" customHeight="1" thickBot="1" x14ac:dyDescent="0.25">
      <c r="A38" s="67" t="s">
        <v>22</v>
      </c>
      <c r="B38" s="68"/>
      <c r="C38" s="68"/>
      <c r="D38" s="69">
        <f>D17+D27+D32+D37</f>
        <v>6799.25</v>
      </c>
      <c r="E38" s="69">
        <f t="shared" ref="E38:I38" si="15">E17+E27+E32+E37</f>
        <v>3866.75</v>
      </c>
      <c r="F38" s="69">
        <f t="shared" si="15"/>
        <v>10666</v>
      </c>
      <c r="G38" s="69">
        <f t="shared" si="15"/>
        <v>658818.25</v>
      </c>
      <c r="H38" s="69">
        <f t="shared" si="15"/>
        <v>311275.5</v>
      </c>
      <c r="I38" s="70">
        <f t="shared" si="15"/>
        <v>970093.75</v>
      </c>
    </row>
    <row r="40" spans="1:9" x14ac:dyDescent="0.2">
      <c r="A40" s="55" t="s">
        <v>23</v>
      </c>
      <c r="B40" s="56"/>
      <c r="C40" s="50"/>
      <c r="D40" s="50"/>
      <c r="E40" s="50"/>
      <c r="F40" s="50"/>
      <c r="G40" s="49">
        <f>G38/D38</f>
        <v>96.895723793065414</v>
      </c>
      <c r="H40" s="49">
        <f t="shared" ref="H40:I40" si="16">H38/E38</f>
        <v>80.500549557121616</v>
      </c>
      <c r="I40" s="49">
        <f t="shared" si="16"/>
        <v>90.951973560847549</v>
      </c>
    </row>
  </sheetData>
  <mergeCells count="3">
    <mergeCell ref="D6:F6"/>
    <mergeCell ref="G6:I6"/>
    <mergeCell ref="A40:B40"/>
  </mergeCells>
  <pageMargins left="0.70866141732283472" right="0.70866141732283472" top="0.78740157480314965" bottom="0.78740157480314965" header="0.31496062992125984" footer="0.31496062992125984"/>
  <pageSetup paperSize="9" scale="78" orientation="portrait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per 31.12.2019</vt:lpstr>
      <vt:lpstr>per 31.03.2020</vt:lpstr>
      <vt:lpstr>'per 31.03.2020'!Druckbereich</vt:lpstr>
      <vt:lpstr>'per 31.12.2019'!Druckbereich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Noëlle Weider</cp:lastModifiedBy>
  <cp:lastPrinted>2020-05-07T13:30:23Z</cp:lastPrinted>
  <dcterms:created xsi:type="dcterms:W3CDTF">2019-11-11T10:03:52Z</dcterms:created>
  <dcterms:modified xsi:type="dcterms:W3CDTF">2020-05-07T13:30:50Z</dcterms:modified>
</cp:coreProperties>
</file>