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P45" i="1" l="1"/>
  <c r="P44" i="1"/>
  <c r="P43" i="1"/>
  <c r="O45" i="1" l="1"/>
  <c r="O44" i="1"/>
  <c r="O43" i="1"/>
  <c r="N43" i="1" l="1"/>
  <c r="M43" i="1" l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Q20" i="1" s="1"/>
  <c r="O24" i="1"/>
  <c r="R24" i="1" l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<sst xmlns="http://schemas.openxmlformats.org/spreadsheetml/2006/main" count="155" uniqueCount="65">
  <si>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</si>
  <si>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</si>
  <si>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</si>
  <si>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</si>
  <si>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</si>
  <si>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</si>
  <si>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</si>
  <si>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</si>
  <si>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</si>
  <si>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</si>
  <si>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</si>
  <si>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</si>
  <si>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</si>
  <si>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</si>
  <si>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</si>
  <si>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</si>
  <si>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</si>
  <si>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</si>
  <si>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</si>
  <si>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</si>
  <si>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</si>
  <si>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</si>
  <si>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</si>
  <si>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</si>
  <si>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</si>
  <si>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</si>
  <si>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</si>
  <si>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</si>
  <si>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</si>
  <si>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</si>
  <si>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</si>
  <si>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</si>
  <si>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</si>
  <si>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</si>
  <si>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</si>
  <si>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</si>
  <si>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</si>
  <si>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</si>
  <si>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</si>
  <si>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</si>
  <si>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</si>
  <si>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</si>
  <si>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</si>
  <si>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</si>
  <si>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</si>
  <si>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</si>
  <si>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</si>
  <si>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</si>
  <si>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</si>
  <si>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</si>
  <si>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</si>
  <si>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</si>
  <si>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</si>
  <si>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</si>
  <si>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</si>
  <si>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</si>
  <si>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</si>
  <si>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</si>
  <si>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</si>
  <si>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</si>
  <si>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</si>
  <si>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</si>
  <si>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</si>
  <si>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</si>
  <si>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MK, Phase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</si>
</sst>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29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3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0" fillId="3" borderId="15" xfId="0" applyFill="1" applyBorder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0" fontId="4" fillId="2" borderId="17" xfId="0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4" fillId="3" borderId="15" xfId="0" applyFont="1" applyFill="1" applyBorder="1" applyAlignment="1" applyProtection="1">
      <alignment horizontal="center" vertical="top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2" fillId="0" borderId="0" xfId="0" applyFont="1" applyAlignment="1" applyProtection="1">
      <alignment vertical="top" wrapText="1"/>
    </xf>
    <xf numFmtId="0" fontId="2" fillId="0" borderId="0" xfId="0" applyFont="1" applyBorder="1" applyAlignment="1" applyProtection="1">
      <alignment horizontal="center" vertical="top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0.21195691202872532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0.23559402201776194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1225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23.5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37.25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889.25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149.25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1225.5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782.75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253.75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3338.5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282.25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2220.75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320.75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152.75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1776.5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topLeftCell="A7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87"/>
      <c r="B2" s="187"/>
      <c r="C2" s="187"/>
      <c r="D2" s="187"/>
      <c r="E2" s="187"/>
      <c r="F2" s="187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80" t="s">
        <v>5</v>
      </c>
      <c r="B8" s="181"/>
      <c r="C8" s="181"/>
      <c r="D8" s="181"/>
      <c r="E8" s="188" t="s">
        <v>48</v>
      </c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9"/>
      <c r="Z8" s="18"/>
    </row>
    <row r="9" spans="1:31" s="17" customFormat="1" ht="15.75" customHeight="1" x14ac:dyDescent="0.2">
      <c r="A9" s="180" t="s">
        <v>6</v>
      </c>
      <c r="B9" s="181"/>
      <c r="C9" s="181"/>
      <c r="D9" s="181"/>
      <c r="E9" s="23" t="s">
        <v>49</v>
      </c>
      <c r="F9" s="24"/>
      <c r="G9" s="24"/>
      <c r="H9" s="24"/>
      <c r="I9" s="24"/>
      <c r="J9" s="24"/>
      <c r="K9" s="24"/>
      <c r="L9" s="181" t="s">
        <v>7</v>
      </c>
      <c r="M9" s="181"/>
      <c r="N9" s="181"/>
      <c r="O9" s="190">
        <v>43418</v>
      </c>
      <c r="P9" s="190"/>
      <c r="Q9" s="25"/>
      <c r="R9" s="26"/>
      <c r="Z9" s="18"/>
    </row>
    <row r="10" spans="1:31" s="17" customFormat="1" ht="15.75" customHeight="1" x14ac:dyDescent="0.2">
      <c r="A10" s="180" t="s">
        <v>8</v>
      </c>
      <c r="B10" s="181"/>
      <c r="C10" s="181"/>
      <c r="D10" s="181"/>
      <c r="E10" s="27" t="s">
        <v>50</v>
      </c>
      <c r="F10" s="24"/>
      <c r="G10" s="24"/>
      <c r="H10" s="24"/>
      <c r="I10" s="24"/>
      <c r="J10" s="24"/>
      <c r="K10" s="24"/>
      <c r="L10" s="191" t="s">
        <v>9</v>
      </c>
      <c r="M10" s="191"/>
      <c r="N10" s="191"/>
      <c r="O10" s="190">
        <v>44926</v>
      </c>
      <c r="P10" s="190"/>
      <c r="Q10" s="27"/>
      <c r="R10" s="28"/>
      <c r="Z10" s="18"/>
    </row>
    <row r="11" spans="1:31" s="17" customFormat="1" ht="15.75" customHeight="1" x14ac:dyDescent="0.2">
      <c r="A11" s="180" t="s">
        <v>10</v>
      </c>
      <c r="B11" s="181"/>
      <c r="C11" s="181"/>
      <c r="D11" s="181"/>
      <c r="E11" s="23" t="s">
        <v>54</v>
      </c>
      <c r="F11" s="24"/>
      <c r="G11" s="24"/>
      <c r="H11" s="24"/>
      <c r="I11" s="24"/>
      <c r="J11" s="24"/>
      <c r="K11" s="24"/>
      <c r="L11" s="181" t="s">
        <v>11</v>
      </c>
      <c r="M11" s="181"/>
      <c r="N11" s="181"/>
      <c r="O11" s="192" t="s">
        <v>52</v>
      </c>
      <c r="P11" s="171"/>
      <c r="Q11" s="25"/>
      <c r="R11" s="26"/>
      <c r="Z11" s="18"/>
    </row>
    <row r="12" spans="1:31" s="17" customFormat="1" ht="15.75" customHeight="1" x14ac:dyDescent="0.2">
      <c r="A12" s="180" t="s">
        <v>12</v>
      </c>
      <c r="B12" s="181"/>
      <c r="C12" s="181"/>
      <c r="D12" s="181"/>
      <c r="E12" s="24" t="s">
        <v>53</v>
      </c>
      <c r="F12" s="25"/>
      <c r="G12" s="25"/>
      <c r="H12" s="25"/>
      <c r="I12" s="25"/>
      <c r="J12" s="25"/>
      <c r="K12" s="25"/>
      <c r="L12" s="181" t="s">
        <v>13</v>
      </c>
      <c r="M12" s="181"/>
      <c r="N12" s="181"/>
      <c r="O12" s="171" t="s">
        <v>51</v>
      </c>
      <c r="P12" s="171"/>
      <c r="Q12" s="172"/>
      <c r="R12" s="173"/>
      <c r="Z12" s="18"/>
    </row>
    <row r="13" spans="1:31" s="17" customFormat="1" ht="15.75" customHeight="1" x14ac:dyDescent="0.2">
      <c r="A13" s="180" t="s">
        <v>14</v>
      </c>
      <c r="B13" s="181"/>
      <c r="C13" s="181"/>
      <c r="D13" s="181"/>
      <c r="E13" s="29">
        <v>43831</v>
      </c>
      <c r="F13" s="30"/>
      <c r="G13" s="31"/>
      <c r="H13" s="31"/>
      <c r="I13" s="31"/>
      <c r="J13" s="31"/>
      <c r="K13" s="31"/>
      <c r="L13" s="181" t="s">
        <v>15</v>
      </c>
      <c r="M13" s="181"/>
      <c r="N13" s="181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82" t="s">
        <v>16</v>
      </c>
      <c r="B14" s="183"/>
      <c r="C14" s="183"/>
      <c r="D14" s="183"/>
      <c r="E14" s="184">
        <v>40118</v>
      </c>
      <c r="F14" s="184"/>
      <c r="G14" s="34"/>
      <c r="H14" s="34"/>
      <c r="I14" s="34"/>
      <c r="J14" s="34"/>
      <c r="K14" s="34"/>
      <c r="L14" s="185" t="s">
        <v>17</v>
      </c>
      <c r="M14" s="185"/>
      <c r="N14" s="185"/>
      <c r="O14" s="3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79" t="s">
        <v>18</v>
      </c>
      <c r="L16" s="179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86"/>
      <c r="T16" s="43"/>
      <c r="Z16" s="18"/>
    </row>
    <row r="17" spans="1:27" s="17" customFormat="1" ht="15.75" customHeight="1" x14ac:dyDescent="0.2">
      <c r="A17" s="44"/>
      <c r="K17" s="169" t="s">
        <v>55</v>
      </c>
      <c r="L17" s="170"/>
      <c r="M17" s="45">
        <v>125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125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86"/>
      <c r="T17" s="43"/>
      <c r="Z17" s="18"/>
    </row>
    <row r="18" spans="1:27" s="17" customFormat="1" ht="15.75" customHeight="1" x14ac:dyDescent="0.2">
      <c r="A18" s="44"/>
      <c r="K18" s="169" t="s">
        <v>22</v>
      </c>
      <c r="L18" s="170"/>
      <c r="M18" s="45">
        <v>2250</v>
      </c>
      <c r="N18" s="46">
        <f t="shared" si="0"/>
        <v>320.75</v>
      </c>
      <c r="O18" s="47">
        <f t="shared" si="1"/>
        <v>152.75</v>
      </c>
      <c r="P18" s="48">
        <f t="shared" si="2"/>
        <v>1776.5</v>
      </c>
      <c r="Q18" s="49">
        <f t="shared" si="3"/>
        <v>0</v>
      </c>
      <c r="R18" s="50">
        <f t="shared" si="4"/>
        <v>0.21044444444444443</v>
      </c>
      <c r="S18" s="186"/>
      <c r="T18" s="51"/>
      <c r="Z18" s="18"/>
    </row>
    <row r="19" spans="1:27" s="17" customFormat="1" ht="15.75" customHeight="1" x14ac:dyDescent="0.2">
      <c r="A19" s="44"/>
      <c r="K19" s="169" t="s">
        <v>23</v>
      </c>
      <c r="L19" s="170"/>
      <c r="M19" s="45">
        <v>3350</v>
      </c>
      <c r="N19" s="46">
        <f t="shared" si="0"/>
        <v>847</v>
      </c>
      <c r="O19" s="47">
        <f t="shared" si="1"/>
        <v>282.25</v>
      </c>
      <c r="P19" s="48">
        <f t="shared" si="2"/>
        <v>2220.75</v>
      </c>
      <c r="Q19" s="49">
        <f t="shared" si="3"/>
        <v>0</v>
      </c>
      <c r="R19" s="50">
        <f t="shared" si="4"/>
        <v>0.33708955223880599</v>
      </c>
      <c r="S19" s="186"/>
      <c r="T19" s="43"/>
      <c r="Z19" s="18"/>
    </row>
    <row r="20" spans="1:27" s="17" customFormat="1" ht="15.75" customHeight="1" x14ac:dyDescent="0.2">
      <c r="A20" s="44"/>
      <c r="K20" s="169" t="s">
        <v>24</v>
      </c>
      <c r="L20" s="170"/>
      <c r="M20" s="45">
        <v>4375</v>
      </c>
      <c r="N20" s="46">
        <f t="shared" si="0"/>
        <v>782.75</v>
      </c>
      <c r="O20" s="47">
        <f t="shared" si="1"/>
        <v>253.75</v>
      </c>
      <c r="P20" s="48">
        <f t="shared" si="2"/>
        <v>3338.5</v>
      </c>
      <c r="Q20" s="49">
        <f t="shared" si="3"/>
        <v>0</v>
      </c>
      <c r="R20" s="50">
        <f t="shared" si="4"/>
        <v>0.23691428571428572</v>
      </c>
      <c r="Z20" s="18"/>
    </row>
    <row r="21" spans="1:27" s="17" customFormat="1" ht="15.75" customHeight="1" x14ac:dyDescent="0.2">
      <c r="A21" s="44"/>
      <c r="K21" s="169" t="s">
        <v>25</v>
      </c>
      <c r="L21" s="170"/>
      <c r="M21" s="45">
        <v>1375</v>
      </c>
      <c r="N21" s="46">
        <f t="shared" si="0"/>
        <v>149.25</v>
      </c>
      <c r="O21" s="47">
        <f t="shared" si="1"/>
        <v>0.25</v>
      </c>
      <c r="P21" s="48">
        <f t="shared" si="2"/>
        <v>1225.5</v>
      </c>
      <c r="Q21" s="49">
        <f t="shared" si="3"/>
        <v>0</v>
      </c>
      <c r="R21" s="50">
        <f t="shared" si="4"/>
        <v>0.10872727272727273</v>
      </c>
      <c r="Z21" s="18"/>
    </row>
    <row r="22" spans="1:27" s="17" customFormat="1" ht="15.75" customHeight="1" x14ac:dyDescent="0.2">
      <c r="A22" s="44"/>
      <c r="K22" s="169" t="s">
        <v>26</v>
      </c>
      <c r="L22" s="170"/>
      <c r="M22" s="45">
        <v>950</v>
      </c>
      <c r="N22" s="46">
        <f t="shared" si="0"/>
        <v>23.5</v>
      </c>
      <c r="O22" s="47">
        <f t="shared" si="1"/>
        <v>37.25</v>
      </c>
      <c r="P22" s="48">
        <f t="shared" si="2"/>
        <v>889.25</v>
      </c>
      <c r="Q22" s="49">
        <f t="shared" si="3"/>
        <v>0</v>
      </c>
      <c r="R22" s="50">
        <f t="shared" si="4"/>
        <v>6.3947368421052628E-2</v>
      </c>
      <c r="Z22" s="18"/>
    </row>
    <row r="23" spans="1:27" s="17" customFormat="1" ht="15.75" customHeight="1" x14ac:dyDescent="0.2">
      <c r="A23" s="44"/>
      <c r="K23" s="169" t="s">
        <v>41</v>
      </c>
      <c r="L23" s="170"/>
      <c r="M23" s="45">
        <v>1225</v>
      </c>
      <c r="N23" s="46">
        <f t="shared" si="0"/>
        <v>0</v>
      </c>
      <c r="O23" s="47">
        <f t="shared" si="1"/>
        <v>0</v>
      </c>
      <c r="P23" s="48">
        <f t="shared" si="2"/>
        <v>1225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69" t="s">
        <v>56</v>
      </c>
      <c r="L24" s="170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69" t="s">
        <v>57</v>
      </c>
      <c r="L25" s="170"/>
      <c r="M25" s="45"/>
      <c r="N25" s="46">
        <f t="shared" si="0"/>
        <v>78</v>
      </c>
      <c r="O25" s="47">
        <f t="shared" si="1"/>
        <v>24</v>
      </c>
      <c r="P25" s="48">
        <f t="shared" si="2"/>
        <v>0</v>
      </c>
      <c r="Q25" s="49">
        <f t="shared" si="3"/>
        <v>102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69" t="s">
        <v>59</v>
      </c>
      <c r="L26" s="170"/>
      <c r="M26" s="45">
        <v>250</v>
      </c>
      <c r="N26" s="46">
        <f t="shared" si="0"/>
        <v>0</v>
      </c>
      <c r="O26" s="47">
        <f t="shared" si="1"/>
        <v>0</v>
      </c>
      <c r="P26" s="48">
        <f t="shared" si="2"/>
        <v>250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69" t="s">
        <v>58</v>
      </c>
      <c r="L27" s="170"/>
      <c r="M27" s="45">
        <v>25</v>
      </c>
      <c r="N27" s="46">
        <f t="shared" si="0"/>
        <v>0</v>
      </c>
      <c r="O27" s="47">
        <f t="shared" si="1"/>
        <v>0</v>
      </c>
      <c r="P27" s="48">
        <f t="shared" si="2"/>
        <v>25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74" t="s">
        <v>27</v>
      </c>
      <c r="L28" s="174"/>
      <c r="M28" s="53">
        <f>SUM(M17:M27)</f>
        <v>13925</v>
      </c>
      <c r="N28" s="53">
        <f>SUM(N17:N27)</f>
        <v>2201.25</v>
      </c>
      <c r="O28" s="53">
        <f>SUM(O17:O27)</f>
        <v>750.25</v>
      </c>
      <c r="P28" s="53">
        <f>SUM(P17:P27)</f>
        <v>11075.5</v>
      </c>
      <c r="Q28" s="53">
        <f>IF(SUM(N28:O28)-SUM(U105:AV105)&gt;0,SUM(N28:O28)-SUM(U105:AV105),0)</f>
        <v>2951.5</v>
      </c>
      <c r="R28" s="54">
        <f t="shared" si="4"/>
        <v>0.21195691202872532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8" t="s">
        <v>28</v>
      </c>
      <c r="L30" s="168"/>
      <c r="M30" s="168"/>
      <c r="N30" s="168"/>
      <c r="O30" s="168"/>
      <c r="P30" s="168"/>
      <c r="Q30" s="168"/>
      <c r="R30" s="168"/>
      <c r="Z30" s="18"/>
    </row>
    <row r="31" spans="1:27" s="17" customFormat="1" ht="13.5" customHeight="1" x14ac:dyDescent="0.2">
      <c r="A31" s="44"/>
      <c r="K31" s="175" t="s">
        <v>29</v>
      </c>
      <c r="L31" s="176"/>
      <c r="M31" s="176"/>
      <c r="N31" s="176"/>
      <c r="O31" s="176"/>
      <c r="P31" s="177"/>
      <c r="Q31" s="178">
        <v>0.15</v>
      </c>
      <c r="R31" s="178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8" t="s">
        <v>30</v>
      </c>
      <c r="L33" s="168"/>
      <c r="M33" s="168"/>
      <c r="N33" s="168"/>
      <c r="O33" s="168"/>
      <c r="P33" s="168"/>
      <c r="Q33" s="168"/>
      <c r="R33" s="168"/>
      <c r="Z33" s="18"/>
    </row>
    <row r="34" spans="1:27" s="17" customFormat="1" ht="13.5" customHeight="1" x14ac:dyDescent="0.2">
      <c r="A34" s="44"/>
      <c r="K34" s="158" t="s">
        <v>31</v>
      </c>
      <c r="L34" s="158"/>
      <c r="M34" s="158"/>
      <c r="N34" s="158"/>
      <c r="O34" s="158"/>
      <c r="P34" s="158"/>
      <c r="Q34" s="159">
        <f>SUMPRODUCT(M17:M27,B90:B100)</f>
        <v>1133743.75</v>
      </c>
      <c r="R34" s="160"/>
      <c r="Z34" s="18"/>
    </row>
    <row r="35" spans="1:27" s="17" customFormat="1" ht="13.5" customHeight="1" x14ac:dyDescent="0.2">
      <c r="A35" s="44"/>
      <c r="K35" s="158" t="s">
        <v>32</v>
      </c>
      <c r="L35" s="158"/>
      <c r="M35" s="158"/>
      <c r="N35" s="158"/>
      <c r="O35" s="158"/>
      <c r="P35" s="158"/>
      <c r="Q35" s="161">
        <f>SUM(R90:R100)</f>
        <v>267103.25</v>
      </c>
      <c r="R35" s="161"/>
      <c r="Z35" s="18"/>
    </row>
    <row r="36" spans="1:27" s="17" customFormat="1" ht="13.5" customHeight="1" x14ac:dyDescent="0.2">
      <c r="A36" s="44"/>
      <c r="K36" s="162" t="s">
        <v>33</v>
      </c>
      <c r="L36" s="162"/>
      <c r="M36" s="162"/>
      <c r="N36" s="162"/>
      <c r="O36" s="162"/>
      <c r="P36" s="162"/>
      <c r="Q36" s="163">
        <f>IF(Q35&gt;0,Q35/Q34,0)</f>
        <v>0.23559402201776194</v>
      </c>
      <c r="R36" s="163"/>
      <c r="W36" s="36"/>
      <c r="Z36" s="18"/>
      <c r="AA36" s="56"/>
    </row>
    <row r="37" spans="1:27" s="17" customFormat="1" ht="13.5" customHeight="1" x14ac:dyDescent="0.2">
      <c r="A37" s="44"/>
      <c r="K37" s="162" t="s">
        <v>34</v>
      </c>
      <c r="L37" s="162"/>
      <c r="M37" s="162"/>
      <c r="N37" s="162"/>
      <c r="O37" s="162"/>
      <c r="P37" s="162"/>
      <c r="Q37" s="164">
        <f>R28</f>
        <v>0.21195691202872532</v>
      </c>
      <c r="R37" s="164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65"/>
      <c r="G39" s="165"/>
      <c r="H39" s="165"/>
      <c r="I39" s="165"/>
      <c r="J39" s="165"/>
      <c r="K39" s="165"/>
      <c r="L39" s="165"/>
      <c r="M39" s="165"/>
      <c r="N39" s="165"/>
      <c r="O39" s="165"/>
      <c r="P39" s="165"/>
      <c r="Q39" s="165"/>
      <c r="R39" s="63"/>
      <c r="Z39" s="18"/>
    </row>
    <row r="40" spans="1:27" s="17" customFormat="1" ht="12" x14ac:dyDescent="0.2">
      <c r="A40" s="64" t="s">
        <v>36</v>
      </c>
      <c r="B40" s="166" t="s">
        <v>37</v>
      </c>
      <c r="C40" s="167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53"/>
      <c r="C41" s="15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>
        <f>13.5+15.75</f>
        <v>29.25</v>
      </c>
      <c r="N43" s="70">
        <f>32.25+28</f>
        <v>60.25</v>
      </c>
      <c r="O43" s="71">
        <f>19.5+3.25+27.5+3.5</f>
        <v>53.75</v>
      </c>
      <c r="P43" s="71">
        <f>33.25+70.5</f>
        <v>103.75</v>
      </c>
      <c r="Q43" s="71"/>
      <c r="R43" s="65">
        <f t="shared" si="5"/>
        <v>247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>
        <v>80.25</v>
      </c>
      <c r="N44" s="70">
        <v>51</v>
      </c>
      <c r="O44" s="71">
        <f>41.25+23.75+16</f>
        <v>81</v>
      </c>
      <c r="P44" s="71">
        <f>52</f>
        <v>52</v>
      </c>
      <c r="Q44" s="71"/>
      <c r="R44" s="65">
        <f t="shared" si="5"/>
        <v>264.25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>
        <v>66.75</v>
      </c>
      <c r="N45" s="70">
        <v>46.25</v>
      </c>
      <c r="O45" s="71">
        <f>46+51</f>
        <v>97</v>
      </c>
      <c r="P45" s="71">
        <f>1+75.75</f>
        <v>76.75</v>
      </c>
      <c r="Q45" s="71"/>
      <c r="R45" s="65">
        <f t="shared" ref="R45" si="6">SUM(E45:Q45)</f>
        <v>286.75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>
        <v>13.5</v>
      </c>
      <c r="O47" s="71">
        <v>10</v>
      </c>
      <c r="P47" s="71">
        <v>37.25</v>
      </c>
      <c r="Q47" s="71"/>
      <c r="R47" s="65">
        <f t="shared" si="5"/>
        <v>60.75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>
        <v>3.25</v>
      </c>
      <c r="O50" s="71"/>
      <c r="P50" s="71"/>
      <c r="Q50" s="71"/>
      <c r="R50" s="65">
        <f t="shared" si="5"/>
        <v>3.25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/>
      <c r="F54" s="70"/>
      <c r="G54" s="70"/>
      <c r="H54" s="70"/>
      <c r="I54" s="70"/>
      <c r="J54" s="70"/>
      <c r="K54" s="70"/>
      <c r="L54" s="70"/>
      <c r="M54" s="70">
        <v>82.5</v>
      </c>
      <c r="N54" s="70">
        <v>57.75</v>
      </c>
      <c r="O54" s="71">
        <v>37.25</v>
      </c>
      <c r="P54" s="71">
        <v>32.5</v>
      </c>
      <c r="Q54" s="71"/>
      <c r="R54" s="65">
        <f t="shared" ref="R54" si="7">SUM(E54:Q54)</f>
        <v>210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/>
      <c r="F55" s="70"/>
      <c r="G55" s="70"/>
      <c r="H55" s="70"/>
      <c r="I55" s="70"/>
      <c r="J55" s="70"/>
      <c r="K55" s="70"/>
      <c r="L55" s="70"/>
      <c r="M55" s="70">
        <v>208.75</v>
      </c>
      <c r="N55" s="70">
        <v>210.75</v>
      </c>
      <c r="O55" s="71">
        <v>215.25</v>
      </c>
      <c r="P55" s="71">
        <v>221.25</v>
      </c>
      <c r="Q55" s="71"/>
      <c r="R55" s="65">
        <f t="shared" si="5"/>
        <v>856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/>
      <c r="F56" s="70"/>
      <c r="G56" s="70"/>
      <c r="H56" s="70"/>
      <c r="I56" s="70"/>
      <c r="J56" s="70"/>
      <c r="K56" s="70"/>
      <c r="L56" s="70"/>
      <c r="M56" s="70">
        <v>180.75</v>
      </c>
      <c r="N56" s="70">
        <v>159.25</v>
      </c>
      <c r="O56" s="71">
        <v>232.75</v>
      </c>
      <c r="P56" s="71">
        <v>135.25</v>
      </c>
      <c r="Q56" s="71"/>
      <c r="R56" s="65">
        <f t="shared" si="5"/>
        <v>708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/>
      <c r="F57" s="70"/>
      <c r="G57" s="70"/>
      <c r="H57" s="70"/>
      <c r="I57" s="70"/>
      <c r="J57" s="70"/>
      <c r="K57" s="70"/>
      <c r="L57" s="70"/>
      <c r="M57" s="70">
        <v>55.75</v>
      </c>
      <c r="N57" s="70">
        <v>25.75</v>
      </c>
      <c r="O57" s="71">
        <v>67.75</v>
      </c>
      <c r="P57" s="71"/>
      <c r="Q57" s="71"/>
      <c r="R57" s="65">
        <f t="shared" ref="R57" si="8">SUM(E57:Q57)</f>
        <v>149.25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>
        <v>10.5</v>
      </c>
      <c r="N61" s="70">
        <v>16.75</v>
      </c>
      <c r="O61" s="71">
        <v>47.5</v>
      </c>
      <c r="P61" s="71">
        <v>24</v>
      </c>
      <c r="Q61" s="71"/>
      <c r="R61" s="65">
        <f t="shared" si="5"/>
        <v>98.75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>
        <v>5</v>
      </c>
      <c r="Q64" s="71"/>
      <c r="R64" s="65">
        <f t="shared" si="5"/>
        <v>5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>
        <v>20</v>
      </c>
      <c r="Q66" s="71"/>
      <c r="R66" s="65">
        <f t="shared" ref="R66" si="9">SUM(E66:Q66)</f>
        <v>20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>
        <v>11.5</v>
      </c>
      <c r="Q70" s="71"/>
      <c r="R70" s="65">
        <f t="shared" si="5"/>
        <v>11.5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>
        <v>9</v>
      </c>
      <c r="Q71" s="71"/>
      <c r="R71" s="65">
        <f t="shared" si="5"/>
        <v>9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>
        <v>21.75</v>
      </c>
      <c r="Q72" s="71"/>
      <c r="R72" s="65">
        <f t="shared" si="5"/>
        <v>21.75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>
        <v>0.25</v>
      </c>
      <c r="Q73" s="71"/>
      <c r="R73" s="65">
        <f t="shared" si="5"/>
        <v>0.25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53"/>
      <c r="C75" s="154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53"/>
      <c r="C76" s="15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53"/>
      <c r="C77" s="15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53"/>
      <c r="C78" s="15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53"/>
      <c r="C79" s="15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53"/>
      <c r="C80" s="15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53"/>
      <c r="C81" s="15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53"/>
      <c r="C82" s="15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53"/>
      <c r="C83" s="15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53"/>
      <c r="C84" s="15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53"/>
      <c r="C85" s="15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55"/>
      <c r="C86" s="155"/>
      <c r="D86" s="75"/>
      <c r="E86" s="76">
        <f t="shared" ref="E86:Q86" si="10">SUM(E41:E85)</f>
        <v>0</v>
      </c>
      <c r="F86" s="76">
        <f t="shared" si="10"/>
        <v>0</v>
      </c>
      <c r="G86" s="76">
        <f t="shared" si="10"/>
        <v>0</v>
      </c>
      <c r="H86" s="76">
        <f t="shared" si="10"/>
        <v>0</v>
      </c>
      <c r="I86" s="76">
        <f t="shared" si="10"/>
        <v>0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714.5</v>
      </c>
      <c r="N86" s="76">
        <f t="shared" si="10"/>
        <v>644.5</v>
      </c>
      <c r="O86" s="76">
        <f t="shared" si="10"/>
        <v>842.25</v>
      </c>
      <c r="P86" s="76">
        <f t="shared" si="10"/>
        <v>750.25</v>
      </c>
      <c r="Q86" s="76">
        <f t="shared" si="10"/>
        <v>0</v>
      </c>
      <c r="R86" s="65">
        <f t="shared" si="5"/>
        <v>2951.5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56" t="s">
        <v>43</v>
      </c>
      <c r="C89" s="157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50">
        <v>145</v>
      </c>
      <c r="C90" s="15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50">
        <v>122</v>
      </c>
      <c r="C91" s="151"/>
      <c r="D91" s="65" t="str">
        <f t="shared" si="12"/>
        <v>B</v>
      </c>
      <c r="E91" s="84">
        <f t="shared" si="13"/>
        <v>0</v>
      </c>
      <c r="F91" s="84">
        <f t="shared" si="14"/>
        <v>0</v>
      </c>
      <c r="G91" s="84">
        <f t="shared" si="15"/>
        <v>0</v>
      </c>
      <c r="H91" s="84">
        <f t="shared" si="16"/>
        <v>0</v>
      </c>
      <c r="I91" s="84">
        <f t="shared" si="17"/>
        <v>0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13633.5</v>
      </c>
      <c r="N91" s="84">
        <f t="shared" si="22"/>
        <v>14396</v>
      </c>
      <c r="O91" s="84">
        <f t="shared" si="23"/>
        <v>11102</v>
      </c>
      <c r="P91" s="84">
        <f t="shared" si="24"/>
        <v>18635.5</v>
      </c>
      <c r="Q91" s="84">
        <f t="shared" si="25"/>
        <v>0</v>
      </c>
      <c r="R91" s="85">
        <f>SUM(D91:Q91)</f>
        <v>57767</v>
      </c>
      <c r="T91" s="77"/>
      <c r="Z91" s="18"/>
    </row>
    <row r="92" spans="1:26" s="17" customFormat="1" ht="12" x14ac:dyDescent="0.2">
      <c r="B92" s="150">
        <v>95</v>
      </c>
      <c r="C92" s="151"/>
      <c r="D92" s="65" t="str">
        <f t="shared" si="12"/>
        <v>C</v>
      </c>
      <c r="E92" s="84">
        <f t="shared" si="13"/>
        <v>0</v>
      </c>
      <c r="F92" s="84">
        <f t="shared" si="14"/>
        <v>0</v>
      </c>
      <c r="G92" s="84">
        <f t="shared" si="15"/>
        <v>0</v>
      </c>
      <c r="H92" s="84">
        <f t="shared" si="16"/>
        <v>0</v>
      </c>
      <c r="I92" s="84">
        <f t="shared" si="17"/>
        <v>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27455</v>
      </c>
      <c r="N92" s="84">
        <f t="shared" si="22"/>
        <v>24866.25</v>
      </c>
      <c r="O92" s="84">
        <f t="shared" si="23"/>
        <v>28143.75</v>
      </c>
      <c r="P92" s="84">
        <f t="shared" si="24"/>
        <v>26813.75</v>
      </c>
      <c r="Q92" s="84">
        <f t="shared" si="25"/>
        <v>0</v>
      </c>
      <c r="R92" s="85">
        <f t="shared" ref="R92:R100" si="26">SUM(D92:Q92)</f>
        <v>107278.75</v>
      </c>
      <c r="T92" s="77"/>
      <c r="Z92" s="18"/>
    </row>
    <row r="93" spans="1:26" s="17" customFormat="1" x14ac:dyDescent="0.2">
      <c r="A93" s="36"/>
      <c r="B93" s="150">
        <v>86</v>
      </c>
      <c r="C93" s="151"/>
      <c r="D93" s="65" t="str">
        <f t="shared" si="12"/>
        <v>D</v>
      </c>
      <c r="E93" s="84">
        <f t="shared" si="13"/>
        <v>0</v>
      </c>
      <c r="F93" s="84">
        <f t="shared" si="14"/>
        <v>0</v>
      </c>
      <c r="G93" s="84">
        <f t="shared" si="15"/>
        <v>0</v>
      </c>
      <c r="H93" s="84">
        <f t="shared" si="16"/>
        <v>0</v>
      </c>
      <c r="I93" s="84">
        <f t="shared" si="17"/>
        <v>0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21285</v>
      </c>
      <c r="N93" s="84">
        <f t="shared" si="22"/>
        <v>17673</v>
      </c>
      <c r="O93" s="84">
        <f t="shared" si="23"/>
        <v>28358.5</v>
      </c>
      <c r="P93" s="84">
        <f t="shared" si="24"/>
        <v>21822.5</v>
      </c>
      <c r="Q93" s="84">
        <f t="shared" si="25"/>
        <v>0</v>
      </c>
      <c r="R93" s="85">
        <f t="shared" si="26"/>
        <v>89139</v>
      </c>
      <c r="T93" s="77"/>
      <c r="Z93" s="18"/>
    </row>
    <row r="94" spans="1:26" s="17" customFormat="1" ht="14.25" x14ac:dyDescent="0.2">
      <c r="A94" s="86"/>
      <c r="B94" s="150">
        <v>62</v>
      </c>
      <c r="C94" s="151"/>
      <c r="D94" s="65" t="str">
        <f t="shared" si="12"/>
        <v>E</v>
      </c>
      <c r="E94" s="84">
        <f t="shared" si="13"/>
        <v>0</v>
      </c>
      <c r="F94" s="84">
        <f t="shared" si="14"/>
        <v>0</v>
      </c>
      <c r="G94" s="84">
        <f t="shared" si="15"/>
        <v>0</v>
      </c>
      <c r="H94" s="84">
        <f t="shared" si="16"/>
        <v>0</v>
      </c>
      <c r="I94" s="84">
        <f t="shared" si="17"/>
        <v>0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3456.5</v>
      </c>
      <c r="N94" s="84">
        <f t="shared" si="22"/>
        <v>1596.5</v>
      </c>
      <c r="O94" s="84">
        <f t="shared" si="23"/>
        <v>4200.5</v>
      </c>
      <c r="P94" s="84">
        <f t="shared" si="24"/>
        <v>15.5</v>
      </c>
      <c r="Q94" s="84">
        <f t="shared" si="25"/>
        <v>0</v>
      </c>
      <c r="R94" s="85">
        <f t="shared" si="26"/>
        <v>9269</v>
      </c>
      <c r="T94" s="77"/>
      <c r="Z94" s="18"/>
    </row>
    <row r="95" spans="1:26" s="17" customFormat="1" x14ac:dyDescent="0.2">
      <c r="A95" s="36"/>
      <c r="B95" s="150">
        <v>50</v>
      </c>
      <c r="C95" s="15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675</v>
      </c>
      <c r="O95" s="84">
        <f t="shared" si="23"/>
        <v>500</v>
      </c>
      <c r="P95" s="84">
        <f t="shared" si="24"/>
        <v>1862.5</v>
      </c>
      <c r="Q95" s="84">
        <f t="shared" si="25"/>
        <v>0</v>
      </c>
      <c r="R95" s="85">
        <f t="shared" si="26"/>
        <v>3037.5</v>
      </c>
      <c r="T95" s="77"/>
      <c r="Z95" s="18"/>
    </row>
    <row r="96" spans="1:26" ht="14.25" x14ac:dyDescent="0.2">
      <c r="A96" s="86"/>
      <c r="B96" s="150">
        <v>8</v>
      </c>
      <c r="C96" s="15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50">
        <v>4</v>
      </c>
      <c r="C97" s="15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50">
        <v>6</v>
      </c>
      <c r="C98" s="15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63</v>
      </c>
      <c r="N98" s="84">
        <f t="shared" si="22"/>
        <v>120</v>
      </c>
      <c r="O98" s="84">
        <f t="shared" si="23"/>
        <v>285</v>
      </c>
      <c r="P98" s="84">
        <f t="shared" si="24"/>
        <v>144</v>
      </c>
      <c r="Q98" s="84">
        <f t="shared" si="25"/>
        <v>0</v>
      </c>
      <c r="R98" s="85">
        <f t="shared" si="26"/>
        <v>612</v>
      </c>
    </row>
    <row r="99" spans="1:51" x14ac:dyDescent="0.2">
      <c r="B99" s="150">
        <v>13.5625</v>
      </c>
      <c r="C99" s="15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50">
        <v>27.125</v>
      </c>
      <c r="C100" s="15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52" t="s">
        <v>40</v>
      </c>
      <c r="C101" s="152"/>
      <c r="D101" s="152"/>
      <c r="E101" s="89">
        <f t="shared" ref="E101:Q101" si="27">SUM(E90:E100)</f>
        <v>0</v>
      </c>
      <c r="F101" s="89">
        <f t="shared" si="27"/>
        <v>0</v>
      </c>
      <c r="G101" s="89">
        <f t="shared" si="27"/>
        <v>0</v>
      </c>
      <c r="H101" s="89">
        <f t="shared" si="27"/>
        <v>0</v>
      </c>
      <c r="I101" s="89">
        <f t="shared" si="27"/>
        <v>0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65893</v>
      </c>
      <c r="N101" s="89">
        <f t="shared" si="27"/>
        <v>59326.75</v>
      </c>
      <c r="O101" s="89">
        <f t="shared" si="27"/>
        <v>72589.75</v>
      </c>
      <c r="P101" s="89">
        <f t="shared" si="27"/>
        <v>69293.75</v>
      </c>
      <c r="Q101" s="89">
        <f t="shared" si="27"/>
        <v>0</v>
      </c>
      <c r="R101" s="90">
        <f>SUM(R90:R100)</f>
        <v>267103.25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42" t="str">
        <f>D108</f>
        <v>25%/B/C</v>
      </c>
      <c r="F105" s="143"/>
      <c r="G105" s="143"/>
      <c r="H105" s="144"/>
      <c r="I105" s="142" t="str">
        <f>D109</f>
        <v>12.5%/B/C</v>
      </c>
      <c r="J105" s="143"/>
      <c r="K105" s="143"/>
      <c r="L105" s="144"/>
      <c r="M105" s="142" t="str">
        <f>D110</f>
        <v>G3/4</v>
      </c>
      <c r="N105" s="143"/>
      <c r="O105" s="143"/>
      <c r="P105" s="144"/>
      <c r="Q105" s="142" t="str">
        <f>D111</f>
        <v>G1/2</v>
      </c>
      <c r="R105" s="143"/>
      <c r="S105" s="143"/>
      <c r="T105" s="144"/>
      <c r="U105" s="142" t="str">
        <f>D112</f>
        <v>G</v>
      </c>
      <c r="V105" s="143"/>
      <c r="W105" s="143"/>
      <c r="X105" s="144"/>
      <c r="Y105" s="142" t="str">
        <f>D113</f>
        <v>F</v>
      </c>
      <c r="Z105" s="143"/>
      <c r="AA105" s="143"/>
      <c r="AB105" s="144"/>
      <c r="AC105" s="142" t="str">
        <f>D114</f>
        <v>E</v>
      </c>
      <c r="AD105" s="143"/>
      <c r="AE105" s="143"/>
      <c r="AF105" s="144"/>
      <c r="AG105" s="142" t="str">
        <f>D115</f>
        <v>D</v>
      </c>
      <c r="AH105" s="143"/>
      <c r="AI105" s="143"/>
      <c r="AJ105" s="144"/>
      <c r="AK105" s="142" t="str">
        <f>D116</f>
        <v>C</v>
      </c>
      <c r="AL105" s="143"/>
      <c r="AM105" s="143"/>
      <c r="AN105" s="144"/>
      <c r="AO105" s="142" t="str">
        <f>D117</f>
        <v>B</v>
      </c>
      <c r="AP105" s="143"/>
      <c r="AQ105" s="143"/>
      <c r="AR105" s="144"/>
      <c r="AS105" s="142" t="str">
        <f>D118</f>
        <v>A</v>
      </c>
      <c r="AT105" s="143"/>
      <c r="AU105" s="143"/>
      <c r="AV105" s="144"/>
      <c r="AW105" s="92"/>
      <c r="AX105" s="92"/>
      <c r="AY105" s="92"/>
    </row>
    <row r="106" spans="1:51" s="95" customFormat="1" ht="55.5" customHeight="1" outlineLevel="1" thickBot="1" x14ac:dyDescent="0.25">
      <c r="C106" s="148" t="s">
        <v>44</v>
      </c>
      <c r="D106" s="149"/>
      <c r="E106" s="145">
        <f>M27</f>
        <v>25</v>
      </c>
      <c r="F106" s="146"/>
      <c r="G106" s="146"/>
      <c r="H106" s="147"/>
      <c r="I106" s="145">
        <f>M26</f>
        <v>250</v>
      </c>
      <c r="J106" s="146"/>
      <c r="K106" s="146"/>
      <c r="L106" s="147"/>
      <c r="M106" s="145">
        <f>M25</f>
        <v>0</v>
      </c>
      <c r="N106" s="146"/>
      <c r="O106" s="146"/>
      <c r="P106" s="147"/>
      <c r="Q106" s="145">
        <f>M24</f>
        <v>0</v>
      </c>
      <c r="R106" s="146"/>
      <c r="S106" s="146"/>
      <c r="T106" s="147"/>
      <c r="U106" s="145">
        <f>M23</f>
        <v>1225</v>
      </c>
      <c r="V106" s="146"/>
      <c r="W106" s="146"/>
      <c r="X106" s="147"/>
      <c r="Y106" s="145">
        <f>M22</f>
        <v>950</v>
      </c>
      <c r="Z106" s="146"/>
      <c r="AA106" s="146"/>
      <c r="AB106" s="147"/>
      <c r="AC106" s="145">
        <f>M21</f>
        <v>1375</v>
      </c>
      <c r="AD106" s="146"/>
      <c r="AE106" s="146"/>
      <c r="AF106" s="147"/>
      <c r="AG106" s="145">
        <f>M20</f>
        <v>4375</v>
      </c>
      <c r="AH106" s="146"/>
      <c r="AI106" s="146"/>
      <c r="AJ106" s="147"/>
      <c r="AK106" s="145">
        <f>M19</f>
        <v>3350</v>
      </c>
      <c r="AL106" s="146"/>
      <c r="AM106" s="146"/>
      <c r="AN106" s="147"/>
      <c r="AO106" s="145">
        <f>M18</f>
        <v>2250</v>
      </c>
      <c r="AP106" s="146"/>
      <c r="AQ106" s="146"/>
      <c r="AR106" s="147"/>
      <c r="AS106" s="145">
        <f>M17</f>
        <v>125</v>
      </c>
      <c r="AT106" s="146"/>
      <c r="AU106" s="146"/>
      <c r="AV106" s="147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25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250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78</v>
      </c>
      <c r="N110" s="104">
        <f>SUMPRODUCT(($F$42:$Q$86)*(($F$40:$Q$40=$E$14)+($F$40:$Q$40=$K$14)+($F$40:$Q$40=$I$14)+($F$40:$Q$40=$G$14))*($D$42:$D$86=M$105))</f>
        <v>24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1225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23.5</v>
      </c>
      <c r="Z113" s="104">
        <f>SUMPRODUCT(($F$42:$Q$86)*(($F$40:$Q$40=$E$14)+($F$40:$Q$40=$K$14)+($F$40:$Q$40=$I$14)+($F$40:$Q$40=$G$14))*($D$42:$D$86=Y$105))</f>
        <v>37.25</v>
      </c>
      <c r="AA113" s="113">
        <f>IF(Y$106-Y113-Z113&gt;0,Y$106-Y113-Z113,0)</f>
        <v>889.25</v>
      </c>
      <c r="AB113" s="106">
        <f>IF(($Y106&gt;0),(Y113+Z113)/$Y106,0)</f>
        <v>6.3947368421052628E-2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149.25</v>
      </c>
      <c r="AD114" s="104">
        <f>SUMPRODUCT(($F$42:$Q$86)*(($F$40:$Q$40=$E$14)+($F$40:$Q$40=$K$14)+($F$40:$Q$40=$I$14)+($F$40:$Q$40=$G$14))*($D$42:$D$86=AC$105))</f>
        <v>0.25</v>
      </c>
      <c r="AE114" s="113">
        <f>IF(AC$106-AC114-AD114&gt;0,AC$106-AC114-AD114,0)</f>
        <v>1225.5</v>
      </c>
      <c r="AF114" s="106">
        <f>IF(($AC106&gt;0),(AC114+AD114)/$AC106,0)</f>
        <v>0.10872727272727273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782.75</v>
      </c>
      <c r="AH115" s="104">
        <f>SUMPRODUCT(($F$42:$Q$86)*(($F$40:$Q$40=$E$14)+($F$40:$Q$40=$K$14)+($F$40:$Q$40=$I$14)+($F$40:$Q$40=$G$14))*($D$42:$D$86=AG$105))</f>
        <v>253.75</v>
      </c>
      <c r="AI115" s="113">
        <f>IF(AG$106-AG115-AH115&gt;0,AG$106-AG115-AH115,0)</f>
        <v>3338.5</v>
      </c>
      <c r="AJ115" s="106">
        <f>IF(($AG106&gt;0),(AG115+AH115)/$AG106,0)</f>
        <v>0.23691428571428572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847</v>
      </c>
      <c r="AL116" s="104">
        <f>SUMPRODUCT(($F$42:$Q$86)*(($F$40:$Q$40=$E$14)+($F$40:$Q$40=$K$14)+($F$40:$Q$40=$I$14)+($F$40:$Q$40=$G$14))*($D$42:$D$86=AK$105))</f>
        <v>282.25</v>
      </c>
      <c r="AM116" s="113">
        <f>IF(AK$106-AK116-AL116&gt;0,AK$106-AK116-AL116,0)</f>
        <v>2220.75</v>
      </c>
      <c r="AN116" s="106">
        <f>IF(($AK106&gt;0),(AK116+AL116)/$AK106,0)</f>
        <v>0.33708955223880599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320.75</v>
      </c>
      <c r="AP117" s="104">
        <f>SUMPRODUCT(($F$42:$Q$86)*(($F$40:$Q$40=$E$14)+($F$40:$Q$40=$K$14)+($F$40:$Q$40=$I$14)+($F$40:$Q$40=$G$14))*($D$42:$D$86=AO$105))</f>
        <v>152.75</v>
      </c>
      <c r="AQ117" s="113">
        <f>IF(AO$106-AO117-AP117&gt;0,AO$106-AO117-AP117,0)</f>
        <v>1776.5</v>
      </c>
      <c r="AR117" s="106">
        <f>IF(($AO106&gt;0),(AO117+AP117)/$AO106,0)</f>
        <v>0.21044444444444443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125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  <mergeCell ref="A12:D12"/>
    <mergeCell ref="L12:N12"/>
    <mergeCell ref="A13:D13"/>
    <mergeCell ref="L13:N13"/>
    <mergeCell ref="A14:D14"/>
    <mergeCell ref="E14:F14"/>
    <mergeCell ref="L14:N14"/>
    <mergeCell ref="O12:R12"/>
    <mergeCell ref="K27:L27"/>
    <mergeCell ref="K28:L28"/>
    <mergeCell ref="K30:R30"/>
    <mergeCell ref="K31:P31"/>
    <mergeCell ref="Q31:R31"/>
    <mergeCell ref="K20:L20"/>
    <mergeCell ref="K16:L16"/>
    <mergeCell ref="K33:R33"/>
    <mergeCell ref="K21:L21"/>
    <mergeCell ref="K22:L22"/>
    <mergeCell ref="K23:L23"/>
    <mergeCell ref="K24:L24"/>
    <mergeCell ref="K25:L25"/>
    <mergeCell ref="K26:L26"/>
    <mergeCell ref="K37:P37"/>
    <mergeCell ref="Q37:R37"/>
    <mergeCell ref="F39:Q39"/>
    <mergeCell ref="B40:C40"/>
    <mergeCell ref="B41:C41"/>
    <mergeCell ref="K34:P34"/>
    <mergeCell ref="Q34:R34"/>
    <mergeCell ref="K35:P35"/>
    <mergeCell ref="Q35:R35"/>
    <mergeCell ref="K36:P36"/>
    <mergeCell ref="Q36:R36"/>
    <mergeCell ref="B75:C75"/>
    <mergeCell ref="B76:C76"/>
    <mergeCell ref="B77:C77"/>
    <mergeCell ref="B78:C78"/>
    <mergeCell ref="B79:C79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99:C99"/>
    <mergeCell ref="B100:C100"/>
    <mergeCell ref="B101:D101"/>
    <mergeCell ref="E105:H105"/>
    <mergeCell ref="I105:L105"/>
    <mergeCell ref="B94:C94"/>
    <mergeCell ref="B95:C95"/>
    <mergeCell ref="B96:C96"/>
    <mergeCell ref="B97:C97"/>
    <mergeCell ref="B98:C98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AG105:AJ105"/>
    <mergeCell ref="AK105:AN105"/>
    <mergeCell ref="AO105:AR105"/>
    <mergeCell ref="AK106:AN106"/>
    <mergeCell ref="AO106:AR106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Noëlle Weider</cp:lastModifiedBy>
  <cp:lastPrinted>2021-02-16T14:11:15Z</cp:lastPrinted>
  <dcterms:created xsi:type="dcterms:W3CDTF">2018-01-15T08:58:52Z</dcterms:created>
  <dcterms:modified xsi:type="dcterms:W3CDTF">2021-02-16T14:11:21Z</dcterms:modified>
</cp:coreProperties>
</file>