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45621"/>
</workbook>
</file>

<file path=xl/calcChain.xml><?xml version="1.0" encoding="utf-8"?>
<calcChain xmlns="http://schemas.openxmlformats.org/spreadsheetml/2006/main">
  <c r="G56" i="1" l="1"/>
  <c r="G55" i="1"/>
  <c r="G45" i="1" l="1"/>
  <c r="M22" i="1" l="1"/>
  <c r="M21" i="1"/>
  <c r="M19" i="1"/>
  <c r="G44" i="1" l="1"/>
  <c r="G43" i="1"/>
  <c r="Q34" i="1" l="1"/>
  <c r="M18" i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M92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P99" i="1" l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E105" i="1" s="1"/>
  <c r="F108" i="1" s="1"/>
  <c r="E108" i="1" s="1"/>
  <c r="G108" i="1" s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T111" i="1" l="1"/>
  <c r="H108" i="1"/>
  <c r="AF114" i="1"/>
  <c r="AB113" i="1"/>
  <c r="L109" i="1"/>
  <c r="R91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W112" i="1" l="1"/>
  <c r="X112" i="1"/>
  <c r="Q35" i="1"/>
  <c r="Q36" i="1" s="1"/>
  <c r="R101" i="1"/>
  <c r="AT118" i="1"/>
  <c r="AS118" i="1" s="1"/>
  <c r="AV118" i="1" l="1"/>
  <c r="AU118" i="1"/>
  <c r="P26" i="1" s="1"/>
  <c r="P19" i="1" l="1"/>
  <c r="O23" i="1"/>
  <c r="P17" i="1"/>
  <c r="O17" i="1"/>
  <c r="N27" i="1"/>
  <c r="N17" i="1"/>
  <c r="N24" i="1"/>
  <c r="N23" i="1"/>
  <c r="N22" i="1"/>
  <c r="P23" i="1"/>
  <c r="P24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Q20" i="1" s="1"/>
  <c r="O24" i="1"/>
  <c r="R24" i="1" l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<sst xmlns="http://schemas.openxmlformats.org/spreadsheetml/2006/main" count="144" uniqueCount="64">
  <si>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</si>
  <si>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</si>
  <si>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</si>
  <si>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</si>
  <si>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</si>
  <si>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</si>
  <si>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</si>
  <si>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</si>
  <si>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</si>
  <si>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</si>
  <si>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</si>
  <si>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</si>
  <si>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</si>
  <si>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</si>
  <si>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</si>
  <si>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</si>
  <si>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</si>
  <si>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</si>
  <si>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</si>
  <si>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</si>
  <si>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</si>
  <si>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</si>
  <si>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</si>
  <si>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</si>
  <si>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</si>
  <si>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</si>
  <si>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</si>
  <si>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</si>
  <si>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</si>
  <si>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</si>
  <si>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</si>
  <si>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</si>
  <si>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</si>
  <si>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</si>
  <si>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</si>
  <si>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</si>
  <si>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</si>
  <si>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</si>
  <si>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</si>
  <si>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</si>
  <si>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</si>
  <si>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</si>
  <si>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</si>
  <si>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</si>
  <si>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</si>
  <si>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</si>
  <si>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</si>
  <si>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</si>
  <si>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</si>
  <si>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</si>
  <si>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</si>
  <si>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</si>
  <si>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</si>
  <si>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</si>
  <si>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</si>
  <si>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</si>
  <si>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</si>
  <si>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</si>
  <si>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</si>
  <si>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</si>
  <si>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</si>
  <si>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</si>
  <si>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</si>
  <si>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EK/GP, Phase 21/22, NO1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</si>
</sst>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29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3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6.7915309446254069E-2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8.3868485946021878E-2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650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1242.5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54.5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1491.5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77.25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1482.75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112.25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3873.75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280.25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117.5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3551.25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196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118.5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1785.5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12.75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112.25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xmlns="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xmlns="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xmlns="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xmlns="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xmlns="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xmlns="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xmlns="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xmlns="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xmlns="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xmlns="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xmlns="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xmlns="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xmlns="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xmlns="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xmlns="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xmlns="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xmlns="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xmlns="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xmlns="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16" zoomScale="115" zoomScaleNormal="115" zoomScaleSheetLayoutView="100" workbookViewId="0">
      <selection activeCell="I71" sqref="I71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7"/>
      <c r="B2" s="187"/>
      <c r="C2" s="187"/>
      <c r="D2" s="187"/>
      <c r="E2" s="187"/>
      <c r="F2" s="187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0" t="s">
        <v>5</v>
      </c>
      <c r="B8" s="181"/>
      <c r="C8" s="181"/>
      <c r="D8" s="181"/>
      <c r="E8" s="188" t="s">
        <v>48</v>
      </c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9"/>
      <c r="Z8" s="18"/>
    </row>
    <row r="9" spans="1:31" s="17" customFormat="1" ht="15.75" customHeight="1" x14ac:dyDescent="0.2">
      <c r="A9" s="180" t="s">
        <v>6</v>
      </c>
      <c r="B9" s="181"/>
      <c r="C9" s="181"/>
      <c r="D9" s="181"/>
      <c r="E9" s="23" t="s">
        <v>49</v>
      </c>
      <c r="F9" s="24"/>
      <c r="G9" s="24"/>
      <c r="H9" s="24"/>
      <c r="I9" s="24"/>
      <c r="J9" s="24"/>
      <c r="K9" s="24"/>
      <c r="L9" s="181" t="s">
        <v>7</v>
      </c>
      <c r="M9" s="181"/>
      <c r="N9" s="181"/>
      <c r="O9" s="190">
        <v>43418</v>
      </c>
      <c r="P9" s="190"/>
      <c r="Q9" s="25"/>
      <c r="R9" s="26"/>
      <c r="Z9" s="18"/>
    </row>
    <row r="10" spans="1:31" s="17" customFormat="1" ht="15.75" customHeight="1" x14ac:dyDescent="0.2">
      <c r="A10" s="180" t="s">
        <v>8</v>
      </c>
      <c r="B10" s="181"/>
      <c r="C10" s="181"/>
      <c r="D10" s="181"/>
      <c r="E10" s="27" t="s">
        <v>50</v>
      </c>
      <c r="F10" s="24"/>
      <c r="G10" s="24"/>
      <c r="H10" s="24"/>
      <c r="I10" s="24"/>
      <c r="J10" s="24"/>
      <c r="K10" s="24"/>
      <c r="L10" s="191" t="s">
        <v>9</v>
      </c>
      <c r="M10" s="191"/>
      <c r="N10" s="191"/>
      <c r="O10" s="190">
        <v>44926</v>
      </c>
      <c r="P10" s="190"/>
      <c r="Q10" s="27"/>
      <c r="R10" s="28"/>
      <c r="Z10" s="18"/>
    </row>
    <row r="11" spans="1:31" s="17" customFormat="1" ht="15.75" customHeight="1" x14ac:dyDescent="0.2">
      <c r="A11" s="180" t="s">
        <v>10</v>
      </c>
      <c r="B11" s="181"/>
      <c r="C11" s="181"/>
      <c r="D11" s="181"/>
      <c r="E11" s="23" t="s">
        <v>54</v>
      </c>
      <c r="F11" s="24"/>
      <c r="G11" s="24"/>
      <c r="H11" s="24"/>
      <c r="I11" s="24"/>
      <c r="J11" s="24"/>
      <c r="K11" s="24"/>
      <c r="L11" s="181" t="s">
        <v>11</v>
      </c>
      <c r="M11" s="181"/>
      <c r="N11" s="181"/>
      <c r="O11" s="192" t="s">
        <v>52</v>
      </c>
      <c r="P11" s="171"/>
      <c r="Q11" s="25"/>
      <c r="R11" s="26"/>
      <c r="Z11" s="18"/>
    </row>
    <row r="12" spans="1:31" s="17" customFormat="1" ht="15.75" customHeight="1" x14ac:dyDescent="0.2">
      <c r="A12" s="180" t="s">
        <v>12</v>
      </c>
      <c r="B12" s="181"/>
      <c r="C12" s="181"/>
      <c r="D12" s="181"/>
      <c r="E12" s="24" t="s">
        <v>53</v>
      </c>
      <c r="F12" s="25"/>
      <c r="G12" s="25"/>
      <c r="H12" s="25"/>
      <c r="I12" s="25"/>
      <c r="J12" s="25"/>
      <c r="K12" s="25"/>
      <c r="L12" s="181" t="s">
        <v>13</v>
      </c>
      <c r="M12" s="181"/>
      <c r="N12" s="181"/>
      <c r="O12" s="171" t="s">
        <v>51</v>
      </c>
      <c r="P12" s="171"/>
      <c r="Q12" s="172"/>
      <c r="R12" s="173"/>
      <c r="Z12" s="18"/>
    </row>
    <row r="13" spans="1:31" s="17" customFormat="1" ht="15.75" customHeight="1" x14ac:dyDescent="0.2">
      <c r="A13" s="180" t="s">
        <v>14</v>
      </c>
      <c r="B13" s="181"/>
      <c r="C13" s="181"/>
      <c r="D13" s="181"/>
      <c r="E13" s="29">
        <v>43466</v>
      </c>
      <c r="F13" s="30"/>
      <c r="G13" s="31"/>
      <c r="H13" s="31"/>
      <c r="I13" s="31"/>
      <c r="J13" s="31"/>
      <c r="K13" s="31"/>
      <c r="L13" s="181" t="s">
        <v>15</v>
      </c>
      <c r="M13" s="181"/>
      <c r="N13" s="181"/>
      <c r="O13" s="32" t="s">
        <v>63</v>
      </c>
      <c r="P13" s="32"/>
      <c r="Q13" s="31"/>
      <c r="R13" s="33"/>
      <c r="Z13" s="18"/>
    </row>
    <row r="14" spans="1:31" s="17" customFormat="1" ht="15.75" customHeight="1" x14ac:dyDescent="0.2">
      <c r="A14" s="182" t="s">
        <v>16</v>
      </c>
      <c r="B14" s="183"/>
      <c r="C14" s="183"/>
      <c r="D14" s="183"/>
      <c r="E14" s="184">
        <v>39845</v>
      </c>
      <c r="F14" s="184"/>
      <c r="G14" s="34"/>
      <c r="H14" s="34"/>
      <c r="I14" s="34"/>
      <c r="J14" s="34"/>
      <c r="K14" s="34"/>
      <c r="L14" s="185" t="s">
        <v>17</v>
      </c>
      <c r="M14" s="185"/>
      <c r="N14" s="185"/>
      <c r="O14" s="32" t="s">
        <v>63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79" t="s">
        <v>18</v>
      </c>
      <c r="L16" s="179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6"/>
      <c r="T16" s="43"/>
      <c r="Z16" s="18"/>
    </row>
    <row r="17" spans="1:27" s="17" customFormat="1" ht="15.75" customHeight="1" x14ac:dyDescent="0.2">
      <c r="A17" s="44"/>
      <c r="K17" s="169" t="s">
        <v>55</v>
      </c>
      <c r="L17" s="170"/>
      <c r="M17" s="45">
        <v>125</v>
      </c>
      <c r="N17" s="46">
        <f t="shared" ref="N17:N27" si="0">SUMPRODUCT(($D$108:$D$118=$K17)*($E$107:$AV$107=$N$16)*($E$108:$AV$118))</f>
        <v>12.75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112.25</v>
      </c>
      <c r="Q17" s="49">
        <f t="shared" ref="Q17:Q27" si="3">IF(P17=0,N17+O17-M17,0)</f>
        <v>0</v>
      </c>
      <c r="R17" s="50">
        <f t="shared" ref="R17:R28" si="4">IF(M17&lt;&gt;0,(O17+N17)/M17,0)</f>
        <v>0.10199999999999999</v>
      </c>
      <c r="S17" s="186"/>
      <c r="T17" s="43"/>
      <c r="Z17" s="18"/>
    </row>
    <row r="18" spans="1:27" s="17" customFormat="1" ht="15.75" customHeight="1" x14ac:dyDescent="0.2">
      <c r="A18" s="44"/>
      <c r="K18" s="169" t="s">
        <v>22</v>
      </c>
      <c r="L18" s="170"/>
      <c r="M18" s="45">
        <f>700+200+300+900</f>
        <v>2100</v>
      </c>
      <c r="N18" s="46">
        <f t="shared" si="0"/>
        <v>196</v>
      </c>
      <c r="O18" s="47">
        <f t="shared" si="1"/>
        <v>118.5</v>
      </c>
      <c r="P18" s="48">
        <f t="shared" si="2"/>
        <v>1785.5</v>
      </c>
      <c r="Q18" s="49">
        <f t="shared" si="3"/>
        <v>0</v>
      </c>
      <c r="R18" s="50">
        <f t="shared" si="4"/>
        <v>0.14976190476190476</v>
      </c>
      <c r="S18" s="186"/>
      <c r="T18" s="51"/>
      <c r="Z18" s="18"/>
    </row>
    <row r="19" spans="1:27" s="17" customFormat="1" ht="15.75" customHeight="1" x14ac:dyDescent="0.2">
      <c r="A19" s="44"/>
      <c r="K19" s="169" t="s">
        <v>23</v>
      </c>
      <c r="L19" s="170"/>
      <c r="M19" s="45">
        <f>2950+999</f>
        <v>3949</v>
      </c>
      <c r="N19" s="46">
        <f t="shared" si="0"/>
        <v>280.25</v>
      </c>
      <c r="O19" s="47">
        <f t="shared" si="1"/>
        <v>117.5</v>
      </c>
      <c r="P19" s="48">
        <f t="shared" si="2"/>
        <v>3551.25</v>
      </c>
      <c r="Q19" s="49">
        <f t="shared" si="3"/>
        <v>0</v>
      </c>
      <c r="R19" s="50">
        <f t="shared" si="4"/>
        <v>0.10072170169663205</v>
      </c>
      <c r="S19" s="186"/>
      <c r="T19" s="43"/>
      <c r="Z19" s="18"/>
    </row>
    <row r="20" spans="1:27" s="17" customFormat="1" ht="15.75" customHeight="1" x14ac:dyDescent="0.2">
      <c r="A20" s="44"/>
      <c r="K20" s="169" t="s">
        <v>24</v>
      </c>
      <c r="L20" s="170"/>
      <c r="M20" s="45">
        <v>4025</v>
      </c>
      <c r="N20" s="46">
        <f t="shared" si="0"/>
        <v>112.25</v>
      </c>
      <c r="O20" s="47">
        <f t="shared" si="1"/>
        <v>39</v>
      </c>
      <c r="P20" s="48">
        <f t="shared" si="2"/>
        <v>3873.75</v>
      </c>
      <c r="Q20" s="49">
        <f t="shared" si="3"/>
        <v>0</v>
      </c>
      <c r="R20" s="50">
        <f t="shared" si="4"/>
        <v>3.7577639751552795E-2</v>
      </c>
      <c r="Z20" s="18"/>
    </row>
    <row r="21" spans="1:27" s="17" customFormat="1" ht="15.75" customHeight="1" x14ac:dyDescent="0.2">
      <c r="A21" s="44"/>
      <c r="K21" s="169" t="s">
        <v>25</v>
      </c>
      <c r="L21" s="170"/>
      <c r="M21" s="45">
        <f>1125+435</f>
        <v>1560</v>
      </c>
      <c r="N21" s="46">
        <f t="shared" si="0"/>
        <v>77.25</v>
      </c>
      <c r="O21" s="47">
        <f t="shared" si="1"/>
        <v>0</v>
      </c>
      <c r="P21" s="48">
        <f t="shared" si="2"/>
        <v>1482.75</v>
      </c>
      <c r="Q21" s="49">
        <f t="shared" si="3"/>
        <v>0</v>
      </c>
      <c r="R21" s="50">
        <f t="shared" si="4"/>
        <v>4.9519230769230767E-2</v>
      </c>
      <c r="Z21" s="18"/>
    </row>
    <row r="22" spans="1:27" s="17" customFormat="1" ht="15.75" customHeight="1" x14ac:dyDescent="0.2">
      <c r="A22" s="44"/>
      <c r="K22" s="169" t="s">
        <v>26</v>
      </c>
      <c r="L22" s="170"/>
      <c r="M22" s="45">
        <f>1000+573</f>
        <v>1573</v>
      </c>
      <c r="N22" s="46">
        <f t="shared" si="0"/>
        <v>54.5</v>
      </c>
      <c r="O22" s="47">
        <f t="shared" si="1"/>
        <v>27</v>
      </c>
      <c r="P22" s="48">
        <f t="shared" si="2"/>
        <v>1491.5</v>
      </c>
      <c r="Q22" s="49">
        <f t="shared" si="3"/>
        <v>0</v>
      </c>
      <c r="R22" s="50">
        <f t="shared" si="4"/>
        <v>5.1811824539097266E-2</v>
      </c>
      <c r="Z22" s="18"/>
    </row>
    <row r="23" spans="1:27" s="17" customFormat="1" ht="15.75" customHeight="1" x14ac:dyDescent="0.2">
      <c r="A23" s="44"/>
      <c r="K23" s="169" t="s">
        <v>41</v>
      </c>
      <c r="L23" s="170"/>
      <c r="M23" s="45">
        <v>1250</v>
      </c>
      <c r="N23" s="46">
        <f t="shared" si="0"/>
        <v>7.5</v>
      </c>
      <c r="O23" s="47">
        <f t="shared" si="1"/>
        <v>0</v>
      </c>
      <c r="P23" s="48">
        <f t="shared" si="2"/>
        <v>1242.5</v>
      </c>
      <c r="Q23" s="49">
        <f t="shared" si="3"/>
        <v>0</v>
      </c>
      <c r="R23" s="50">
        <f t="shared" si="4"/>
        <v>6.0000000000000001E-3</v>
      </c>
      <c r="Z23" s="18"/>
    </row>
    <row r="24" spans="1:27" s="17" customFormat="1" ht="15.75" customHeight="1" x14ac:dyDescent="0.2">
      <c r="A24" s="44"/>
      <c r="K24" s="169" t="s">
        <v>56</v>
      </c>
      <c r="L24" s="170"/>
      <c r="M24" s="45">
        <v>68</v>
      </c>
      <c r="N24" s="46">
        <f t="shared" si="0"/>
        <v>0</v>
      </c>
      <c r="O24" s="47">
        <f t="shared" si="1"/>
        <v>0</v>
      </c>
      <c r="P24" s="48">
        <f t="shared" si="2"/>
        <v>68</v>
      </c>
      <c r="Q24" s="49">
        <f t="shared" si="3"/>
        <v>0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69" t="s">
        <v>57</v>
      </c>
      <c r="L25" s="170"/>
      <c r="M25" s="45"/>
      <c r="N25" s="46">
        <f t="shared" si="0"/>
        <v>0</v>
      </c>
      <c r="O25" s="47">
        <f t="shared" si="1"/>
        <v>0</v>
      </c>
      <c r="P25" s="48">
        <f t="shared" si="2"/>
        <v>0</v>
      </c>
      <c r="Q25" s="49">
        <f t="shared" si="3"/>
        <v>0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69" t="s">
        <v>59</v>
      </c>
      <c r="L26" s="170"/>
      <c r="M26" s="45">
        <v>650</v>
      </c>
      <c r="N26" s="46">
        <f t="shared" si="0"/>
        <v>0</v>
      </c>
      <c r="O26" s="47">
        <f t="shared" si="1"/>
        <v>0</v>
      </c>
      <c r="P26" s="48">
        <f t="shared" si="2"/>
        <v>650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69" t="s">
        <v>58</v>
      </c>
      <c r="L27" s="170"/>
      <c r="M27" s="45">
        <v>50</v>
      </c>
      <c r="N27" s="46">
        <f t="shared" si="0"/>
        <v>0</v>
      </c>
      <c r="O27" s="47">
        <f t="shared" si="1"/>
        <v>0</v>
      </c>
      <c r="P27" s="48">
        <f t="shared" si="2"/>
        <v>50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4" t="s">
        <v>27</v>
      </c>
      <c r="L28" s="174"/>
      <c r="M28" s="53">
        <f>SUM(M17:M27)</f>
        <v>15350</v>
      </c>
      <c r="N28" s="53">
        <f>SUM(N17:N27)</f>
        <v>740.5</v>
      </c>
      <c r="O28" s="53">
        <f>SUM(O17:O27)</f>
        <v>302</v>
      </c>
      <c r="P28" s="53">
        <f>SUM(P17:P27)</f>
        <v>14307.5</v>
      </c>
      <c r="Q28" s="53">
        <f>IF(SUM(N28:O28)-SUM(U105:AV105)&gt;0,SUM(N28:O28)-SUM(U105:AV105),0)</f>
        <v>1042.5</v>
      </c>
      <c r="R28" s="54">
        <f t="shared" si="4"/>
        <v>6.7915309446254069E-2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8" t="s">
        <v>28</v>
      </c>
      <c r="L30" s="168"/>
      <c r="M30" s="168"/>
      <c r="N30" s="168"/>
      <c r="O30" s="168"/>
      <c r="P30" s="168"/>
      <c r="Q30" s="168"/>
      <c r="R30" s="168"/>
      <c r="Z30" s="18"/>
    </row>
    <row r="31" spans="1:27" s="17" customFormat="1" ht="13.5" customHeight="1" x14ac:dyDescent="0.2">
      <c r="A31" s="44"/>
      <c r="K31" s="175" t="s">
        <v>29</v>
      </c>
      <c r="L31" s="176"/>
      <c r="M31" s="176"/>
      <c r="N31" s="176"/>
      <c r="O31" s="176"/>
      <c r="P31" s="177"/>
      <c r="Q31" s="178">
        <v>0.08</v>
      </c>
      <c r="R31" s="178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8" t="s">
        <v>30</v>
      </c>
      <c r="L33" s="168"/>
      <c r="M33" s="168"/>
      <c r="N33" s="168"/>
      <c r="O33" s="168"/>
      <c r="P33" s="168"/>
      <c r="Q33" s="168"/>
      <c r="R33" s="168"/>
      <c r="Z33" s="18"/>
    </row>
    <row r="34" spans="1:27" s="17" customFormat="1" ht="13.5" customHeight="1" x14ac:dyDescent="0.2">
      <c r="A34" s="44"/>
      <c r="K34" s="158" t="s">
        <v>31</v>
      </c>
      <c r="L34" s="158"/>
      <c r="M34" s="158"/>
      <c r="N34" s="158"/>
      <c r="O34" s="158"/>
      <c r="P34" s="158"/>
      <c r="Q34" s="159">
        <f>SUMPRODUCT(M17:M27,B90:B100)</f>
        <v>1191579.875</v>
      </c>
      <c r="R34" s="160"/>
      <c r="Z34" s="18"/>
    </row>
    <row r="35" spans="1:27" s="17" customFormat="1" ht="13.5" customHeight="1" x14ac:dyDescent="0.2">
      <c r="A35" s="44"/>
      <c r="K35" s="158" t="s">
        <v>32</v>
      </c>
      <c r="L35" s="158"/>
      <c r="M35" s="158"/>
      <c r="N35" s="158"/>
      <c r="O35" s="158"/>
      <c r="P35" s="158"/>
      <c r="Q35" s="161">
        <f>SUM(R90:R100)</f>
        <v>99936</v>
      </c>
      <c r="R35" s="161"/>
      <c r="Z35" s="18"/>
    </row>
    <row r="36" spans="1:27" s="17" customFormat="1" ht="13.5" customHeight="1" x14ac:dyDescent="0.2">
      <c r="A36" s="44"/>
      <c r="K36" s="162" t="s">
        <v>33</v>
      </c>
      <c r="L36" s="162"/>
      <c r="M36" s="162"/>
      <c r="N36" s="162"/>
      <c r="O36" s="162"/>
      <c r="P36" s="162"/>
      <c r="Q36" s="163">
        <f>IF(Q35&gt;0,Q35/Q34,0)</f>
        <v>8.3868485946021878E-2</v>
      </c>
      <c r="R36" s="163"/>
      <c r="W36" s="36"/>
      <c r="Z36" s="18"/>
      <c r="AA36" s="56"/>
    </row>
    <row r="37" spans="1:27" s="17" customFormat="1" ht="13.5" customHeight="1" x14ac:dyDescent="0.2">
      <c r="A37" s="44"/>
      <c r="K37" s="162" t="s">
        <v>34</v>
      </c>
      <c r="L37" s="162"/>
      <c r="M37" s="162"/>
      <c r="N37" s="162"/>
      <c r="O37" s="162"/>
      <c r="P37" s="162"/>
      <c r="Q37" s="164">
        <f>R28</f>
        <v>6.7915309446254069E-2</v>
      </c>
      <c r="R37" s="164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63"/>
      <c r="Z39" s="18"/>
    </row>
    <row r="40" spans="1:27" s="17" customFormat="1" ht="12" x14ac:dyDescent="0.2">
      <c r="A40" s="64" t="s">
        <v>36</v>
      </c>
      <c r="B40" s="166" t="s">
        <v>37</v>
      </c>
      <c r="C40" s="167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3"/>
      <c r="C41" s="15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119.75</v>
      </c>
      <c r="F43" s="70">
        <v>14.75</v>
      </c>
      <c r="G43" s="70">
        <f>72.25+8.5</f>
        <v>80.75</v>
      </c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215.25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149.25</v>
      </c>
      <c r="F44" s="70">
        <v>63.75</v>
      </c>
      <c r="G44" s="70">
        <f>41+51</f>
        <v>92</v>
      </c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305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44.5</v>
      </c>
      <c r="F45" s="70">
        <v>9.25</v>
      </c>
      <c r="G45" s="70">
        <f>8.5</f>
        <v>8.5</v>
      </c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62.25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56</v>
      </c>
      <c r="F46" s="70">
        <v>21.25</v>
      </c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77.25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>
        <v>54.5</v>
      </c>
      <c r="G47" s="70">
        <v>27</v>
      </c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81.5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>
        <v>12.75</v>
      </c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12.75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42.5</v>
      </c>
      <c r="F54" s="70">
        <v>1.5</v>
      </c>
      <c r="G54" s="70">
        <v>27.75</v>
      </c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71.75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39.75</v>
      </c>
      <c r="F55" s="70">
        <v>27.5</v>
      </c>
      <c r="G55" s="70">
        <f>12+13.5</f>
        <v>25.5</v>
      </c>
      <c r="H55" s="70"/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92.75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48</v>
      </c>
      <c r="F56" s="70">
        <v>10.5</v>
      </c>
      <c r="G56" s="70">
        <f>17.5+13</f>
        <v>30.5</v>
      </c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89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0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>
        <v>7.5</v>
      </c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7.5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0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8.5</v>
      </c>
      <c r="F64" s="70">
        <v>9</v>
      </c>
      <c r="G64" s="70">
        <v>10</v>
      </c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27.5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/>
      <c r="B70" s="141"/>
      <c r="C70" s="140"/>
      <c r="D70" s="69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/>
      <c r="C71" s="140"/>
      <c r="D71" s="69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/>
      <c r="C72" s="73"/>
      <c r="D72" s="69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/>
      <c r="C73" s="73"/>
      <c r="D73" s="69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/>
      <c r="C74" s="73"/>
      <c r="D74" s="69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3"/>
      <c r="C75" s="154"/>
      <c r="D75" s="69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53"/>
      <c r="C76" s="15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3"/>
      <c r="C77" s="15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3"/>
      <c r="C78" s="15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3"/>
      <c r="C79" s="15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3"/>
      <c r="C80" s="15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3"/>
      <c r="C81" s="15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3"/>
      <c r="C82" s="15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3"/>
      <c r="C83" s="15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3"/>
      <c r="C84" s="15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3"/>
      <c r="C85" s="15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5"/>
      <c r="C86" s="155"/>
      <c r="D86" s="75"/>
      <c r="E86" s="76">
        <f t="shared" ref="E86:Q86" si="10">SUM(E41:E85)</f>
        <v>528.5</v>
      </c>
      <c r="F86" s="76">
        <f t="shared" si="10"/>
        <v>212</v>
      </c>
      <c r="G86" s="76">
        <f t="shared" si="10"/>
        <v>302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1042.5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6" t="s">
        <v>43</v>
      </c>
      <c r="C89" s="157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0">
        <v>145</v>
      </c>
      <c r="C90" s="151"/>
      <c r="D90" s="65" t="str">
        <f t="shared" ref="D90:D100" si="12">K17</f>
        <v>A</v>
      </c>
      <c r="E90" s="84">
        <f t="shared" ref="E90:E100" si="13">SUMPRODUCT(($D$41:$D$85=$D90)*($E$41:$E$85))*$B90</f>
        <v>1848.75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1848.75</v>
      </c>
      <c r="T90" s="77"/>
      <c r="Z90" s="18"/>
    </row>
    <row r="91" spans="1:26" s="17" customFormat="1" ht="12" x14ac:dyDescent="0.2">
      <c r="B91" s="150">
        <v>122</v>
      </c>
      <c r="C91" s="151"/>
      <c r="D91" s="65" t="str">
        <f t="shared" si="12"/>
        <v>B</v>
      </c>
      <c r="E91" s="84">
        <f t="shared" si="13"/>
        <v>20831.5</v>
      </c>
      <c r="F91" s="84">
        <f t="shared" si="14"/>
        <v>3080.5</v>
      </c>
      <c r="G91" s="84">
        <f t="shared" si="15"/>
        <v>14457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 t="shared" ref="R91:R100" si="26">SUM(D91:Q91)</f>
        <v>38369</v>
      </c>
      <c r="T91" s="77"/>
      <c r="Z91" s="18"/>
    </row>
    <row r="92" spans="1:26" s="17" customFormat="1" ht="12" x14ac:dyDescent="0.2">
      <c r="B92" s="150">
        <v>95</v>
      </c>
      <c r="C92" s="151"/>
      <c r="D92" s="65" t="str">
        <f t="shared" si="12"/>
        <v>C</v>
      </c>
      <c r="E92" s="84">
        <f t="shared" si="13"/>
        <v>17955</v>
      </c>
      <c r="F92" s="84">
        <f t="shared" si="14"/>
        <v>8668.75</v>
      </c>
      <c r="G92" s="84">
        <f t="shared" si="15"/>
        <v>11162.5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si="26"/>
        <v>37786.25</v>
      </c>
      <c r="T92" s="77"/>
      <c r="Z92" s="18"/>
    </row>
    <row r="93" spans="1:26" s="17" customFormat="1" x14ac:dyDescent="0.2">
      <c r="A93" s="36"/>
      <c r="B93" s="150">
        <v>86</v>
      </c>
      <c r="C93" s="151"/>
      <c r="D93" s="65" t="str">
        <f t="shared" si="12"/>
        <v>D</v>
      </c>
      <c r="E93" s="84">
        <f t="shared" si="13"/>
        <v>7955</v>
      </c>
      <c r="F93" s="84">
        <f t="shared" si="14"/>
        <v>1698.5</v>
      </c>
      <c r="G93" s="84">
        <f t="shared" si="15"/>
        <v>3354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13007.5</v>
      </c>
      <c r="T93" s="77"/>
      <c r="Z93" s="18"/>
    </row>
    <row r="94" spans="1:26" s="17" customFormat="1" ht="14.25" x14ac:dyDescent="0.2">
      <c r="A94" s="86"/>
      <c r="B94" s="150">
        <v>62</v>
      </c>
      <c r="C94" s="151"/>
      <c r="D94" s="65" t="str">
        <f t="shared" si="12"/>
        <v>E</v>
      </c>
      <c r="E94" s="84">
        <f t="shared" si="13"/>
        <v>3472</v>
      </c>
      <c r="F94" s="84">
        <f t="shared" si="14"/>
        <v>1317.5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4789.5</v>
      </c>
      <c r="T94" s="77"/>
      <c r="Z94" s="18"/>
    </row>
    <row r="95" spans="1:26" s="17" customFormat="1" x14ac:dyDescent="0.2">
      <c r="A95" s="36"/>
      <c r="B95" s="150">
        <v>50</v>
      </c>
      <c r="C95" s="151"/>
      <c r="D95" s="65" t="str">
        <f t="shared" si="12"/>
        <v>F</v>
      </c>
      <c r="E95" s="84">
        <f t="shared" si="13"/>
        <v>0</v>
      </c>
      <c r="F95" s="84">
        <f t="shared" si="14"/>
        <v>2725</v>
      </c>
      <c r="G95" s="84">
        <f t="shared" si="15"/>
        <v>1350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4075</v>
      </c>
      <c r="T95" s="77"/>
      <c r="Z95" s="18"/>
    </row>
    <row r="96" spans="1:26" ht="14.25" x14ac:dyDescent="0.2">
      <c r="A96" s="86"/>
      <c r="B96" s="150">
        <v>8</v>
      </c>
      <c r="C96" s="151"/>
      <c r="D96" s="65" t="str">
        <f t="shared" si="12"/>
        <v>G</v>
      </c>
      <c r="E96" s="84">
        <f t="shared" si="13"/>
        <v>60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60</v>
      </c>
    </row>
    <row r="97" spans="1:51" x14ac:dyDescent="0.2">
      <c r="B97" s="150">
        <v>6</v>
      </c>
      <c r="C97" s="151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0</v>
      </c>
    </row>
    <row r="98" spans="1:51" x14ac:dyDescent="0.2">
      <c r="B98" s="150">
        <v>4</v>
      </c>
      <c r="C98" s="151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0</v>
      </c>
    </row>
    <row r="99" spans="1:51" x14ac:dyDescent="0.2">
      <c r="B99" s="150">
        <v>13.5625</v>
      </c>
      <c r="C99" s="15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0">
        <v>27.125</v>
      </c>
      <c r="C100" s="15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2" t="s">
        <v>40</v>
      </c>
      <c r="C101" s="152"/>
      <c r="D101" s="152"/>
      <c r="E101" s="89">
        <f t="shared" ref="E101:R101" si="27">SUM(E90:E100)</f>
        <v>52122.25</v>
      </c>
      <c r="F101" s="89">
        <f t="shared" si="27"/>
        <v>17490.25</v>
      </c>
      <c r="G101" s="89">
        <f t="shared" si="27"/>
        <v>30323.5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 t="shared" si="27"/>
        <v>99936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2" t="str">
        <f>D108</f>
        <v>25%/B/C</v>
      </c>
      <c r="F105" s="143"/>
      <c r="G105" s="143"/>
      <c r="H105" s="144"/>
      <c r="I105" s="142" t="str">
        <f>D109</f>
        <v>12.5%/B/C</v>
      </c>
      <c r="J105" s="143"/>
      <c r="K105" s="143"/>
      <c r="L105" s="144"/>
      <c r="M105" s="142" t="str">
        <f>D110</f>
        <v>G3/4</v>
      </c>
      <c r="N105" s="143"/>
      <c r="O105" s="143"/>
      <c r="P105" s="144"/>
      <c r="Q105" s="142" t="str">
        <f>D111</f>
        <v>G1/2</v>
      </c>
      <c r="R105" s="143"/>
      <c r="S105" s="143"/>
      <c r="T105" s="144"/>
      <c r="U105" s="142" t="str">
        <f>D112</f>
        <v>G</v>
      </c>
      <c r="V105" s="143"/>
      <c r="W105" s="143"/>
      <c r="X105" s="144"/>
      <c r="Y105" s="142" t="str">
        <f>D113</f>
        <v>F</v>
      </c>
      <c r="Z105" s="143"/>
      <c r="AA105" s="143"/>
      <c r="AB105" s="144"/>
      <c r="AC105" s="142" t="str">
        <f>D114</f>
        <v>E</v>
      </c>
      <c r="AD105" s="143"/>
      <c r="AE105" s="143"/>
      <c r="AF105" s="144"/>
      <c r="AG105" s="142" t="str">
        <f>D115</f>
        <v>D</v>
      </c>
      <c r="AH105" s="143"/>
      <c r="AI105" s="143"/>
      <c r="AJ105" s="144"/>
      <c r="AK105" s="142" t="str">
        <f>D116</f>
        <v>C</v>
      </c>
      <c r="AL105" s="143"/>
      <c r="AM105" s="143"/>
      <c r="AN105" s="144"/>
      <c r="AO105" s="142" t="str">
        <f>D117</f>
        <v>B</v>
      </c>
      <c r="AP105" s="143"/>
      <c r="AQ105" s="143"/>
      <c r="AR105" s="144"/>
      <c r="AS105" s="142" t="str">
        <f>D118</f>
        <v>A</v>
      </c>
      <c r="AT105" s="143"/>
      <c r="AU105" s="143"/>
      <c r="AV105" s="144"/>
      <c r="AW105" s="92"/>
      <c r="AX105" s="92"/>
      <c r="AY105" s="92"/>
    </row>
    <row r="106" spans="1:51" s="95" customFormat="1" ht="55.5" customHeight="1" outlineLevel="1" thickBot="1" x14ac:dyDescent="0.25">
      <c r="C106" s="148" t="s">
        <v>44</v>
      </c>
      <c r="D106" s="149"/>
      <c r="E106" s="145">
        <f>M27</f>
        <v>50</v>
      </c>
      <c r="F106" s="146"/>
      <c r="G106" s="146"/>
      <c r="H106" s="147"/>
      <c r="I106" s="145">
        <f>M26</f>
        <v>650</v>
      </c>
      <c r="J106" s="146"/>
      <c r="K106" s="146"/>
      <c r="L106" s="147"/>
      <c r="M106" s="145">
        <f>M25</f>
        <v>0</v>
      </c>
      <c r="N106" s="146"/>
      <c r="O106" s="146"/>
      <c r="P106" s="147"/>
      <c r="Q106" s="145">
        <f>M24</f>
        <v>68</v>
      </c>
      <c r="R106" s="146"/>
      <c r="S106" s="146"/>
      <c r="T106" s="147"/>
      <c r="U106" s="145">
        <f>M23</f>
        <v>1250</v>
      </c>
      <c r="V106" s="146"/>
      <c r="W106" s="146"/>
      <c r="X106" s="147"/>
      <c r="Y106" s="145">
        <f>M22</f>
        <v>1573</v>
      </c>
      <c r="Z106" s="146"/>
      <c r="AA106" s="146"/>
      <c r="AB106" s="147"/>
      <c r="AC106" s="145">
        <f>M21</f>
        <v>1560</v>
      </c>
      <c r="AD106" s="146"/>
      <c r="AE106" s="146"/>
      <c r="AF106" s="147"/>
      <c r="AG106" s="145">
        <f>M20</f>
        <v>4025</v>
      </c>
      <c r="AH106" s="146"/>
      <c r="AI106" s="146"/>
      <c r="AJ106" s="147"/>
      <c r="AK106" s="145">
        <f>M19</f>
        <v>3949</v>
      </c>
      <c r="AL106" s="146"/>
      <c r="AM106" s="146"/>
      <c r="AN106" s="147"/>
      <c r="AO106" s="145">
        <f>M18</f>
        <v>2100</v>
      </c>
      <c r="AP106" s="146"/>
      <c r="AQ106" s="146"/>
      <c r="AR106" s="147"/>
      <c r="AS106" s="145">
        <f>M17</f>
        <v>125</v>
      </c>
      <c r="AT106" s="146"/>
      <c r="AU106" s="146"/>
      <c r="AV106" s="147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50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650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0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0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68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7.5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1242.5</v>
      </c>
      <c r="X112" s="106">
        <f>IF(($U106&gt;0),(U112+V112)/$U106,0)</f>
        <v>6.0000000000000001E-3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54.5</v>
      </c>
      <c r="Z113" s="104">
        <f>SUMPRODUCT(($F$42:$Q$86)*(($F$40:$Q$40=$E$14)+($F$40:$Q$40=$K$14)+($F$40:$Q$40=$I$14)+($F$40:$Q$40=$G$14))*($D$42:$D$86=Y$105))</f>
        <v>27</v>
      </c>
      <c r="AA113" s="113">
        <f>IF(Y$106-Y113-Z113&gt;0,Y$106-Y113-Z113,0)</f>
        <v>1491.5</v>
      </c>
      <c r="AB113" s="106">
        <f>IF(($Y106&gt;0),(Y113+Z113)/$Y106,0)</f>
        <v>5.1811824539097266E-2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77.25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1482.75</v>
      </c>
      <c r="AF114" s="106">
        <f>IF(($AC106&gt;0),(AC114+AD114)/$AC106,0)</f>
        <v>4.9519230769230767E-2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112.25</v>
      </c>
      <c r="AH115" s="104">
        <f>SUMPRODUCT(($F$42:$Q$86)*(($F$40:$Q$40=$E$14)+($F$40:$Q$40=$K$14)+($F$40:$Q$40=$I$14)+($F$40:$Q$40=$G$14))*($D$42:$D$86=AG$105))</f>
        <v>39</v>
      </c>
      <c r="AI115" s="113">
        <f>IF(AG$106-AG115-AH115&gt;0,AG$106-AG115-AH115,0)</f>
        <v>3873.75</v>
      </c>
      <c r="AJ115" s="106">
        <f>IF(($AG106&gt;0),(AG115+AH115)/$AG106,0)</f>
        <v>3.7577639751552795E-2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280.25</v>
      </c>
      <c r="AL116" s="104">
        <f>SUMPRODUCT(($F$42:$Q$86)*(($F$40:$Q$40=$E$14)+($F$40:$Q$40=$K$14)+($F$40:$Q$40=$I$14)+($F$40:$Q$40=$G$14))*($D$42:$D$86=AK$105))</f>
        <v>117.5</v>
      </c>
      <c r="AM116" s="113">
        <f>IF(AK$106-AK116-AL116&gt;0,AK$106-AK116-AL116,0)</f>
        <v>3551.25</v>
      </c>
      <c r="AN116" s="106">
        <f>IF(($AK106&gt;0),(AK116+AL116)/$AK106,0)</f>
        <v>0.10072170169663205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196</v>
      </c>
      <c r="AP117" s="104">
        <f>SUMPRODUCT(($F$42:$Q$86)*(($F$40:$Q$40=$E$14)+($F$40:$Q$40=$K$14)+($F$40:$Q$40=$I$14)+($F$40:$Q$40=$G$14))*($D$42:$D$86=AO$105))</f>
        <v>118.5</v>
      </c>
      <c r="AQ117" s="113">
        <f>IF(AO$106-AO117-AP117&gt;0,AO$106-AO117-AP117,0)</f>
        <v>1785.5</v>
      </c>
      <c r="AR117" s="106">
        <f>IF(($AO106&gt;0),(AO117+AP117)/$AO106,0)</f>
        <v>0.14976190476190476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12.75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112.25</v>
      </c>
      <c r="AV118" s="106">
        <f>IF(($AS106&gt;0),(AS118+AT118)/$AS106,0)</f>
        <v>0.10199999999999999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Noëlle Weider</cp:lastModifiedBy>
  <cp:lastPrinted>2019-04-26T09:25:10Z</cp:lastPrinted>
  <dcterms:created xsi:type="dcterms:W3CDTF">2018-01-15T08:58:52Z</dcterms:created>
  <dcterms:modified xsi:type="dcterms:W3CDTF">2019-04-26T13:39:16Z</dcterms:modified>
</cp:coreProperties>
</file>