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N57" i="1" l="1"/>
  <c r="N56" i="1"/>
  <c r="N55" i="1"/>
  <c r="N54" i="1"/>
  <c r="N47" i="1"/>
  <c r="N46" i="1"/>
  <c r="N45" i="1"/>
  <c r="N44" i="1"/>
  <c r="N43" i="1"/>
  <c r="M44" i="1" l="1"/>
  <c r="M43" i="1"/>
  <c r="M61" i="1" l="1"/>
  <c r="M59" i="1"/>
  <c r="M57" i="1"/>
  <c r="M56" i="1"/>
  <c r="M55" i="1"/>
  <c r="M47" i="1"/>
  <c r="M46" i="1"/>
  <c r="M45" i="1"/>
  <c r="L45" i="1" l="1"/>
  <c r="L44" i="1"/>
  <c r="L57" i="1"/>
  <c r="L56" i="1"/>
  <c r="L55" i="1"/>
  <c r="L54" i="1"/>
  <c r="K55" i="1" l="1"/>
  <c r="K45" i="1"/>
  <c r="K46" i="1"/>
  <c r="K44" i="1"/>
  <c r="K43" i="1"/>
  <c r="K56" i="1" l="1"/>
  <c r="J43" i="1" l="1"/>
  <c r="J46" i="1" l="1"/>
  <c r="J57" i="1" l="1"/>
  <c r="J55" i="1"/>
  <c r="J56" i="1"/>
  <c r="J47" i="1"/>
  <c r="J45" i="1"/>
  <c r="J44" i="1"/>
  <c r="I56" i="1" l="1"/>
  <c r="I55" i="1"/>
  <c r="I54" i="1"/>
  <c r="I47" i="1"/>
  <c r="I46" i="1"/>
  <c r="I45" i="1"/>
  <c r="I44" i="1"/>
  <c r="I43" i="1"/>
  <c r="H45" i="1" l="1"/>
  <c r="H44" i="1"/>
  <c r="H56" i="1"/>
  <c r="H55" i="1"/>
  <c r="H54" i="1"/>
  <c r="G56" i="1" l="1"/>
  <c r="G55" i="1"/>
  <c r="G45" i="1" l="1"/>
  <c r="M22" i="1" l="1"/>
  <c r="M21" i="1"/>
  <c r="M19" i="1"/>
  <c r="G44" i="1" l="1"/>
  <c r="G43" i="1"/>
  <c r="Q34" i="1" l="1"/>
  <c r="M18" i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E105" i="1" l="1"/>
  <c r="F108" i="1" s="1"/>
  <c r="E108" i="1" s="1"/>
  <c r="G108" i="1" s="1"/>
  <c r="T111" i="1"/>
  <c r="AF114" i="1"/>
  <c r="AB113" i="1"/>
  <c r="L109" i="1"/>
  <c r="R91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H108" i="1" l="1"/>
  <c r="W112" i="1"/>
  <c r="X112" i="1"/>
  <c r="Q35" i="1"/>
  <c r="Q36" i="1" s="1"/>
  <c r="R101" i="1"/>
  <c r="AT118" i="1"/>
  <c r="AS118" i="1" s="1"/>
  <c r="AV118" i="1" l="1"/>
  <c r="P24" i="1" s="1"/>
  <c r="AU118" i="1"/>
  <c r="P26" i="1" l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4" i="1" l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<sst xmlns="http://schemas.openxmlformats.org/spreadsheetml/2006/main" count="155" uniqueCount="65">
  <si>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</si>
  <si>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</si>
  <si>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</si>
  <si>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</si>
  <si>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</si>
  <si>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</si>
  <si>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</si>
  <si>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</si>
  <si>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</si>
  <si>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</si>
  <si>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</si>
  <si>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</si>
  <si>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</si>
  <si>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</si>
  <si>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</si>
  <si>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</si>
  <si>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</si>
  <si>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</si>
  <si>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</si>
  <si>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</si>
  <si>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</si>
  <si>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</si>
  <si>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</si>
  <si>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</si>
  <si>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</si>
  <si>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</si>
  <si>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</si>
  <si>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</si>
  <si>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</si>
  <si>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</si>
  <si>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</si>
  <si>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</si>
  <si>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</si>
  <si>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</si>
  <si>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</si>
  <si>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</si>
  <si>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</si>
  <si>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</si>
  <si>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</si>
  <si>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</si>
  <si>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</si>
  <si>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</si>
  <si>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</si>
  <si>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</si>
  <si>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</si>
  <si>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</si>
  <si>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</si>
  <si>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</si>
  <si>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</si>
  <si>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</si>
  <si>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</si>
  <si>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</si>
  <si>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</si>
  <si>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</si>
  <si>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</si>
  <si>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</si>
  <si>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</si>
  <si>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</si>
  <si>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</si>
  <si>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</si>
  <si>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</si>
  <si>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</si>
  <si>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</si>
  <si>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EK/GP, Phase 21/22, NO1</t>
  </si>
  <si>
    <t>Holinger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</si>
</sst>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29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0.41973941368078177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0.49051744044594631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1204.25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319.25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82.25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1171.5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780.5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1171.75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2489.25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1907.75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1763.75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1278.25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146.25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675.5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55" zoomScale="115" zoomScaleNormal="115" zoomScaleSheetLayoutView="100" workbookViewId="0">
      <selection activeCell="Q36" sqref="Q36:R36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5"/>
      <c r="B2" s="145"/>
      <c r="C2" s="145"/>
      <c r="D2" s="145"/>
      <c r="E2" s="145"/>
      <c r="F2" s="145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6" t="s">
        <v>5</v>
      </c>
      <c r="B8" s="147"/>
      <c r="C8" s="147"/>
      <c r="D8" s="147"/>
      <c r="E8" s="148" t="s">
        <v>48</v>
      </c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9"/>
      <c r="Z8" s="18"/>
    </row>
    <row r="9" spans="1:31" s="17" customFormat="1" ht="15.75" customHeight="1" x14ac:dyDescent="0.2">
      <c r="A9" s="146" t="s">
        <v>6</v>
      </c>
      <c r="B9" s="147"/>
      <c r="C9" s="147"/>
      <c r="D9" s="147"/>
      <c r="E9" s="23" t="s">
        <v>49</v>
      </c>
      <c r="F9" s="24"/>
      <c r="G9" s="24"/>
      <c r="H9" s="24"/>
      <c r="I9" s="24"/>
      <c r="J9" s="24"/>
      <c r="K9" s="24"/>
      <c r="L9" s="147" t="s">
        <v>7</v>
      </c>
      <c r="M9" s="147"/>
      <c r="N9" s="147"/>
      <c r="O9" s="150">
        <v>43418</v>
      </c>
      <c r="P9" s="150"/>
      <c r="Q9" s="25"/>
      <c r="R9" s="26"/>
      <c r="Z9" s="18"/>
    </row>
    <row r="10" spans="1:31" s="17" customFormat="1" ht="15.75" customHeight="1" x14ac:dyDescent="0.2">
      <c r="A10" s="146" t="s">
        <v>8</v>
      </c>
      <c r="B10" s="147"/>
      <c r="C10" s="147"/>
      <c r="D10" s="147"/>
      <c r="E10" s="27" t="s">
        <v>50</v>
      </c>
      <c r="F10" s="24"/>
      <c r="G10" s="24"/>
      <c r="H10" s="24"/>
      <c r="I10" s="24"/>
      <c r="J10" s="24"/>
      <c r="K10" s="24"/>
      <c r="L10" s="151" t="s">
        <v>9</v>
      </c>
      <c r="M10" s="151"/>
      <c r="N10" s="151"/>
      <c r="O10" s="150">
        <v>44926</v>
      </c>
      <c r="P10" s="150"/>
      <c r="Q10" s="27"/>
      <c r="R10" s="28"/>
      <c r="Z10" s="18"/>
    </row>
    <row r="11" spans="1:31" s="17" customFormat="1" ht="15.75" customHeight="1" x14ac:dyDescent="0.2">
      <c r="A11" s="146" t="s">
        <v>10</v>
      </c>
      <c r="B11" s="147"/>
      <c r="C11" s="147"/>
      <c r="D11" s="147"/>
      <c r="E11" s="23" t="s">
        <v>54</v>
      </c>
      <c r="F11" s="24"/>
      <c r="G11" s="24"/>
      <c r="H11" s="24"/>
      <c r="I11" s="24"/>
      <c r="J11" s="24"/>
      <c r="K11" s="24"/>
      <c r="L11" s="147" t="s">
        <v>11</v>
      </c>
      <c r="M11" s="147"/>
      <c r="N11" s="147"/>
      <c r="O11" s="152" t="s">
        <v>52</v>
      </c>
      <c r="P11" s="153"/>
      <c r="Q11" s="25"/>
      <c r="R11" s="26"/>
      <c r="Z11" s="18"/>
    </row>
    <row r="12" spans="1:31" s="17" customFormat="1" ht="15.75" customHeight="1" x14ac:dyDescent="0.2">
      <c r="A12" s="146" t="s">
        <v>12</v>
      </c>
      <c r="B12" s="147"/>
      <c r="C12" s="147"/>
      <c r="D12" s="147"/>
      <c r="E12" s="24" t="s">
        <v>53</v>
      </c>
      <c r="F12" s="25"/>
      <c r="G12" s="25"/>
      <c r="H12" s="25"/>
      <c r="I12" s="25"/>
      <c r="J12" s="25"/>
      <c r="K12" s="25"/>
      <c r="L12" s="147" t="s">
        <v>13</v>
      </c>
      <c r="M12" s="147"/>
      <c r="N12" s="147"/>
      <c r="O12" s="153" t="s">
        <v>51</v>
      </c>
      <c r="P12" s="153"/>
      <c r="Q12" s="158"/>
      <c r="R12" s="159"/>
      <c r="Z12" s="18"/>
    </row>
    <row r="13" spans="1:31" s="17" customFormat="1" ht="15.75" customHeight="1" x14ac:dyDescent="0.2">
      <c r="A13" s="146" t="s">
        <v>14</v>
      </c>
      <c r="B13" s="147"/>
      <c r="C13" s="147"/>
      <c r="D13" s="147"/>
      <c r="E13" s="29">
        <v>43466</v>
      </c>
      <c r="F13" s="30"/>
      <c r="G13" s="31"/>
      <c r="H13" s="31"/>
      <c r="I13" s="31"/>
      <c r="J13" s="31"/>
      <c r="K13" s="31"/>
      <c r="L13" s="147" t="s">
        <v>15</v>
      </c>
      <c r="M13" s="147"/>
      <c r="N13" s="147"/>
      <c r="O13" s="32" t="s">
        <v>63</v>
      </c>
      <c r="P13" s="32"/>
      <c r="Q13" s="31"/>
      <c r="R13" s="33"/>
      <c r="Z13" s="18"/>
    </row>
    <row r="14" spans="1:31" s="17" customFormat="1" ht="15.75" customHeight="1" x14ac:dyDescent="0.2">
      <c r="A14" s="154" t="s">
        <v>16</v>
      </c>
      <c r="B14" s="155"/>
      <c r="C14" s="155"/>
      <c r="D14" s="155"/>
      <c r="E14" s="156">
        <v>40057</v>
      </c>
      <c r="F14" s="156"/>
      <c r="G14" s="34"/>
      <c r="H14" s="34"/>
      <c r="I14" s="34"/>
      <c r="J14" s="34"/>
      <c r="K14" s="34"/>
      <c r="L14" s="157" t="s">
        <v>17</v>
      </c>
      <c r="M14" s="157"/>
      <c r="N14" s="157"/>
      <c r="O14" s="32" t="s">
        <v>63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6" t="s">
        <v>18</v>
      </c>
      <c r="L16" s="166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2"/>
      <c r="T16" s="43"/>
      <c r="Z16" s="18"/>
    </row>
    <row r="17" spans="1:27" s="17" customFormat="1" ht="15.75" customHeight="1" x14ac:dyDescent="0.2">
      <c r="A17" s="44"/>
      <c r="K17" s="143" t="s">
        <v>55</v>
      </c>
      <c r="L17" s="144"/>
      <c r="M17" s="45">
        <v>125</v>
      </c>
      <c r="N17" s="46">
        <f t="shared" ref="N17:N27" si="0">SUMPRODUCT(($D$108:$D$118=$K17)*($E$107:$AV$107=$N$16)*($E$108:$AV$118))</f>
        <v>12.75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112.25</v>
      </c>
      <c r="Q17" s="49">
        <f t="shared" ref="Q17:Q27" si="3">IF(P17=0,N17+O17-M17,0)</f>
        <v>0</v>
      </c>
      <c r="R17" s="50">
        <f t="shared" ref="R17:R28" si="4">IF(M17&lt;&gt;0,(O17+N17)/M17,0)</f>
        <v>0.10199999999999999</v>
      </c>
      <c r="S17" s="142"/>
      <c r="T17" s="43"/>
      <c r="Z17" s="18"/>
    </row>
    <row r="18" spans="1:27" s="17" customFormat="1" ht="15.75" customHeight="1" x14ac:dyDescent="0.2">
      <c r="A18" s="44"/>
      <c r="K18" s="143" t="s">
        <v>22</v>
      </c>
      <c r="L18" s="144"/>
      <c r="M18" s="45">
        <f>700+200+300+900</f>
        <v>2100</v>
      </c>
      <c r="N18" s="46">
        <f t="shared" si="0"/>
        <v>1278.25</v>
      </c>
      <c r="O18" s="47">
        <f t="shared" si="1"/>
        <v>146.25</v>
      </c>
      <c r="P18" s="48">
        <f t="shared" si="2"/>
        <v>675.5</v>
      </c>
      <c r="Q18" s="49">
        <f t="shared" si="3"/>
        <v>0</v>
      </c>
      <c r="R18" s="50">
        <f t="shared" si="4"/>
        <v>0.67833333333333334</v>
      </c>
      <c r="S18" s="142"/>
      <c r="T18" s="51"/>
      <c r="Z18" s="18"/>
    </row>
    <row r="19" spans="1:27" s="17" customFormat="1" ht="15.75" customHeight="1" x14ac:dyDescent="0.2">
      <c r="A19" s="44"/>
      <c r="K19" s="143" t="s">
        <v>23</v>
      </c>
      <c r="L19" s="144"/>
      <c r="M19" s="45">
        <f>2950+999</f>
        <v>3949</v>
      </c>
      <c r="N19" s="46">
        <f t="shared" si="0"/>
        <v>1907.75</v>
      </c>
      <c r="O19" s="47">
        <f t="shared" si="1"/>
        <v>277.5</v>
      </c>
      <c r="P19" s="48">
        <f t="shared" si="2"/>
        <v>1763.75</v>
      </c>
      <c r="Q19" s="49">
        <f t="shared" si="3"/>
        <v>0</v>
      </c>
      <c r="R19" s="50">
        <f t="shared" si="4"/>
        <v>0.55336794125094957</v>
      </c>
      <c r="S19" s="142"/>
      <c r="T19" s="43"/>
      <c r="Z19" s="18"/>
    </row>
    <row r="20" spans="1:27" s="17" customFormat="1" ht="15.75" customHeight="1" x14ac:dyDescent="0.2">
      <c r="A20" s="44"/>
      <c r="K20" s="143" t="s">
        <v>24</v>
      </c>
      <c r="L20" s="144"/>
      <c r="M20" s="45">
        <v>4025</v>
      </c>
      <c r="N20" s="46">
        <f t="shared" si="0"/>
        <v>1171.75</v>
      </c>
      <c r="O20" s="47">
        <f t="shared" si="1"/>
        <v>364</v>
      </c>
      <c r="P20" s="48">
        <f t="shared" si="2"/>
        <v>2489.25</v>
      </c>
      <c r="Q20" s="49">
        <f t="shared" si="3"/>
        <v>0</v>
      </c>
      <c r="R20" s="50">
        <f t="shared" si="4"/>
        <v>0.38155279503105588</v>
      </c>
      <c r="Z20" s="18"/>
    </row>
    <row r="21" spans="1:27" s="17" customFormat="1" ht="15.75" customHeight="1" x14ac:dyDescent="0.2">
      <c r="A21" s="44"/>
      <c r="K21" s="143" t="s">
        <v>25</v>
      </c>
      <c r="L21" s="144"/>
      <c r="M21" s="45">
        <f>1125+435</f>
        <v>1560</v>
      </c>
      <c r="N21" s="46">
        <f t="shared" si="0"/>
        <v>747</v>
      </c>
      <c r="O21" s="47">
        <f t="shared" si="1"/>
        <v>32.5</v>
      </c>
      <c r="P21" s="48">
        <f t="shared" si="2"/>
        <v>780.5</v>
      </c>
      <c r="Q21" s="49">
        <f t="shared" si="3"/>
        <v>0</v>
      </c>
      <c r="R21" s="50">
        <f t="shared" si="4"/>
        <v>0.49967948717948718</v>
      </c>
      <c r="Z21" s="18"/>
    </row>
    <row r="22" spans="1:27" s="17" customFormat="1" ht="15.75" customHeight="1" x14ac:dyDescent="0.2">
      <c r="A22" s="44"/>
      <c r="K22" s="143" t="s">
        <v>26</v>
      </c>
      <c r="L22" s="144"/>
      <c r="M22" s="45">
        <f>1000+573</f>
        <v>1573</v>
      </c>
      <c r="N22" s="46">
        <f t="shared" si="0"/>
        <v>319.25</v>
      </c>
      <c r="O22" s="47">
        <f t="shared" si="1"/>
        <v>82.25</v>
      </c>
      <c r="P22" s="48">
        <f t="shared" si="2"/>
        <v>1171.5</v>
      </c>
      <c r="Q22" s="49">
        <f t="shared" si="3"/>
        <v>0</v>
      </c>
      <c r="R22" s="50">
        <f t="shared" si="4"/>
        <v>0.25524475524475526</v>
      </c>
      <c r="Z22" s="18"/>
    </row>
    <row r="23" spans="1:27" s="17" customFormat="1" ht="15.75" customHeight="1" x14ac:dyDescent="0.2">
      <c r="A23" s="44"/>
      <c r="K23" s="143" t="s">
        <v>41</v>
      </c>
      <c r="L23" s="144"/>
      <c r="M23" s="45">
        <v>1250</v>
      </c>
      <c r="N23" s="46">
        <f t="shared" si="0"/>
        <v>45.75</v>
      </c>
      <c r="O23" s="47">
        <f t="shared" si="1"/>
        <v>0</v>
      </c>
      <c r="P23" s="48">
        <f t="shared" si="2"/>
        <v>1204.25</v>
      </c>
      <c r="Q23" s="49">
        <f t="shared" si="3"/>
        <v>0</v>
      </c>
      <c r="R23" s="50">
        <f t="shared" si="4"/>
        <v>3.6600000000000001E-2</v>
      </c>
      <c r="Z23" s="18"/>
    </row>
    <row r="24" spans="1:27" s="17" customFormat="1" ht="15.75" customHeight="1" x14ac:dyDescent="0.2">
      <c r="A24" s="44"/>
      <c r="K24" s="143" t="s">
        <v>56</v>
      </c>
      <c r="L24" s="144"/>
      <c r="M24" s="45">
        <v>68</v>
      </c>
      <c r="N24" s="46">
        <f t="shared" si="0"/>
        <v>2.5</v>
      </c>
      <c r="O24" s="47">
        <f t="shared" si="1"/>
        <v>0</v>
      </c>
      <c r="P24" s="48">
        <f>SUMPRODUCT(($D$108:$D$118=$K24)*($E$107:$AV$107=$P$16)*($E$108:$AV$118))</f>
        <v>65.5</v>
      </c>
      <c r="Q24" s="49">
        <f t="shared" si="3"/>
        <v>0</v>
      </c>
      <c r="R24" s="50">
        <f t="shared" si="4"/>
        <v>3.6764705882352942E-2</v>
      </c>
      <c r="Z24" s="18"/>
      <c r="AA24" s="52"/>
    </row>
    <row r="25" spans="1:27" s="17" customFormat="1" ht="15.75" customHeight="1" x14ac:dyDescent="0.2">
      <c r="A25" s="44"/>
      <c r="K25" s="143" t="s">
        <v>57</v>
      </c>
      <c r="L25" s="144"/>
      <c r="M25" s="45"/>
      <c r="N25" s="46">
        <f t="shared" si="0"/>
        <v>36</v>
      </c>
      <c r="O25" s="47">
        <f t="shared" si="1"/>
        <v>19.5</v>
      </c>
      <c r="P25" s="48">
        <f t="shared" si="2"/>
        <v>0</v>
      </c>
      <c r="Q25" s="49">
        <f t="shared" si="3"/>
        <v>55.5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3" t="s">
        <v>59</v>
      </c>
      <c r="L26" s="144"/>
      <c r="M26" s="45">
        <v>650</v>
      </c>
      <c r="N26" s="46">
        <f t="shared" si="0"/>
        <v>0</v>
      </c>
      <c r="O26" s="47">
        <f t="shared" si="1"/>
        <v>0</v>
      </c>
      <c r="P26" s="48">
        <f t="shared" si="2"/>
        <v>650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3" t="s">
        <v>58</v>
      </c>
      <c r="L27" s="144"/>
      <c r="M27" s="45">
        <v>50</v>
      </c>
      <c r="N27" s="46">
        <f t="shared" si="0"/>
        <v>0</v>
      </c>
      <c r="O27" s="47">
        <f t="shared" si="1"/>
        <v>0</v>
      </c>
      <c r="P27" s="48">
        <f t="shared" si="2"/>
        <v>50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0" t="s">
        <v>27</v>
      </c>
      <c r="L28" s="160"/>
      <c r="M28" s="53">
        <f>SUM(M17:M27)</f>
        <v>15350</v>
      </c>
      <c r="N28" s="53">
        <f>SUM(N17:N27)</f>
        <v>5521</v>
      </c>
      <c r="O28" s="53">
        <f>SUM(O17:O27)</f>
        <v>922</v>
      </c>
      <c r="P28" s="53">
        <f>SUM(P17:P27)</f>
        <v>8962.5</v>
      </c>
      <c r="Q28" s="53">
        <f>IF(SUM(N28:O28)-SUM(U105:AV105)&gt;0,SUM(N28:O28)-SUM(U105:AV105),0)</f>
        <v>6443</v>
      </c>
      <c r="R28" s="54">
        <f t="shared" si="4"/>
        <v>0.41973941368078177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1" t="s">
        <v>28</v>
      </c>
      <c r="L30" s="161"/>
      <c r="M30" s="161"/>
      <c r="N30" s="161"/>
      <c r="O30" s="161"/>
      <c r="P30" s="161"/>
      <c r="Q30" s="161"/>
      <c r="R30" s="161"/>
      <c r="Z30" s="18"/>
    </row>
    <row r="31" spans="1:27" s="17" customFormat="1" ht="13.5" customHeight="1" x14ac:dyDescent="0.2">
      <c r="A31" s="44"/>
      <c r="K31" s="162" t="s">
        <v>29</v>
      </c>
      <c r="L31" s="163"/>
      <c r="M31" s="163"/>
      <c r="N31" s="163"/>
      <c r="O31" s="163"/>
      <c r="P31" s="164"/>
      <c r="Q31" s="165">
        <v>0.3</v>
      </c>
      <c r="R31" s="165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1" t="s">
        <v>30</v>
      </c>
      <c r="L33" s="161"/>
      <c r="M33" s="161"/>
      <c r="N33" s="161"/>
      <c r="O33" s="161"/>
      <c r="P33" s="161"/>
      <c r="Q33" s="161"/>
      <c r="R33" s="161"/>
      <c r="Z33" s="18"/>
    </row>
    <row r="34" spans="1:27" s="17" customFormat="1" ht="13.5" customHeight="1" x14ac:dyDescent="0.2">
      <c r="A34" s="44"/>
      <c r="K34" s="174" t="s">
        <v>31</v>
      </c>
      <c r="L34" s="174"/>
      <c r="M34" s="174"/>
      <c r="N34" s="174"/>
      <c r="O34" s="174"/>
      <c r="P34" s="174"/>
      <c r="Q34" s="175">
        <f>SUMPRODUCT(M17:M27,B90:B100)</f>
        <v>1191443.875</v>
      </c>
      <c r="R34" s="176"/>
      <c r="Z34" s="18"/>
    </row>
    <row r="35" spans="1:27" s="17" customFormat="1" ht="13.5" customHeight="1" x14ac:dyDescent="0.2">
      <c r="A35" s="44"/>
      <c r="K35" s="174" t="s">
        <v>32</v>
      </c>
      <c r="L35" s="174"/>
      <c r="M35" s="174"/>
      <c r="N35" s="174"/>
      <c r="O35" s="174"/>
      <c r="P35" s="174"/>
      <c r="Q35" s="177">
        <f>SUM(R90:R100)</f>
        <v>584424</v>
      </c>
      <c r="R35" s="177"/>
      <c r="Z35" s="18"/>
    </row>
    <row r="36" spans="1:27" s="17" customFormat="1" ht="13.5" customHeight="1" x14ac:dyDescent="0.2">
      <c r="A36" s="44"/>
      <c r="K36" s="167" t="s">
        <v>33</v>
      </c>
      <c r="L36" s="167"/>
      <c r="M36" s="167"/>
      <c r="N36" s="167"/>
      <c r="O36" s="167"/>
      <c r="P36" s="167"/>
      <c r="Q36" s="178">
        <f>IF(Q35&gt;0,Q35/Q34,0)</f>
        <v>0.49051744044594631</v>
      </c>
      <c r="R36" s="178"/>
      <c r="W36" s="36"/>
      <c r="Z36" s="18"/>
      <c r="AA36" s="56"/>
    </row>
    <row r="37" spans="1:27" s="17" customFormat="1" ht="13.5" customHeight="1" x14ac:dyDescent="0.2">
      <c r="A37" s="44"/>
      <c r="K37" s="167" t="s">
        <v>34</v>
      </c>
      <c r="L37" s="167"/>
      <c r="M37" s="167"/>
      <c r="N37" s="167"/>
      <c r="O37" s="167"/>
      <c r="P37" s="167"/>
      <c r="Q37" s="168">
        <f>R28</f>
        <v>0.41973941368078177</v>
      </c>
      <c r="R37" s="168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63"/>
      <c r="Z39" s="18"/>
    </row>
    <row r="40" spans="1:27" s="17" customFormat="1" ht="12" x14ac:dyDescent="0.2">
      <c r="A40" s="64" t="s">
        <v>36</v>
      </c>
      <c r="B40" s="170" t="s">
        <v>37</v>
      </c>
      <c r="C40" s="171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2"/>
      <c r="C41" s="173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119.75</v>
      </c>
      <c r="F43" s="70">
        <v>14.75</v>
      </c>
      <c r="G43" s="70">
        <f>72.25+8.5</f>
        <v>80.75</v>
      </c>
      <c r="H43" s="70">
        <v>56.25</v>
      </c>
      <c r="I43" s="70">
        <f>160.5</f>
        <v>160.5</v>
      </c>
      <c r="J43" s="70">
        <f>84+1.5</f>
        <v>85.5</v>
      </c>
      <c r="K43" s="70">
        <f>65.25</f>
        <v>65.25</v>
      </c>
      <c r="L43" s="70">
        <v>206.5</v>
      </c>
      <c r="M43" s="70">
        <f>140.5</f>
        <v>140.5</v>
      </c>
      <c r="N43" s="70">
        <f>126.25</f>
        <v>126.25</v>
      </c>
      <c r="O43" s="71"/>
      <c r="P43" s="71"/>
      <c r="Q43" s="71"/>
      <c r="R43" s="65">
        <f t="shared" si="5"/>
        <v>1056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149.25</v>
      </c>
      <c r="F44" s="70">
        <v>63.75</v>
      </c>
      <c r="G44" s="70">
        <f>41+51</f>
        <v>92</v>
      </c>
      <c r="H44" s="70">
        <f>160.5+0.5</f>
        <v>161</v>
      </c>
      <c r="I44" s="70">
        <f>100+86</f>
        <v>186</v>
      </c>
      <c r="J44" s="70">
        <f>12.75+148.5</f>
        <v>161.25</v>
      </c>
      <c r="K44" s="70">
        <f>12+114.75</f>
        <v>126.75</v>
      </c>
      <c r="L44" s="70">
        <f>158.75+46.25</f>
        <v>205</v>
      </c>
      <c r="M44" s="70">
        <f>71.25+34.5</f>
        <v>105.75</v>
      </c>
      <c r="N44" s="70">
        <f>29+121.25</f>
        <v>150.25</v>
      </c>
      <c r="O44" s="71"/>
      <c r="P44" s="71"/>
      <c r="Q44" s="71"/>
      <c r="R44" s="65">
        <f t="shared" si="5"/>
        <v>1401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44.5</v>
      </c>
      <c r="F45" s="70">
        <v>9.25</v>
      </c>
      <c r="G45" s="70">
        <f>8.5</f>
        <v>8.5</v>
      </c>
      <c r="H45" s="70">
        <f>1.5</f>
        <v>1.5</v>
      </c>
      <c r="I45" s="70">
        <f>28.75+3.5</f>
        <v>32.25</v>
      </c>
      <c r="J45" s="70">
        <f>7.5+75.5</f>
        <v>83</v>
      </c>
      <c r="K45" s="70">
        <f>14.5+71.5</f>
        <v>86</v>
      </c>
      <c r="L45" s="70">
        <f>50.75+8.75</f>
        <v>59.5</v>
      </c>
      <c r="M45" s="70">
        <f>30+5.75</f>
        <v>35.75</v>
      </c>
      <c r="N45" s="70">
        <f>58.75+104.5</f>
        <v>163.25</v>
      </c>
      <c r="O45" s="71"/>
      <c r="P45" s="71"/>
      <c r="Q45" s="71"/>
      <c r="R45" s="65">
        <f t="shared" ref="R45" si="6">SUM(E45:Q45)</f>
        <v>523.5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56</v>
      </c>
      <c r="F46" s="70">
        <v>21.25</v>
      </c>
      <c r="G46" s="70"/>
      <c r="H46" s="70">
        <v>17</v>
      </c>
      <c r="I46" s="70">
        <f>36.75</f>
        <v>36.75</v>
      </c>
      <c r="J46" s="70">
        <f>3.5+173.5</f>
        <v>177</v>
      </c>
      <c r="K46" s="70">
        <f>43.25</f>
        <v>43.25</v>
      </c>
      <c r="L46" s="70">
        <v>109.25</v>
      </c>
      <c r="M46" s="70">
        <f>121</f>
        <v>121</v>
      </c>
      <c r="N46" s="70">
        <f>18</f>
        <v>18</v>
      </c>
      <c r="O46" s="71"/>
      <c r="P46" s="71"/>
      <c r="Q46" s="71"/>
      <c r="R46" s="65">
        <f t="shared" si="5"/>
        <v>599.5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>
        <v>54.5</v>
      </c>
      <c r="G47" s="70">
        <v>27</v>
      </c>
      <c r="H47" s="70"/>
      <c r="I47" s="70">
        <f>42.75</f>
        <v>42.75</v>
      </c>
      <c r="J47" s="70">
        <f>8.25+68</f>
        <v>76.25</v>
      </c>
      <c r="K47" s="70"/>
      <c r="L47" s="70">
        <v>21</v>
      </c>
      <c r="M47" s="70">
        <f>51+46.75</f>
        <v>97.75</v>
      </c>
      <c r="N47" s="70">
        <f>48+34.25</f>
        <v>82.25</v>
      </c>
      <c r="O47" s="71"/>
      <c r="P47" s="71"/>
      <c r="Q47" s="71"/>
      <c r="R47" s="65">
        <f t="shared" si="5"/>
        <v>401.5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>
        <v>4</v>
      </c>
      <c r="K50" s="70"/>
      <c r="L50" s="70"/>
      <c r="M50" s="70"/>
      <c r="N50" s="70"/>
      <c r="O50" s="71"/>
      <c r="P50" s="71"/>
      <c r="Q50" s="71"/>
      <c r="R50" s="65">
        <f t="shared" si="5"/>
        <v>4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12.75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12.75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42.5</v>
      </c>
      <c r="F54" s="70">
        <v>1.5</v>
      </c>
      <c r="G54" s="70">
        <v>27.75</v>
      </c>
      <c r="H54" s="70">
        <f>70</f>
        <v>70</v>
      </c>
      <c r="I54" s="70">
        <f>2.5+62.75</f>
        <v>65.25</v>
      </c>
      <c r="J54" s="70">
        <v>0.5</v>
      </c>
      <c r="K54" s="70">
        <v>6.5</v>
      </c>
      <c r="L54" s="70">
        <f>4.5</f>
        <v>4.5</v>
      </c>
      <c r="M54" s="70">
        <v>13.75</v>
      </c>
      <c r="N54" s="70">
        <f>12</f>
        <v>12</v>
      </c>
      <c r="O54" s="71"/>
      <c r="P54" s="71"/>
      <c r="Q54" s="71"/>
      <c r="R54" s="65">
        <f t="shared" ref="R54" si="7">SUM(E54:Q54)</f>
        <v>244.25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39.75</v>
      </c>
      <c r="F55" s="70">
        <v>27.5</v>
      </c>
      <c r="G55" s="70">
        <f>12+13.5</f>
        <v>25.5</v>
      </c>
      <c r="H55" s="70">
        <f>18+31</f>
        <v>49</v>
      </c>
      <c r="I55" s="70">
        <f>56+40.5</f>
        <v>96.5</v>
      </c>
      <c r="J55" s="70">
        <f>22.5+37</f>
        <v>59.5</v>
      </c>
      <c r="K55" s="70">
        <f>23.75+18.5</f>
        <v>42.25</v>
      </c>
      <c r="L55" s="70">
        <f>73.5+65.75</f>
        <v>139.25</v>
      </c>
      <c r="M55" s="70">
        <f>75+26</f>
        <v>101</v>
      </c>
      <c r="N55" s="70">
        <f>23.75+94.5</f>
        <v>118.25</v>
      </c>
      <c r="O55" s="71"/>
      <c r="P55" s="71"/>
      <c r="Q55" s="71"/>
      <c r="R55" s="65">
        <f t="shared" si="5"/>
        <v>698.5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48</v>
      </c>
      <c r="F56" s="70">
        <v>10.5</v>
      </c>
      <c r="G56" s="70">
        <f>17.5+13</f>
        <v>30.5</v>
      </c>
      <c r="H56" s="70">
        <f>5.25+20.5</f>
        <v>25.75</v>
      </c>
      <c r="I56" s="70">
        <f>26.25+46.5</f>
        <v>72.75</v>
      </c>
      <c r="J56" s="70">
        <f>114</f>
        <v>114</v>
      </c>
      <c r="K56" s="70">
        <f>80+2</f>
        <v>82</v>
      </c>
      <c r="L56" s="70">
        <f>174.25+24</f>
        <v>198.25</v>
      </c>
      <c r="M56" s="70">
        <f>227.5+2.25</f>
        <v>229.75</v>
      </c>
      <c r="N56" s="70">
        <f>200.75</f>
        <v>200.75</v>
      </c>
      <c r="O56" s="71"/>
      <c r="P56" s="71"/>
      <c r="Q56" s="71"/>
      <c r="R56" s="65">
        <f t="shared" si="5"/>
        <v>1012.25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>
        <v>17</v>
      </c>
      <c r="J57" s="70">
        <f>18.5+21.25</f>
        <v>39.75</v>
      </c>
      <c r="K57" s="70">
        <v>19.5</v>
      </c>
      <c r="L57" s="70">
        <f>19.25+16.25</f>
        <v>35.5</v>
      </c>
      <c r="M57" s="70">
        <f>53.75</f>
        <v>53.75</v>
      </c>
      <c r="N57" s="70">
        <f>7.5+7</f>
        <v>14.5</v>
      </c>
      <c r="O57" s="71"/>
      <c r="P57" s="71"/>
      <c r="Q57" s="71"/>
      <c r="R57" s="65">
        <f t="shared" ref="R57" si="8">SUM(E57:Q57)</f>
        <v>180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>
        <v>7.5</v>
      </c>
      <c r="F59" s="70"/>
      <c r="G59" s="70"/>
      <c r="H59" s="70"/>
      <c r="I59" s="70"/>
      <c r="J59" s="70"/>
      <c r="K59" s="70"/>
      <c r="L59" s="70">
        <v>6.75</v>
      </c>
      <c r="M59" s="70">
        <f>29.5+2</f>
        <v>31.5</v>
      </c>
      <c r="N59" s="70"/>
      <c r="O59" s="71"/>
      <c r="P59" s="71"/>
      <c r="Q59" s="71"/>
      <c r="R59" s="65">
        <f t="shared" si="5"/>
        <v>45.75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>
        <v>2.5</v>
      </c>
      <c r="N60" s="70"/>
      <c r="O60" s="71"/>
      <c r="P60" s="71"/>
      <c r="Q60" s="71"/>
      <c r="R60" s="65">
        <f t="shared" si="5"/>
        <v>2.5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>
        <v>4.5</v>
      </c>
      <c r="I61" s="70"/>
      <c r="J61" s="70"/>
      <c r="K61" s="70"/>
      <c r="L61" s="70"/>
      <c r="M61" s="70">
        <f>27.5</f>
        <v>27.5</v>
      </c>
      <c r="N61" s="70">
        <v>19.5</v>
      </c>
      <c r="O61" s="71"/>
      <c r="P61" s="71"/>
      <c r="Q61" s="71"/>
      <c r="R61" s="65">
        <f t="shared" si="5"/>
        <v>51.5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8.5</v>
      </c>
      <c r="F64" s="70">
        <v>9</v>
      </c>
      <c r="G64" s="70">
        <v>10</v>
      </c>
      <c r="H64" s="70">
        <v>0.5</v>
      </c>
      <c r="I64" s="70">
        <v>19</v>
      </c>
      <c r="J64" s="70">
        <v>11</v>
      </c>
      <c r="K64" s="70">
        <v>21</v>
      </c>
      <c r="L64" s="70">
        <v>18.5</v>
      </c>
      <c r="M64" s="70">
        <v>10</v>
      </c>
      <c r="N64" s="70">
        <v>5.5</v>
      </c>
      <c r="O64" s="71"/>
      <c r="P64" s="71"/>
      <c r="Q64" s="71"/>
      <c r="R64" s="65">
        <f t="shared" si="5"/>
        <v>113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>
        <v>2.5</v>
      </c>
      <c r="K65" s="70"/>
      <c r="L65" s="70">
        <v>12.5</v>
      </c>
      <c r="M65" s="70">
        <v>55.5</v>
      </c>
      <c r="N65" s="70">
        <v>9</v>
      </c>
      <c r="O65" s="71"/>
      <c r="P65" s="71"/>
      <c r="Q65" s="71"/>
      <c r="R65" s="65">
        <f t="shared" si="5"/>
        <v>79.5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64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>
        <v>4.25</v>
      </c>
      <c r="J70" s="70">
        <v>2</v>
      </c>
      <c r="K70" s="70"/>
      <c r="L70" s="70">
        <v>2.5</v>
      </c>
      <c r="M70" s="70"/>
      <c r="N70" s="70">
        <v>2.5</v>
      </c>
      <c r="O70" s="71"/>
      <c r="P70" s="71"/>
      <c r="Q70" s="71"/>
      <c r="R70" s="65">
        <f t="shared" si="5"/>
        <v>11.25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>
        <v>3.25</v>
      </c>
      <c r="J71" s="70"/>
      <c r="K71" s="70"/>
      <c r="L71" s="70">
        <v>2</v>
      </c>
      <c r="M71" s="70">
        <v>1</v>
      </c>
      <c r="N71" s="70"/>
      <c r="O71" s="71"/>
      <c r="P71" s="71"/>
      <c r="Q71" s="71"/>
      <c r="R71" s="65">
        <f t="shared" si="5"/>
        <v>6.25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2"/>
      <c r="C75" s="173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2"/>
      <c r="C76" s="173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2"/>
      <c r="C77" s="173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2"/>
      <c r="C78" s="173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2"/>
      <c r="C79" s="173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2"/>
      <c r="C80" s="173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2"/>
      <c r="C81" s="173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2"/>
      <c r="C82" s="173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2"/>
      <c r="C83" s="173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2"/>
      <c r="C84" s="173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2"/>
      <c r="C85" s="173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1"/>
      <c r="C86" s="181"/>
      <c r="D86" s="75"/>
      <c r="E86" s="76">
        <f t="shared" ref="E86:Q86" si="10">SUM(E41:E85)</f>
        <v>528.5</v>
      </c>
      <c r="F86" s="76">
        <f t="shared" si="10"/>
        <v>212</v>
      </c>
      <c r="G86" s="76">
        <f t="shared" si="10"/>
        <v>302</v>
      </c>
      <c r="H86" s="76">
        <f t="shared" si="10"/>
        <v>385.5</v>
      </c>
      <c r="I86" s="76">
        <f t="shared" si="10"/>
        <v>736.25</v>
      </c>
      <c r="J86" s="76">
        <f t="shared" si="10"/>
        <v>816.25</v>
      </c>
      <c r="K86" s="76">
        <f t="shared" si="10"/>
        <v>492.5</v>
      </c>
      <c r="L86" s="76">
        <f t="shared" si="10"/>
        <v>1021</v>
      </c>
      <c r="M86" s="76">
        <f t="shared" si="10"/>
        <v>1027</v>
      </c>
      <c r="N86" s="76">
        <f t="shared" si="10"/>
        <v>922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6443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2" t="s">
        <v>43</v>
      </c>
      <c r="C89" s="183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79">
        <v>145</v>
      </c>
      <c r="C90" s="180"/>
      <c r="D90" s="65" t="str">
        <f t="shared" ref="D90:D100" si="12">K17</f>
        <v>A</v>
      </c>
      <c r="E90" s="84">
        <f t="shared" ref="E90:E100" si="13">SUMPRODUCT(($D$41:$D$85=$D90)*($E$41:$E$85))*$B90</f>
        <v>1848.75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1848.75</v>
      </c>
      <c r="T90" s="77"/>
      <c r="Z90" s="18"/>
    </row>
    <row r="91" spans="1:26" s="17" customFormat="1" ht="12" x14ac:dyDescent="0.2">
      <c r="B91" s="179">
        <v>122</v>
      </c>
      <c r="C91" s="180"/>
      <c r="D91" s="65" t="str">
        <f t="shared" si="12"/>
        <v>B</v>
      </c>
      <c r="E91" s="84">
        <f t="shared" si="13"/>
        <v>20831.5</v>
      </c>
      <c r="F91" s="84">
        <f t="shared" si="14"/>
        <v>3080.5</v>
      </c>
      <c r="G91" s="84">
        <f t="shared" si="15"/>
        <v>14457</v>
      </c>
      <c r="H91" s="84">
        <f t="shared" si="16"/>
        <v>15463.5</v>
      </c>
      <c r="I91" s="84">
        <f t="shared" si="17"/>
        <v>30378</v>
      </c>
      <c r="J91" s="84">
        <f t="shared" si="18"/>
        <v>12078</v>
      </c>
      <c r="K91" s="84">
        <f t="shared" si="19"/>
        <v>11315.5</v>
      </c>
      <c r="L91" s="84">
        <f t="shared" si="20"/>
        <v>28304</v>
      </c>
      <c r="M91" s="84">
        <f t="shared" si="21"/>
        <v>20038.5</v>
      </c>
      <c r="N91" s="84">
        <f t="shared" si="22"/>
        <v>17842.5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 t="shared" ref="R91:R100" si="26">SUM(D91:Q91)</f>
        <v>173789</v>
      </c>
      <c r="T91" s="77"/>
      <c r="Z91" s="18"/>
    </row>
    <row r="92" spans="1:26" s="17" customFormat="1" ht="12" x14ac:dyDescent="0.2">
      <c r="B92" s="179">
        <v>95</v>
      </c>
      <c r="C92" s="180"/>
      <c r="D92" s="65" t="str">
        <f t="shared" si="12"/>
        <v>C</v>
      </c>
      <c r="E92" s="84">
        <f t="shared" si="13"/>
        <v>17955</v>
      </c>
      <c r="F92" s="84">
        <f t="shared" si="14"/>
        <v>8668.75</v>
      </c>
      <c r="G92" s="84">
        <f t="shared" si="15"/>
        <v>11162.5</v>
      </c>
      <c r="H92" s="84">
        <f t="shared" si="16"/>
        <v>19950</v>
      </c>
      <c r="I92" s="84">
        <f t="shared" si="17"/>
        <v>27146.25</v>
      </c>
      <c r="J92" s="84">
        <f t="shared" si="18"/>
        <v>21208.75</v>
      </c>
      <c r="K92" s="84">
        <f t="shared" si="19"/>
        <v>16055</v>
      </c>
      <c r="L92" s="84">
        <f t="shared" si="20"/>
        <v>34081.25</v>
      </c>
      <c r="M92" s="84">
        <f t="shared" si="21"/>
        <v>25008.75</v>
      </c>
      <c r="N92" s="84">
        <f t="shared" si="22"/>
        <v>26362.5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si="26"/>
        <v>207598.75</v>
      </c>
      <c r="T92" s="77"/>
      <c r="Z92" s="18"/>
    </row>
    <row r="93" spans="1:26" s="17" customFormat="1" x14ac:dyDescent="0.2">
      <c r="A93" s="36"/>
      <c r="B93" s="179">
        <v>86</v>
      </c>
      <c r="C93" s="180"/>
      <c r="D93" s="65" t="str">
        <f t="shared" si="12"/>
        <v>D</v>
      </c>
      <c r="E93" s="84">
        <f t="shared" si="13"/>
        <v>7955</v>
      </c>
      <c r="F93" s="84">
        <f t="shared" si="14"/>
        <v>1698.5</v>
      </c>
      <c r="G93" s="84">
        <f t="shared" si="15"/>
        <v>3354</v>
      </c>
      <c r="H93" s="84">
        <f t="shared" si="16"/>
        <v>2343.5</v>
      </c>
      <c r="I93" s="84">
        <f t="shared" si="17"/>
        <v>9030</v>
      </c>
      <c r="J93" s="84">
        <f t="shared" si="18"/>
        <v>16942</v>
      </c>
      <c r="K93" s="84">
        <f t="shared" si="19"/>
        <v>14448</v>
      </c>
      <c r="L93" s="84">
        <f t="shared" si="20"/>
        <v>22166.5</v>
      </c>
      <c r="M93" s="84">
        <f t="shared" si="21"/>
        <v>22833</v>
      </c>
      <c r="N93" s="84">
        <f t="shared" si="22"/>
        <v>31304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132074.5</v>
      </c>
      <c r="T93" s="77"/>
      <c r="Z93" s="18"/>
    </row>
    <row r="94" spans="1:26" s="17" customFormat="1" ht="14.25" x14ac:dyDescent="0.2">
      <c r="A94" s="86"/>
      <c r="B94" s="179">
        <v>62</v>
      </c>
      <c r="C94" s="180"/>
      <c r="D94" s="65" t="str">
        <f t="shared" si="12"/>
        <v>E</v>
      </c>
      <c r="E94" s="84">
        <f t="shared" si="13"/>
        <v>3472</v>
      </c>
      <c r="F94" s="84">
        <f t="shared" si="14"/>
        <v>1317.5</v>
      </c>
      <c r="G94" s="84">
        <f t="shared" si="15"/>
        <v>0</v>
      </c>
      <c r="H94" s="84">
        <f t="shared" si="16"/>
        <v>1054</v>
      </c>
      <c r="I94" s="84">
        <f t="shared" si="17"/>
        <v>3332.5</v>
      </c>
      <c r="J94" s="84">
        <f t="shared" si="18"/>
        <v>13438.5</v>
      </c>
      <c r="K94" s="84">
        <f t="shared" si="19"/>
        <v>3890.5</v>
      </c>
      <c r="L94" s="84">
        <f t="shared" si="20"/>
        <v>8974.5</v>
      </c>
      <c r="M94" s="84">
        <f t="shared" si="21"/>
        <v>10834.5</v>
      </c>
      <c r="N94" s="84">
        <f t="shared" si="22"/>
        <v>2015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48329</v>
      </c>
      <c r="T94" s="77"/>
      <c r="Z94" s="18"/>
    </row>
    <row r="95" spans="1:26" s="17" customFormat="1" x14ac:dyDescent="0.2">
      <c r="A95" s="36"/>
      <c r="B95" s="179">
        <v>50</v>
      </c>
      <c r="C95" s="180"/>
      <c r="D95" s="65" t="str">
        <f t="shared" si="12"/>
        <v>F</v>
      </c>
      <c r="E95" s="84">
        <f t="shared" si="13"/>
        <v>0</v>
      </c>
      <c r="F95" s="84">
        <f t="shared" si="14"/>
        <v>2725</v>
      </c>
      <c r="G95" s="84">
        <f t="shared" si="15"/>
        <v>1350</v>
      </c>
      <c r="H95" s="84">
        <f t="shared" si="16"/>
        <v>0</v>
      </c>
      <c r="I95" s="84">
        <f t="shared" si="17"/>
        <v>2137.5</v>
      </c>
      <c r="J95" s="84">
        <f t="shared" si="18"/>
        <v>3812.5</v>
      </c>
      <c r="K95" s="84">
        <f t="shared" si="19"/>
        <v>0</v>
      </c>
      <c r="L95" s="84">
        <f t="shared" si="20"/>
        <v>1050</v>
      </c>
      <c r="M95" s="84">
        <f t="shared" si="21"/>
        <v>4887.5</v>
      </c>
      <c r="N95" s="84">
        <f t="shared" si="22"/>
        <v>4112.5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20075</v>
      </c>
      <c r="T95" s="77"/>
      <c r="Z95" s="18"/>
    </row>
    <row r="96" spans="1:26" ht="14.25" x14ac:dyDescent="0.2">
      <c r="A96" s="86"/>
      <c r="B96" s="179">
        <v>8</v>
      </c>
      <c r="C96" s="180"/>
      <c r="D96" s="65" t="str">
        <f t="shared" si="12"/>
        <v>G</v>
      </c>
      <c r="E96" s="84">
        <f t="shared" si="13"/>
        <v>60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54</v>
      </c>
      <c r="M96" s="84">
        <f t="shared" si="21"/>
        <v>252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366</v>
      </c>
    </row>
    <row r="97" spans="1:51" x14ac:dyDescent="0.2">
      <c r="B97" s="179">
        <v>4</v>
      </c>
      <c r="C97" s="180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10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10</v>
      </c>
    </row>
    <row r="98" spans="1:51" x14ac:dyDescent="0.2">
      <c r="B98" s="179">
        <v>6</v>
      </c>
      <c r="C98" s="180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27</v>
      </c>
      <c r="I98" s="84">
        <f t="shared" si="17"/>
        <v>0</v>
      </c>
      <c r="J98" s="84">
        <f t="shared" si="18"/>
        <v>24</v>
      </c>
      <c r="K98" s="84">
        <f t="shared" si="19"/>
        <v>0</v>
      </c>
      <c r="L98" s="84">
        <f t="shared" si="20"/>
        <v>0</v>
      </c>
      <c r="M98" s="84">
        <f t="shared" si="21"/>
        <v>165</v>
      </c>
      <c r="N98" s="84">
        <f t="shared" si="22"/>
        <v>117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333</v>
      </c>
    </row>
    <row r="99" spans="1:51" x14ac:dyDescent="0.2">
      <c r="B99" s="179">
        <v>13.5625</v>
      </c>
      <c r="C99" s="180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79">
        <v>27.125</v>
      </c>
      <c r="C100" s="180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4" t="s">
        <v>40</v>
      </c>
      <c r="C101" s="184"/>
      <c r="D101" s="184"/>
      <c r="E101" s="89">
        <f t="shared" ref="E101:R101" si="27">SUM(E90:E100)</f>
        <v>52122.25</v>
      </c>
      <c r="F101" s="89">
        <f t="shared" si="27"/>
        <v>17490.25</v>
      </c>
      <c r="G101" s="89">
        <f t="shared" si="27"/>
        <v>30323.5</v>
      </c>
      <c r="H101" s="89">
        <f t="shared" si="27"/>
        <v>38838</v>
      </c>
      <c r="I101" s="89">
        <f t="shared" si="27"/>
        <v>72024.25</v>
      </c>
      <c r="J101" s="89">
        <f t="shared" si="27"/>
        <v>67503.75</v>
      </c>
      <c r="K101" s="89">
        <f t="shared" si="27"/>
        <v>45709</v>
      </c>
      <c r="L101" s="89">
        <f t="shared" si="27"/>
        <v>94630.25</v>
      </c>
      <c r="M101" s="89">
        <f t="shared" si="27"/>
        <v>84029.25</v>
      </c>
      <c r="N101" s="89">
        <f t="shared" si="27"/>
        <v>81753.5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 t="shared" si="27"/>
        <v>584424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5" t="str">
        <f>D108</f>
        <v>25%/B/C</v>
      </c>
      <c r="F105" s="186"/>
      <c r="G105" s="186"/>
      <c r="H105" s="187"/>
      <c r="I105" s="185" t="str">
        <f>D109</f>
        <v>12.5%/B/C</v>
      </c>
      <c r="J105" s="186"/>
      <c r="K105" s="186"/>
      <c r="L105" s="187"/>
      <c r="M105" s="185" t="str">
        <f>D110</f>
        <v>G3/4</v>
      </c>
      <c r="N105" s="186"/>
      <c r="O105" s="186"/>
      <c r="P105" s="187"/>
      <c r="Q105" s="185" t="str">
        <f>D111</f>
        <v>G1/2</v>
      </c>
      <c r="R105" s="186"/>
      <c r="S105" s="186"/>
      <c r="T105" s="187"/>
      <c r="U105" s="185" t="str">
        <f>D112</f>
        <v>G</v>
      </c>
      <c r="V105" s="186"/>
      <c r="W105" s="186"/>
      <c r="X105" s="187"/>
      <c r="Y105" s="185" t="str">
        <f>D113</f>
        <v>F</v>
      </c>
      <c r="Z105" s="186"/>
      <c r="AA105" s="186"/>
      <c r="AB105" s="187"/>
      <c r="AC105" s="185" t="str">
        <f>D114</f>
        <v>E</v>
      </c>
      <c r="AD105" s="186"/>
      <c r="AE105" s="186"/>
      <c r="AF105" s="187"/>
      <c r="AG105" s="185" t="str">
        <f>D115</f>
        <v>D</v>
      </c>
      <c r="AH105" s="186"/>
      <c r="AI105" s="186"/>
      <c r="AJ105" s="187"/>
      <c r="AK105" s="185" t="str">
        <f>D116</f>
        <v>C</v>
      </c>
      <c r="AL105" s="186"/>
      <c r="AM105" s="186"/>
      <c r="AN105" s="187"/>
      <c r="AO105" s="185" t="str">
        <f>D117</f>
        <v>B</v>
      </c>
      <c r="AP105" s="186"/>
      <c r="AQ105" s="186"/>
      <c r="AR105" s="187"/>
      <c r="AS105" s="185" t="str">
        <f>D118</f>
        <v>A</v>
      </c>
      <c r="AT105" s="186"/>
      <c r="AU105" s="186"/>
      <c r="AV105" s="187"/>
      <c r="AW105" s="92"/>
      <c r="AX105" s="92"/>
      <c r="AY105" s="92"/>
    </row>
    <row r="106" spans="1:51" s="95" customFormat="1" ht="55.5" customHeight="1" outlineLevel="1" thickBot="1" x14ac:dyDescent="0.25">
      <c r="C106" s="191" t="s">
        <v>44</v>
      </c>
      <c r="D106" s="192"/>
      <c r="E106" s="188">
        <f>M27</f>
        <v>50</v>
      </c>
      <c r="F106" s="189"/>
      <c r="G106" s="189"/>
      <c r="H106" s="190"/>
      <c r="I106" s="188">
        <f>M26</f>
        <v>650</v>
      </c>
      <c r="J106" s="189"/>
      <c r="K106" s="189"/>
      <c r="L106" s="190"/>
      <c r="M106" s="188">
        <f>M25</f>
        <v>0</v>
      </c>
      <c r="N106" s="189"/>
      <c r="O106" s="189"/>
      <c r="P106" s="190"/>
      <c r="Q106" s="188">
        <f>M24</f>
        <v>68</v>
      </c>
      <c r="R106" s="189"/>
      <c r="S106" s="189"/>
      <c r="T106" s="190"/>
      <c r="U106" s="188">
        <f>M23</f>
        <v>1250</v>
      </c>
      <c r="V106" s="189"/>
      <c r="W106" s="189"/>
      <c r="X106" s="190"/>
      <c r="Y106" s="188">
        <f>M22</f>
        <v>1573</v>
      </c>
      <c r="Z106" s="189"/>
      <c r="AA106" s="189"/>
      <c r="AB106" s="190"/>
      <c r="AC106" s="188">
        <f>M21</f>
        <v>1560</v>
      </c>
      <c r="AD106" s="189"/>
      <c r="AE106" s="189"/>
      <c r="AF106" s="190"/>
      <c r="AG106" s="188">
        <f>M20</f>
        <v>4025</v>
      </c>
      <c r="AH106" s="189"/>
      <c r="AI106" s="189"/>
      <c r="AJ106" s="190"/>
      <c r="AK106" s="188">
        <f>M19</f>
        <v>3949</v>
      </c>
      <c r="AL106" s="189"/>
      <c r="AM106" s="189"/>
      <c r="AN106" s="190"/>
      <c r="AO106" s="188">
        <f>M18</f>
        <v>2100</v>
      </c>
      <c r="AP106" s="189"/>
      <c r="AQ106" s="189"/>
      <c r="AR106" s="190"/>
      <c r="AS106" s="188">
        <f>M17</f>
        <v>125</v>
      </c>
      <c r="AT106" s="189"/>
      <c r="AU106" s="189"/>
      <c r="AV106" s="190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50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650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36</v>
      </c>
      <c r="N110" s="104">
        <f>SUMPRODUCT(($F$42:$Q$86)*(($F$40:$Q$40=$E$14)+($F$40:$Q$40=$K$14)+($F$40:$Q$40=$I$14)+($F$40:$Q$40=$G$14))*($D$42:$D$86=M$105))</f>
        <v>19.5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2.5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65.5</v>
      </c>
      <c r="T111" s="106">
        <f>IF(($Q106&gt;0),(Q111+R111)/$Q106,0)</f>
        <v>3.6764705882352942E-2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45.75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1204.25</v>
      </c>
      <c r="X112" s="106">
        <f>IF(($U106&gt;0),(U112+V112)/$U106,0)</f>
        <v>3.6600000000000001E-2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319.25</v>
      </c>
      <c r="Z113" s="104">
        <f>SUMPRODUCT(($F$42:$Q$86)*(($F$40:$Q$40=$E$14)+($F$40:$Q$40=$K$14)+($F$40:$Q$40=$I$14)+($F$40:$Q$40=$G$14))*($D$42:$D$86=Y$105))</f>
        <v>82.25</v>
      </c>
      <c r="AA113" s="113">
        <f>IF(Y$106-Y113-Z113&gt;0,Y$106-Y113-Z113,0)</f>
        <v>1171.5</v>
      </c>
      <c r="AB113" s="106">
        <f>IF(($Y106&gt;0),(Y113+Z113)/$Y106,0)</f>
        <v>0.25524475524475526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747</v>
      </c>
      <c r="AD114" s="104">
        <f>SUMPRODUCT(($F$42:$Q$86)*(($F$40:$Q$40=$E$14)+($F$40:$Q$40=$K$14)+($F$40:$Q$40=$I$14)+($F$40:$Q$40=$G$14))*($D$42:$D$86=AC$105))</f>
        <v>32.5</v>
      </c>
      <c r="AE114" s="113">
        <f>IF(AC$106-AC114-AD114&gt;0,AC$106-AC114-AD114,0)</f>
        <v>780.5</v>
      </c>
      <c r="AF114" s="106">
        <f>IF(($AC106&gt;0),(AC114+AD114)/$AC106,0)</f>
        <v>0.49967948717948718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1171.75</v>
      </c>
      <c r="AH115" s="104">
        <f>SUMPRODUCT(($F$42:$Q$86)*(($F$40:$Q$40=$E$14)+($F$40:$Q$40=$K$14)+($F$40:$Q$40=$I$14)+($F$40:$Q$40=$G$14))*($D$42:$D$86=AG$105))</f>
        <v>364</v>
      </c>
      <c r="AI115" s="113">
        <f>IF(AG$106-AG115-AH115&gt;0,AG$106-AG115-AH115,0)</f>
        <v>2489.25</v>
      </c>
      <c r="AJ115" s="106">
        <f>IF(($AG106&gt;0),(AG115+AH115)/$AG106,0)</f>
        <v>0.38155279503105588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1907.75</v>
      </c>
      <c r="AL116" s="104">
        <f>SUMPRODUCT(($F$42:$Q$86)*(($F$40:$Q$40=$E$14)+($F$40:$Q$40=$K$14)+($F$40:$Q$40=$I$14)+($F$40:$Q$40=$G$14))*($D$42:$D$86=AK$105))</f>
        <v>277.5</v>
      </c>
      <c r="AM116" s="113">
        <f>IF(AK$106-AK116-AL116&gt;0,AK$106-AK116-AL116,0)</f>
        <v>1763.75</v>
      </c>
      <c r="AN116" s="106">
        <f>IF(($AK106&gt;0),(AK116+AL116)/$AK106,0)</f>
        <v>0.55336794125094957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1278.25</v>
      </c>
      <c r="AP117" s="104">
        <f>SUMPRODUCT(($F$42:$Q$86)*(($F$40:$Q$40=$E$14)+($F$40:$Q$40=$K$14)+($F$40:$Q$40=$I$14)+($F$40:$Q$40=$G$14))*($D$42:$D$86=AO$105))</f>
        <v>146.25</v>
      </c>
      <c r="AQ117" s="113">
        <f>IF(AO$106-AO117-AP117&gt;0,AO$106-AO117-AP117,0)</f>
        <v>675.5</v>
      </c>
      <c r="AR117" s="106">
        <f>IF(($AO106&gt;0),(AO117+AP117)/$AO106,0)</f>
        <v>0.67833333333333334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12.75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112.25</v>
      </c>
      <c r="AV118" s="106">
        <f>IF(($AS106&gt;0),(AS118+AT118)/$AS106,0)</f>
        <v>0.10199999999999999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2019-10-28T13:27:16Z</cp:lastPrinted>
  <dcterms:created xsi:type="dcterms:W3CDTF">2018-01-15T08:58:52Z</dcterms:created>
  <dcterms:modified xsi:type="dcterms:W3CDTF">2019-10-28T13:27:18Z</dcterms:modified>
</cp:coreProperties>
</file>