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0" i="1" l="1"/>
  <c r="M19" i="1"/>
  <c r="M18" i="1"/>
  <c r="P56" i="1" l="1"/>
  <c r="P55" i="1"/>
  <c r="P45" i="1"/>
  <c r="P44" i="1"/>
  <c r="P43" i="1"/>
  <c r="O57" i="1" l="1"/>
  <c r="O56" i="1"/>
  <c r="O55" i="1"/>
  <c r="O65" i="1" l="1"/>
  <c r="O47" i="1"/>
  <c r="O46" i="1"/>
  <c r="O45" i="1"/>
  <c r="O44" i="1"/>
  <c r="O43" i="1"/>
  <c r="N57" i="1" l="1"/>
  <c r="N56" i="1"/>
  <c r="N55" i="1"/>
  <c r="N54" i="1"/>
  <c r="N47" i="1"/>
  <c r="N46" i="1"/>
  <c r="N45" i="1"/>
  <c r="N44" i="1"/>
  <c r="N43" i="1"/>
  <c r="M44" i="1" l="1"/>
  <c r="M43" i="1"/>
  <c r="M61" i="1" l="1"/>
  <c r="M59" i="1"/>
  <c r="M57" i="1"/>
  <c r="M56" i="1"/>
  <c r="M55" i="1"/>
  <c r="M47" i="1"/>
  <c r="M46" i="1"/>
  <c r="M45" i="1"/>
  <c r="L45" i="1" l="1"/>
  <c r="L44" i="1"/>
  <c r="L57" i="1"/>
  <c r="L56" i="1"/>
  <c r="L55" i="1"/>
  <c r="L54" i="1"/>
  <c r="K55" i="1" l="1"/>
  <c r="K45" i="1"/>
  <c r="K46" i="1"/>
  <c r="K44" i="1"/>
  <c r="K43" i="1"/>
  <c r="K56" i="1" l="1"/>
  <c r="J43" i="1" l="1"/>
  <c r="J46" i="1" l="1"/>
  <c r="J57" i="1" l="1"/>
  <c r="J55" i="1"/>
  <c r="J56" i="1"/>
  <c r="J47" i="1"/>
  <c r="J45" i="1"/>
  <c r="J44" i="1"/>
  <c r="I56" i="1" l="1"/>
  <c r="I55" i="1"/>
  <c r="I54" i="1"/>
  <c r="I47" i="1"/>
  <c r="I46" i="1"/>
  <c r="I45" i="1"/>
  <c r="I44" i="1"/>
  <c r="I43" i="1"/>
  <c r="H45" i="1" l="1"/>
  <c r="H44" i="1"/>
  <c r="H56" i="1"/>
  <c r="H55" i="1"/>
  <c r="H54" i="1"/>
  <c r="G56" i="1" l="1"/>
  <c r="G55" i="1"/>
  <c r="G45" i="1" l="1"/>
  <c r="M22" i="1" l="1"/>
  <c r="M21" i="1"/>
  <c r="G44" i="1" l="1"/>
  <c r="G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<sst xmlns="http://schemas.openxmlformats.org/spreadsheetml/2006/main" count="155" uniqueCount="65">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</sst>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0.51933229813664594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0.60003819339115594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1995.75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2330.5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2652.75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1365.75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1717.25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131.75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3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43466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40148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700+200+300+900+100</f>
        <v>2200</v>
      </c>
      <c r="N18" s="46">
        <f t="shared" si="0"/>
        <v>1717.25</v>
      </c>
      <c r="O18" s="47">
        <f t="shared" si="1"/>
        <v>131.75</v>
      </c>
      <c r="P18" s="48">
        <f t="shared" si="2"/>
        <v>351</v>
      </c>
      <c r="Q18" s="49">
        <f t="shared" si="3"/>
        <v>0</v>
      </c>
      <c r="R18" s="50">
        <f t="shared" si="4"/>
        <v>0.84045454545454545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2950+999+200</f>
        <v>4149</v>
      </c>
      <c r="N19" s="46">
        <f t="shared" si="0"/>
        <v>2652.75</v>
      </c>
      <c r="O19" s="47">
        <f t="shared" si="1"/>
        <v>130.5</v>
      </c>
      <c r="P19" s="48">
        <f t="shared" si="2"/>
        <v>1365.75</v>
      </c>
      <c r="Q19" s="49">
        <f t="shared" si="3"/>
        <v>0</v>
      </c>
      <c r="R19" s="50">
        <f t="shared" si="4"/>
        <v>0.67082429501084595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f>4025+450</f>
        <v>4475</v>
      </c>
      <c r="N20" s="46">
        <f t="shared" si="0"/>
        <v>1995.75</v>
      </c>
      <c r="O20" s="47">
        <f t="shared" si="1"/>
        <v>148.75</v>
      </c>
      <c r="P20" s="48">
        <f t="shared" si="2"/>
        <v>2330.5</v>
      </c>
      <c r="Q20" s="49">
        <f t="shared" si="3"/>
        <v>0</v>
      </c>
      <c r="R20" s="50">
        <f t="shared" si="4"/>
        <v>0.47921787709497204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848.75</v>
      </c>
      <c r="O21" s="47">
        <f t="shared" si="1"/>
        <v>55.75</v>
      </c>
      <c r="P21" s="48">
        <f t="shared" si="2"/>
        <v>655.5</v>
      </c>
      <c r="Q21" s="49">
        <f t="shared" si="3"/>
        <v>0</v>
      </c>
      <c r="R21" s="50">
        <f t="shared" si="4"/>
        <v>0.57980769230769236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456</v>
      </c>
      <c r="O22" s="47">
        <f t="shared" si="1"/>
        <v>10.5</v>
      </c>
      <c r="P22" s="48">
        <f t="shared" si="2"/>
        <v>1106.5</v>
      </c>
      <c r="Q22" s="49">
        <f t="shared" si="3"/>
        <v>0</v>
      </c>
      <c r="R22" s="50">
        <f t="shared" si="4"/>
        <v>0.29656706929434201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50.5</v>
      </c>
      <c r="O24" s="47">
        <f t="shared" si="1"/>
        <v>3.5</v>
      </c>
      <c r="P24" s="48">
        <f>SUMPRODUCT(($D$108:$D$118=$K24)*($E$107:$AV$107=$P$16)*($E$108:$AV$118))</f>
        <v>14</v>
      </c>
      <c r="Q24" s="49">
        <f t="shared" si="3"/>
        <v>0</v>
      </c>
      <c r="R24" s="50">
        <f t="shared" si="4"/>
        <v>0.79411764705882348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90</v>
      </c>
      <c r="O25" s="47">
        <f t="shared" si="1"/>
        <v>11</v>
      </c>
      <c r="P25" s="48">
        <f t="shared" si="2"/>
        <v>0</v>
      </c>
      <c r="Q25" s="49">
        <f t="shared" si="3"/>
        <v>101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16100</v>
      </c>
      <c r="N28" s="53">
        <f>SUM(N17:N27)</f>
        <v>7869.5</v>
      </c>
      <c r="O28" s="53">
        <f>SUM(O17:O27)</f>
        <v>491.75</v>
      </c>
      <c r="P28" s="53">
        <f>SUM(P17:P27)</f>
        <v>7839.75</v>
      </c>
      <c r="Q28" s="53">
        <f>IF(SUM(N28:O28)-SUM(U105:AV105)&gt;0,SUM(N28:O28)-SUM(U105:AV105),0)</f>
        <v>8361.25</v>
      </c>
      <c r="R28" s="54">
        <f t="shared" si="4"/>
        <v>0.51933229813664594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0.4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1261343.875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756854.5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0.60003819339115594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0.51933229813664594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>
        <f>160.5</f>
        <v>160.5</v>
      </c>
      <c r="J43" s="70">
        <f>84+1.5</f>
        <v>85.5</v>
      </c>
      <c r="K43" s="70">
        <f>65.25</f>
        <v>65.25</v>
      </c>
      <c r="L43" s="70">
        <v>206.5</v>
      </c>
      <c r="M43" s="70">
        <f>140.5</f>
        <v>140.5</v>
      </c>
      <c r="N43" s="70">
        <f>126.25</f>
        <v>126.25</v>
      </c>
      <c r="O43" s="71">
        <f>83.5</f>
        <v>83.5</v>
      </c>
      <c r="P43" s="71">
        <f>146</f>
        <v>146</v>
      </c>
      <c r="Q43" s="71">
        <v>130.25</v>
      </c>
      <c r="R43" s="65">
        <f t="shared" si="5"/>
        <v>1415.75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>
        <f>100+86</f>
        <v>186</v>
      </c>
      <c r="J44" s="70">
        <f>12.75+148.5</f>
        <v>161.25</v>
      </c>
      <c r="K44" s="70">
        <f>12+114.75</f>
        <v>126.75</v>
      </c>
      <c r="L44" s="70">
        <f>158.75+46.25</f>
        <v>205</v>
      </c>
      <c r="M44" s="70">
        <f>71.25+34.5</f>
        <v>105.75</v>
      </c>
      <c r="N44" s="70">
        <f>29+121.25</f>
        <v>150.25</v>
      </c>
      <c r="O44" s="71">
        <f>12+102.75</f>
        <v>114.75</v>
      </c>
      <c r="P44" s="71">
        <f>90.25+14.75</f>
        <v>105</v>
      </c>
      <c r="Q44" s="71">
        <v>66.75</v>
      </c>
      <c r="R44" s="65">
        <f t="shared" si="5"/>
        <v>1687.5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>
        <f>28.75+3.5</f>
        <v>32.25</v>
      </c>
      <c r="J45" s="70">
        <f>7.5+75.5</f>
        <v>83</v>
      </c>
      <c r="K45" s="70">
        <f>14.5+71.5</f>
        <v>86</v>
      </c>
      <c r="L45" s="70">
        <f>50.75+8.75</f>
        <v>59.5</v>
      </c>
      <c r="M45" s="70">
        <f>30+5.75</f>
        <v>35.75</v>
      </c>
      <c r="N45" s="70">
        <f>58.75+104.5</f>
        <v>163.25</v>
      </c>
      <c r="O45" s="71">
        <f>55.75+44.25</f>
        <v>100</v>
      </c>
      <c r="P45" s="71">
        <f>99.5+0.5</f>
        <v>100</v>
      </c>
      <c r="Q45" s="71">
        <v>85</v>
      </c>
      <c r="R45" s="65">
        <f t="shared" ref="R45" si="6">SUM(E45:Q45)</f>
        <v>808.5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>
        <f>36.75</f>
        <v>36.75</v>
      </c>
      <c r="J46" s="70">
        <f>3.5+173.5</f>
        <v>177</v>
      </c>
      <c r="K46" s="70">
        <f>43.25</f>
        <v>43.25</v>
      </c>
      <c r="L46" s="70">
        <v>109.25</v>
      </c>
      <c r="M46" s="70">
        <f>121</f>
        <v>121</v>
      </c>
      <c r="N46" s="70">
        <f>18</f>
        <v>18</v>
      </c>
      <c r="O46" s="71">
        <f>15.75</f>
        <v>15.75</v>
      </c>
      <c r="P46" s="71"/>
      <c r="Q46" s="71"/>
      <c r="R46" s="65">
        <f t="shared" si="5"/>
        <v>615.25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>
        <f>42.75</f>
        <v>42.75</v>
      </c>
      <c r="J47" s="70">
        <f>8.25+68</f>
        <v>76.25</v>
      </c>
      <c r="K47" s="70"/>
      <c r="L47" s="70">
        <v>21</v>
      </c>
      <c r="M47" s="70">
        <f>51+46.75</f>
        <v>97.75</v>
      </c>
      <c r="N47" s="70">
        <f>48+34.25</f>
        <v>82.25</v>
      </c>
      <c r="O47" s="71">
        <f>16.25+38.25</f>
        <v>54.5</v>
      </c>
      <c r="P47" s="71"/>
      <c r="Q47" s="71">
        <v>10.5</v>
      </c>
      <c r="R47" s="65">
        <f t="shared" si="5"/>
        <v>466.5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>
        <v>23</v>
      </c>
      <c r="P49" s="71">
        <v>25</v>
      </c>
      <c r="Q49" s="71"/>
      <c r="R49" s="65">
        <f t="shared" si="5"/>
        <v>48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>
        <v>4</v>
      </c>
      <c r="K50" s="70"/>
      <c r="L50" s="70"/>
      <c r="M50" s="70"/>
      <c r="N50" s="70"/>
      <c r="O50" s="71">
        <v>5.75</v>
      </c>
      <c r="P50" s="71">
        <v>20.25</v>
      </c>
      <c r="Q50" s="71"/>
      <c r="R50" s="65">
        <f t="shared" si="5"/>
        <v>30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>
        <f>2.5+62.75</f>
        <v>65.25</v>
      </c>
      <c r="J54" s="70">
        <v>0.5</v>
      </c>
      <c r="K54" s="70">
        <v>6.5</v>
      </c>
      <c r="L54" s="70">
        <f>4.5</f>
        <v>4.5</v>
      </c>
      <c r="M54" s="70">
        <v>13.75</v>
      </c>
      <c r="N54" s="70">
        <f>12</f>
        <v>12</v>
      </c>
      <c r="O54" s="71">
        <v>7</v>
      </c>
      <c r="P54" s="71">
        <v>38.75</v>
      </c>
      <c r="Q54" s="71">
        <v>1</v>
      </c>
      <c r="R54" s="65">
        <f t="shared" ref="R54" si="7">SUM(E54:Q54)</f>
        <v>291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>
        <f>56+40.5</f>
        <v>96.5</v>
      </c>
      <c r="J55" s="70">
        <f>22.5+37</f>
        <v>59.5</v>
      </c>
      <c r="K55" s="70">
        <f>23.75+18.5</f>
        <v>42.25</v>
      </c>
      <c r="L55" s="70">
        <f>73.5+65.75</f>
        <v>139.25</v>
      </c>
      <c r="M55" s="70">
        <f>75+26</f>
        <v>101</v>
      </c>
      <c r="N55" s="70">
        <f>23.75+94.5</f>
        <v>118.25</v>
      </c>
      <c r="O55" s="71">
        <f>28+31+0.5+33</f>
        <v>92.5</v>
      </c>
      <c r="P55" s="71">
        <f>18.5+109</f>
        <v>127.5</v>
      </c>
      <c r="Q55" s="71">
        <v>28</v>
      </c>
      <c r="R55" s="65">
        <f t="shared" si="5"/>
        <v>946.5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>
        <f>26.25+46.5</f>
        <v>72.75</v>
      </c>
      <c r="J56" s="70">
        <f>114</f>
        <v>114</v>
      </c>
      <c r="K56" s="70">
        <f>80+2</f>
        <v>82</v>
      </c>
      <c r="L56" s="70">
        <f>174.25+24</f>
        <v>198.25</v>
      </c>
      <c r="M56" s="70">
        <f>227.5+2.25</f>
        <v>229.75</v>
      </c>
      <c r="N56" s="70">
        <f>200.75</f>
        <v>200.75</v>
      </c>
      <c r="O56" s="71">
        <f>40+5.75+71.5+69</f>
        <v>186.25</v>
      </c>
      <c r="P56" s="71">
        <f>4.5+68.75</f>
        <v>73.25</v>
      </c>
      <c r="Q56" s="71">
        <v>63.75</v>
      </c>
      <c r="R56" s="65">
        <f t="shared" si="5"/>
        <v>1335.5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>
        <v>17</v>
      </c>
      <c r="J57" s="70">
        <f>18.5+21.25</f>
        <v>39.75</v>
      </c>
      <c r="K57" s="70">
        <v>19.5</v>
      </c>
      <c r="L57" s="70">
        <f>19.25+16.25</f>
        <v>35.5</v>
      </c>
      <c r="M57" s="70">
        <f>53.75</f>
        <v>53.75</v>
      </c>
      <c r="N57" s="70">
        <f>7.5+7</f>
        <v>14.5</v>
      </c>
      <c r="O57" s="71">
        <f>19.5</f>
        <v>19.5</v>
      </c>
      <c r="P57" s="71">
        <v>33.75</v>
      </c>
      <c r="Q57" s="71">
        <v>55.75</v>
      </c>
      <c r="R57" s="65">
        <f t="shared" ref="R57" si="8">SUM(E57:Q57)</f>
        <v>289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>
        <v>6.75</v>
      </c>
      <c r="M59" s="70">
        <f>29.5+2</f>
        <v>31.5</v>
      </c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2.5</v>
      </c>
      <c r="N60" s="70"/>
      <c r="O60" s="71"/>
      <c r="P60" s="71"/>
      <c r="Q60" s="71">
        <v>3.5</v>
      </c>
      <c r="R60" s="65">
        <f t="shared" si="5"/>
        <v>6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>
        <f>27.5</f>
        <v>27.5</v>
      </c>
      <c r="N61" s="70">
        <v>19.5</v>
      </c>
      <c r="O61" s="71">
        <v>8.5</v>
      </c>
      <c r="P61" s="71"/>
      <c r="Q61" s="71">
        <v>11</v>
      </c>
      <c r="R61" s="65">
        <f t="shared" si="5"/>
        <v>71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>
        <v>19</v>
      </c>
      <c r="J64" s="70">
        <v>11</v>
      </c>
      <c r="K64" s="70">
        <v>21</v>
      </c>
      <c r="L64" s="70">
        <v>18.5</v>
      </c>
      <c r="M64" s="70">
        <v>10</v>
      </c>
      <c r="N64" s="70">
        <v>5.5</v>
      </c>
      <c r="O64" s="71">
        <v>6</v>
      </c>
      <c r="P64" s="71">
        <v>9</v>
      </c>
      <c r="Q64" s="71">
        <v>0.5</v>
      </c>
      <c r="R64" s="65">
        <f t="shared" si="5"/>
        <v>128.5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>
        <v>2.5</v>
      </c>
      <c r="K65" s="70"/>
      <c r="L65" s="70">
        <v>12.5</v>
      </c>
      <c r="M65" s="70">
        <v>55.5</v>
      </c>
      <c r="N65" s="70">
        <v>9</v>
      </c>
      <c r="O65" s="71">
        <f>13.75+4</f>
        <v>17.75</v>
      </c>
      <c r="P65" s="71">
        <v>10</v>
      </c>
      <c r="Q65" s="71">
        <v>35.75</v>
      </c>
      <c r="R65" s="65">
        <f t="shared" si="5"/>
        <v>143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>
        <v>0.5</v>
      </c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4.25</v>
      </c>
      <c r="J70" s="70">
        <v>2</v>
      </c>
      <c r="K70" s="70"/>
      <c r="L70" s="70">
        <v>2.5</v>
      </c>
      <c r="M70" s="70"/>
      <c r="N70" s="70">
        <v>2.5</v>
      </c>
      <c r="O70" s="71">
        <v>1.5</v>
      </c>
      <c r="P70" s="71">
        <v>1</v>
      </c>
      <c r="Q70" s="71"/>
      <c r="R70" s="65">
        <f t="shared" si="5"/>
        <v>13.75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3.25</v>
      </c>
      <c r="J71" s="70"/>
      <c r="K71" s="70"/>
      <c r="L71" s="70">
        <v>2</v>
      </c>
      <c r="M71" s="70">
        <v>1</v>
      </c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>
        <v>0.25</v>
      </c>
      <c r="P73" s="71"/>
      <c r="Q73" s="71"/>
      <c r="R73" s="65">
        <f t="shared" si="5"/>
        <v>0.25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736.25</v>
      </c>
      <c r="J86" s="76">
        <f t="shared" si="10"/>
        <v>816.25</v>
      </c>
      <c r="K86" s="76">
        <f t="shared" si="10"/>
        <v>492.5</v>
      </c>
      <c r="L86" s="76">
        <f t="shared" si="10"/>
        <v>1021</v>
      </c>
      <c r="M86" s="76">
        <f t="shared" si="10"/>
        <v>1027</v>
      </c>
      <c r="N86" s="76">
        <f t="shared" si="10"/>
        <v>922</v>
      </c>
      <c r="O86" s="76">
        <f t="shared" si="10"/>
        <v>737</v>
      </c>
      <c r="P86" s="76">
        <f t="shared" si="10"/>
        <v>689.5</v>
      </c>
      <c r="Q86" s="76">
        <f t="shared" si="10"/>
        <v>491.75</v>
      </c>
      <c r="R86" s="65">
        <f t="shared" si="5"/>
        <v>8361.25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30378</v>
      </c>
      <c r="J91" s="84">
        <f t="shared" si="18"/>
        <v>12078</v>
      </c>
      <c r="K91" s="84">
        <f t="shared" si="19"/>
        <v>11315.5</v>
      </c>
      <c r="L91" s="84">
        <f t="shared" si="20"/>
        <v>28304</v>
      </c>
      <c r="M91" s="84">
        <f t="shared" si="21"/>
        <v>20038.5</v>
      </c>
      <c r="N91" s="84">
        <f t="shared" si="22"/>
        <v>17842.5</v>
      </c>
      <c r="O91" s="84">
        <f t="shared" si="23"/>
        <v>11956</v>
      </c>
      <c r="P91" s="84">
        <f t="shared" si="24"/>
        <v>23759.5</v>
      </c>
      <c r="Q91" s="84">
        <f t="shared" si="25"/>
        <v>16073.5</v>
      </c>
      <c r="R91" s="85">
        <f>SUM(D91:Q91)</f>
        <v>225578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27146.25</v>
      </c>
      <c r="J92" s="84">
        <f t="shared" si="18"/>
        <v>21208.75</v>
      </c>
      <c r="K92" s="84">
        <f t="shared" si="19"/>
        <v>16055</v>
      </c>
      <c r="L92" s="84">
        <f t="shared" si="20"/>
        <v>34081.25</v>
      </c>
      <c r="M92" s="84">
        <f t="shared" si="21"/>
        <v>25008.75</v>
      </c>
      <c r="N92" s="84">
        <f t="shared" si="22"/>
        <v>26362.5</v>
      </c>
      <c r="O92" s="84">
        <f t="shared" si="23"/>
        <v>21375</v>
      </c>
      <c r="P92" s="84">
        <f t="shared" si="24"/>
        <v>23037.5</v>
      </c>
      <c r="Q92" s="84">
        <f t="shared" si="25"/>
        <v>12397.5</v>
      </c>
      <c r="R92" s="85">
        <f t="shared" ref="R92:R100" si="26">SUM(D92:Q92)</f>
        <v>264408.75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9030</v>
      </c>
      <c r="J93" s="84">
        <f t="shared" si="18"/>
        <v>16942</v>
      </c>
      <c r="K93" s="84">
        <f t="shared" si="19"/>
        <v>14448</v>
      </c>
      <c r="L93" s="84">
        <f t="shared" si="20"/>
        <v>22166.5</v>
      </c>
      <c r="M93" s="84">
        <f t="shared" si="21"/>
        <v>22833</v>
      </c>
      <c r="N93" s="84">
        <f t="shared" si="22"/>
        <v>31304</v>
      </c>
      <c r="O93" s="84">
        <f t="shared" si="23"/>
        <v>24660.5</v>
      </c>
      <c r="P93" s="84">
        <f t="shared" si="24"/>
        <v>14899.5</v>
      </c>
      <c r="Q93" s="84">
        <f t="shared" si="25"/>
        <v>12792.5</v>
      </c>
      <c r="R93" s="85">
        <f t="shared" si="26"/>
        <v>184427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3332.5</v>
      </c>
      <c r="J94" s="84">
        <f t="shared" si="18"/>
        <v>13438.5</v>
      </c>
      <c r="K94" s="84">
        <f t="shared" si="19"/>
        <v>3890.5</v>
      </c>
      <c r="L94" s="84">
        <f t="shared" si="20"/>
        <v>8974.5</v>
      </c>
      <c r="M94" s="84">
        <f t="shared" si="21"/>
        <v>10834.5</v>
      </c>
      <c r="N94" s="84">
        <f t="shared" si="22"/>
        <v>2015</v>
      </c>
      <c r="O94" s="84">
        <f t="shared" si="23"/>
        <v>2201</v>
      </c>
      <c r="P94" s="84">
        <f t="shared" si="24"/>
        <v>2092.5</v>
      </c>
      <c r="Q94" s="84">
        <f t="shared" si="25"/>
        <v>3456.5</v>
      </c>
      <c r="R94" s="85">
        <f t="shared" si="26"/>
        <v>56079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2137.5</v>
      </c>
      <c r="J95" s="84">
        <f t="shared" si="18"/>
        <v>3812.5</v>
      </c>
      <c r="K95" s="84">
        <f t="shared" si="19"/>
        <v>0</v>
      </c>
      <c r="L95" s="84">
        <f t="shared" si="20"/>
        <v>1050</v>
      </c>
      <c r="M95" s="84">
        <f t="shared" si="21"/>
        <v>4887.5</v>
      </c>
      <c r="N95" s="84">
        <f t="shared" si="22"/>
        <v>4112.5</v>
      </c>
      <c r="O95" s="84">
        <f t="shared" si="23"/>
        <v>2725</v>
      </c>
      <c r="P95" s="84">
        <f t="shared" si="24"/>
        <v>0</v>
      </c>
      <c r="Q95" s="84">
        <f t="shared" si="25"/>
        <v>525</v>
      </c>
      <c r="R95" s="85">
        <f t="shared" si="26"/>
        <v>23325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54</v>
      </c>
      <c r="M96" s="84">
        <f t="shared" si="21"/>
        <v>252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10</v>
      </c>
      <c r="N97" s="84">
        <f t="shared" si="22"/>
        <v>0</v>
      </c>
      <c r="O97" s="84">
        <f t="shared" si="23"/>
        <v>92</v>
      </c>
      <c r="P97" s="84">
        <f t="shared" si="24"/>
        <v>100</v>
      </c>
      <c r="Q97" s="84">
        <f t="shared" si="25"/>
        <v>14</v>
      </c>
      <c r="R97" s="85">
        <f t="shared" si="26"/>
        <v>216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24</v>
      </c>
      <c r="K98" s="84">
        <f t="shared" si="19"/>
        <v>0</v>
      </c>
      <c r="L98" s="84">
        <f t="shared" si="20"/>
        <v>0</v>
      </c>
      <c r="M98" s="84">
        <f t="shared" si="21"/>
        <v>165</v>
      </c>
      <c r="N98" s="84">
        <f t="shared" si="22"/>
        <v>117</v>
      </c>
      <c r="O98" s="84">
        <f t="shared" si="23"/>
        <v>85.5</v>
      </c>
      <c r="P98" s="84">
        <f t="shared" si="24"/>
        <v>121.5</v>
      </c>
      <c r="Q98" s="84">
        <f t="shared" si="25"/>
        <v>66</v>
      </c>
      <c r="R98" s="85">
        <f t="shared" si="26"/>
        <v>606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72024.25</v>
      </c>
      <c r="J101" s="89">
        <f t="shared" si="27"/>
        <v>67503.75</v>
      </c>
      <c r="K101" s="89">
        <f t="shared" si="27"/>
        <v>45709</v>
      </c>
      <c r="L101" s="89">
        <f t="shared" si="27"/>
        <v>94630.25</v>
      </c>
      <c r="M101" s="89">
        <f t="shared" si="27"/>
        <v>84029.25</v>
      </c>
      <c r="N101" s="89">
        <f t="shared" si="27"/>
        <v>81753.5</v>
      </c>
      <c r="O101" s="89">
        <f t="shared" si="27"/>
        <v>63095</v>
      </c>
      <c r="P101" s="89">
        <f t="shared" si="27"/>
        <v>64010.5</v>
      </c>
      <c r="Q101" s="89">
        <f t="shared" si="27"/>
        <v>45325</v>
      </c>
      <c r="R101" s="90">
        <f>SUM(R90:R100)</f>
        <v>756854.5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4475</v>
      </c>
      <c r="AH106" s="189"/>
      <c r="AI106" s="189"/>
      <c r="AJ106" s="190"/>
      <c r="AK106" s="188">
        <f>M19</f>
        <v>4149</v>
      </c>
      <c r="AL106" s="189"/>
      <c r="AM106" s="189"/>
      <c r="AN106" s="190"/>
      <c r="AO106" s="188">
        <f>M18</f>
        <v>2200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90</v>
      </c>
      <c r="N110" s="104">
        <f>SUMPRODUCT(($F$42:$Q$86)*(($F$40:$Q$40=$E$14)+($F$40:$Q$40=$K$14)+($F$40:$Q$40=$I$14)+($F$40:$Q$40=$G$14))*($D$42:$D$86=M$105))</f>
        <v>11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50.5</v>
      </c>
      <c r="R111" s="104">
        <f>SUMPRODUCT(($F$42:$Q$86)*(($F$40:$Q$40=$E$14)+($F$40:$Q$40=$K$14)+($F$40:$Q$40=$I$14)+($F$40:$Q$40=$G$14))*($D$42:$D$86=Q$105))</f>
        <v>3.5</v>
      </c>
      <c r="S111" s="113">
        <f>IF(Q$106-Q111-R111&gt;0,Q$106-Q111-R111,0)</f>
        <v>14</v>
      </c>
      <c r="T111" s="106">
        <f>IF(($Q106&gt;0),(Q111+R111)/$Q106,0)</f>
        <v>0.79411764705882348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456</v>
      </c>
      <c r="Z113" s="104">
        <f>SUMPRODUCT(($F$42:$Q$86)*(($F$40:$Q$40=$E$14)+($F$40:$Q$40=$K$14)+($F$40:$Q$40=$I$14)+($F$40:$Q$40=$G$14))*($D$42:$D$86=Y$105))</f>
        <v>10.5</v>
      </c>
      <c r="AA113" s="113">
        <f>IF(Y$106-Y113-Z113&gt;0,Y$106-Y113-Z113,0)</f>
        <v>1106.5</v>
      </c>
      <c r="AB113" s="106">
        <f>IF(($Y106&gt;0),(Y113+Z113)/$Y106,0)</f>
        <v>0.29656706929434201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848.75</v>
      </c>
      <c r="AD114" s="104">
        <f>SUMPRODUCT(($F$42:$Q$86)*(($F$40:$Q$40=$E$14)+($F$40:$Q$40=$K$14)+($F$40:$Q$40=$I$14)+($F$40:$Q$40=$G$14))*($D$42:$D$86=AC$105))</f>
        <v>55.75</v>
      </c>
      <c r="AE114" s="113">
        <f>IF(AC$106-AC114-AD114&gt;0,AC$106-AC114-AD114,0)</f>
        <v>655.5</v>
      </c>
      <c r="AF114" s="106">
        <f>IF(($AC106&gt;0),(AC114+AD114)/$AC106,0)</f>
        <v>0.57980769230769236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1995.75</v>
      </c>
      <c r="AH115" s="104">
        <f>SUMPRODUCT(($F$42:$Q$86)*(($F$40:$Q$40=$E$14)+($F$40:$Q$40=$K$14)+($F$40:$Q$40=$I$14)+($F$40:$Q$40=$G$14))*($D$42:$D$86=AG$105))</f>
        <v>148.75</v>
      </c>
      <c r="AI115" s="113">
        <f>IF(AG$106-AG115-AH115&gt;0,AG$106-AG115-AH115,0)</f>
        <v>2330.5</v>
      </c>
      <c r="AJ115" s="106">
        <f>IF(($AG106&gt;0),(AG115+AH115)/$AG106,0)</f>
        <v>0.47921787709497204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2652.75</v>
      </c>
      <c r="AL116" s="104">
        <f>SUMPRODUCT(($F$42:$Q$86)*(($F$40:$Q$40=$E$14)+($F$40:$Q$40=$K$14)+($F$40:$Q$40=$I$14)+($F$40:$Q$40=$G$14))*($D$42:$D$86=AK$105))</f>
        <v>130.5</v>
      </c>
      <c r="AM116" s="113">
        <f>IF(AK$106-AK116-AL116&gt;0,AK$106-AK116-AL116,0)</f>
        <v>1365.75</v>
      </c>
      <c r="AN116" s="106">
        <f>IF(($AK106&gt;0),(AK116+AL116)/$AK106,0)</f>
        <v>0.67082429501084595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1717.25</v>
      </c>
      <c r="AP117" s="104">
        <f>SUMPRODUCT(($F$42:$Q$86)*(($F$40:$Q$40=$E$14)+($F$40:$Q$40=$K$14)+($F$40:$Q$40=$I$14)+($F$40:$Q$40=$G$14))*($D$42:$D$86=AO$105))</f>
        <v>131.75</v>
      </c>
      <c r="AQ117" s="113">
        <f>IF(AO$106-AO117-AP117&gt;0,AO$106-AO117-AP117,0)</f>
        <v>351</v>
      </c>
      <c r="AR117" s="106">
        <f>IF(($AO106&gt;0),(AO117+AP117)/$AO106,0)</f>
        <v>0.84045454545454545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2020-01-20T13:22:52Z</cp:lastPrinted>
  <dcterms:created xsi:type="dcterms:W3CDTF">2018-01-15T08:58:52Z</dcterms:created>
  <dcterms:modified xsi:type="dcterms:W3CDTF">2020-01-24T14:57:53Z</dcterms:modified>
</cp:coreProperties>
</file>