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KM_RDB_806_D0001_Arbeitsmappe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echnungen scan\2022\Dezember 22\"/>
    </mc:Choice>
  </mc:AlternateContent>
  <bookViews>
    <workbookView xWindow="-120" yWindow="-120" windowWidth="29040" windowHeight="15840" tabRatio="842" firstSheet="1" activeTab="3"/>
  </bookViews>
  <sheets>
    <sheet name="_com.sap.ip.bi.xl.hiddensheet" sheetId="3" state="veryHidden" r:id="rId1"/>
    <sheet name="Trenner" sheetId="9" r:id="rId2"/>
    <sheet name="Eingabeparameter" sheetId="20" state="veryHidden" r:id="rId3"/>
    <sheet name="Rechnungsdeckblatt" sheetId="7" r:id="rId4"/>
    <sheet name="Translation" sheetId="19" state="veryHidden" r:id="rId5"/>
    <sheet name="Hilfstabelle" sheetId="10" state="hidden" r:id="rId6"/>
    <sheet name="Daten" sheetId="14" state="veryHidden" r:id="rId7"/>
    <sheet name="Stammdaten" sheetId="16" state="hidden" r:id="rId8"/>
    <sheet name="Debug" sheetId="17" state="veryHidden" r:id="rId9"/>
  </sheets>
  <definedNames>
    <definedName name="Abrechnung">#REF!</definedName>
    <definedName name="Abrechnungsart">#REF!</definedName>
    <definedName name="Abrechnungsart_DL">#REF!</definedName>
    <definedName name="Adressen">#REF!</definedName>
    <definedName name="Bau">#REF!</definedName>
    <definedName name="Crystal_1_1_WEBI_DataGrid" hidden="1">#REF!</definedName>
    <definedName name="Crystal_1_1_WEBI_Table" hidden="1">#REF!</definedName>
    <definedName name="Crystal_2_1_WEBI_DataGrid" hidden="1">#REF!</definedName>
    <definedName name="Crystal_2_1_WEBI_HHeading" hidden="1">#REF!</definedName>
    <definedName name="Crystal_2_1_WEBI_Table" hidden="1">#REF!</definedName>
    <definedName name="Crystal_2_1_WEBI_VHeading" hidden="1">#REF!</definedName>
    <definedName name="Crystal_3_1_WEBI_DataGrid" hidden="1">#REF!</definedName>
    <definedName name="Crystal_3_1_WEBI_Table" hidden="1">#REF!</definedName>
    <definedName name="Crystal_4_1_WEBI_DataGrid" hidden="1">#REF!</definedName>
    <definedName name="Crystal_4_1_WEBI_HHeading" hidden="1">#REF!</definedName>
    <definedName name="Crystal_4_1_WEBI_Table" hidden="1">#REF!</definedName>
    <definedName name="Crystal_6_1_WEBI_DataGrid" hidden="1">#REF!</definedName>
    <definedName name="Crystal_6_1_WEBI_HHeading" hidden="1">#REF!</definedName>
    <definedName name="Crystal_6_1_WEBI_Table" hidden="1">#REF!</definedName>
    <definedName name="Crystal_7_1_WEBI_DataGrid" hidden="1">#REF!</definedName>
    <definedName name="Crystal_7_1_WEBI_Table" hidden="1">#REF!</definedName>
    <definedName name="Crystal_8_1_WEBI_DataGrid" hidden="1">#REF!</definedName>
    <definedName name="Crystal_8_1_WEBI_HHeading" hidden="1">#REF!</definedName>
    <definedName name="Crystal_8_1_WEBI_Table" hidden="1">#REF!</definedName>
    <definedName name="Crystal_9_1_WEBI_DataGrid" hidden="1">#REF!</definedName>
    <definedName name="Crystal_9_1_WEBI_HHeading" hidden="1">#REF!</definedName>
    <definedName name="Crystal_9_1_WEBI_Table" hidden="1">#REF!</definedName>
    <definedName name="DD_Anschrift">Hilfstabelle!#REF!</definedName>
    <definedName name="DD_Belegart">#REF!</definedName>
    <definedName name="DD_Rechnungsart">Hilfstabelle!$C$2:$C$5</definedName>
    <definedName name="DD_SCHLUSSRECHNUNG">Hilfstabelle!$F$2:$F$3</definedName>
    <definedName name="DD_WÄHRUNG">Hilfstabelle!$G$2:$G$5</definedName>
    <definedName name="DD_ZEB">#REF!</definedName>
    <definedName name="Dossier">#REF!</definedName>
    <definedName name="_xlnm.Print_Area" localSheetId="3">Rechnungsdeckblatt!$A$1:$S$60</definedName>
    <definedName name="ExterneDaten_1" localSheetId="6" hidden="1">Daten!$A$2:$T$5</definedName>
    <definedName name="ExterneDaten_1" localSheetId="7" hidden="1">Stammdaten!$A$1:$CB$2</definedName>
    <definedName name="ExterneDaten_1" localSheetId="4" hidden="1">Translation!$A$1:$B$1094</definedName>
    <definedName name="Fiko">#REF!</definedName>
    <definedName name="Filiale">Hilfstabelle!$E$19</definedName>
    <definedName name="Filialen">#REF!</definedName>
    <definedName name="Finanzierungskonto">#REF!</definedName>
    <definedName name="generated">Hilfstabelle!$M$2</definedName>
    <definedName name="Koa">#REF!</definedName>
    <definedName name="Kostenart">#REF!</definedName>
    <definedName name="MWST">Hilfstabelle!$P$2</definedName>
    <definedName name="namedRange">#REF!</definedName>
    <definedName name="Password" hidden="1">"BKM_PW"</definedName>
    <definedName name="Phase">#REF!</definedName>
    <definedName name="Projekt">Hilfstabelle!$E$20</definedName>
    <definedName name="Projektleiter">#REF!</definedName>
    <definedName name="Rabatt">Hilfstabelle!$O$4</definedName>
    <definedName name="RB_Prozent">Hilfstabelle!$O$3</definedName>
    <definedName name="Rechnungsart">Rechnungsdeckblatt!$T$6</definedName>
    <definedName name="Rechnungsart_DL">#REF!</definedName>
    <definedName name="Rng.art">#REF!</definedName>
    <definedName name="Rückbehalt">Hilfstabelle!$O$2</definedName>
    <definedName name="Ruckbehaltmax">#REF!</definedName>
    <definedName name="Ruckbehaltsschema">#REF!</definedName>
    <definedName name="SAPSAPSprache">#REF!</definedName>
    <definedName name="SAPSprache">#REF!</definedName>
    <definedName name="Schlussrechnung">Rechnungsdeckblatt!$T$8</definedName>
    <definedName name="Sprachtexte">#REF!</definedName>
    <definedName name="Teuerung">Hilfstabelle!$N$2:$N$4</definedName>
    <definedName name="Vertrag">#REF!</definedName>
    <definedName name="Zahlungsfr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7" l="1"/>
  <c r="D15" i="17"/>
  <c r="D14" i="17"/>
  <c r="B59" i="7"/>
  <c r="K58" i="7"/>
  <c r="K59" i="7" s="1"/>
  <c r="H58" i="7"/>
  <c r="H59" i="7" s="1"/>
  <c r="D13" i="17"/>
  <c r="D12" i="17"/>
  <c r="D11" i="17"/>
  <c r="D10" i="17"/>
  <c r="D9" i="17"/>
  <c r="D8" i="17"/>
  <c r="D7" i="17"/>
  <c r="D6" i="17"/>
  <c r="D5" i="17"/>
  <c r="D4" i="17"/>
  <c r="D3" i="17"/>
  <c r="D2" i="17"/>
  <c r="C26" i="7"/>
  <c r="F34" i="7"/>
  <c r="L7" i="10"/>
  <c r="L6" i="10"/>
  <c r="E9" i="10"/>
  <c r="D9" i="10"/>
  <c r="E8" i="10"/>
  <c r="D8" i="10"/>
  <c r="P54" i="7" l="1"/>
  <c r="O54" i="7"/>
  <c r="R54" i="7"/>
  <c r="Q54" i="7"/>
  <c r="N54" i="7"/>
  <c r="M54" i="7"/>
  <c r="C21" i="7" l="1"/>
  <c r="F17" i="7"/>
  <c r="F12" i="7"/>
  <c r="E4" i="10"/>
  <c r="E5" i="10"/>
  <c r="I19" i="7"/>
  <c r="C19" i="7"/>
  <c r="F19" i="7"/>
  <c r="P4" i="7"/>
  <c r="S54" i="7"/>
  <c r="I30" i="7"/>
  <c r="O2" i="7"/>
  <c r="O6" i="7"/>
  <c r="O8" i="7"/>
  <c r="O10" i="7"/>
  <c r="O12" i="7"/>
  <c r="P24" i="7"/>
  <c r="O26" i="7"/>
  <c r="O28" i="7"/>
  <c r="O30" i="7"/>
  <c r="O32" i="7"/>
  <c r="B41" i="7"/>
  <c r="P2" i="10"/>
  <c r="H43" i="7"/>
  <c r="C34" i="7"/>
  <c r="C43" i="7"/>
  <c r="L54" i="7"/>
  <c r="K54" i="7"/>
  <c r="H54" i="7"/>
  <c r="A53" i="7"/>
  <c r="A55" i="7"/>
  <c r="I4" i="7"/>
  <c r="T21" i="7"/>
  <c r="T26" i="7"/>
  <c r="J30" i="7"/>
  <c r="I32" i="7"/>
  <c r="I28" i="7"/>
  <c r="I26" i="7"/>
  <c r="T12" i="7"/>
  <c r="C12" i="7"/>
  <c r="C32" i="7"/>
  <c r="C30" i="7"/>
  <c r="C28" i="7"/>
  <c r="D7" i="10"/>
  <c r="D6" i="10"/>
  <c r="D5" i="10"/>
  <c r="D4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L3" i="10"/>
  <c r="L5" i="10"/>
  <c r="L4" i="10"/>
  <c r="A34" i="7"/>
  <c r="F10" i="7"/>
  <c r="F55" i="7"/>
  <c r="C3" i="10"/>
  <c r="L2" i="10"/>
  <c r="C2" i="10"/>
  <c r="A36" i="7"/>
  <c r="C39" i="7"/>
  <c r="C37" i="7"/>
  <c r="J54" i="7"/>
  <c r="I54" i="7"/>
  <c r="D55" i="7"/>
  <c r="B55" i="7"/>
  <c r="A3" i="10"/>
  <c r="A2" i="10"/>
  <c r="T8" i="7"/>
  <c r="A39" i="7"/>
  <c r="E7" i="10"/>
  <c r="E6" i="10"/>
  <c r="E2" i="10"/>
  <c r="E3" i="10"/>
  <c r="B2" i="10"/>
  <c r="B3" i="10"/>
  <c r="D3" i="10"/>
  <c r="D2" i="10"/>
  <c r="T6" i="7" s="1"/>
  <c r="O2" i="10" s="1"/>
  <c r="F2" i="10"/>
  <c r="F3" i="10"/>
  <c r="L46" i="7"/>
  <c r="G46" i="7"/>
  <c r="L45" i="7"/>
  <c r="G45" i="7"/>
  <c r="L44" i="7"/>
  <c r="G44" i="7"/>
  <c r="L49" i="7"/>
  <c r="G49" i="7"/>
  <c r="B49" i="7"/>
  <c r="B46" i="7"/>
  <c r="B45" i="7"/>
  <c r="B44" i="7"/>
  <c r="F32" i="7"/>
  <c r="F30" i="7"/>
  <c r="F28" i="7"/>
  <c r="F26" i="7"/>
  <c r="A32" i="7"/>
  <c r="A30" i="7"/>
  <c r="A28" i="7"/>
  <c r="A26" i="7"/>
  <c r="A24" i="7"/>
  <c r="A21" i="7"/>
  <c r="A19" i="7"/>
  <c r="A17" i="7"/>
  <c r="F8" i="7"/>
  <c r="F6" i="7"/>
  <c r="F4" i="7"/>
  <c r="A14" i="7"/>
  <c r="A12" i="7"/>
  <c r="A10" i="7"/>
  <c r="A8" i="7"/>
  <c r="A6" i="7"/>
  <c r="A4" i="7"/>
  <c r="A2" i="7"/>
  <c r="O57" i="7" l="1"/>
  <c r="O56" i="7"/>
  <c r="M57" i="7"/>
  <c r="J2" i="14"/>
  <c r="L2" i="14" s="1"/>
  <c r="U2" i="14" s="1"/>
  <c r="J3" i="14"/>
  <c r="L3" i="14" s="1"/>
  <c r="U3" i="14" s="1"/>
  <c r="J4" i="14"/>
  <c r="L4" i="14" s="1"/>
  <c r="U4" i="14" s="1"/>
  <c r="J5" i="14"/>
  <c r="L5" i="14" s="1"/>
  <c r="U5" i="14" s="1"/>
  <c r="J57" i="7"/>
  <c r="L57" i="7" s="1"/>
  <c r="I57" i="7"/>
  <c r="I56" i="7"/>
  <c r="J56" i="7" s="1"/>
  <c r="T14" i="7"/>
  <c r="N5" i="14" l="1"/>
  <c r="N4" i="14"/>
  <c r="N57" i="7"/>
  <c r="N2" i="14"/>
  <c r="M56" i="7"/>
  <c r="N58" i="7"/>
  <c r="N59" i="7" s="1"/>
  <c r="N56" i="7"/>
  <c r="P57" i="7"/>
  <c r="R57" i="7" s="1"/>
  <c r="S57" i="7" s="1"/>
  <c r="N3" i="14"/>
  <c r="P2" i="14"/>
  <c r="V2" i="14" s="1"/>
  <c r="P3" i="14"/>
  <c r="V3" i="14" s="1"/>
  <c r="P5" i="14"/>
  <c r="R5" i="14" s="1"/>
  <c r="S5" i="14" s="1"/>
  <c r="U57" i="7"/>
  <c r="P4" i="14"/>
  <c r="R4" i="14" s="1"/>
  <c r="S4" i="14" s="1"/>
  <c r="L56" i="7"/>
  <c r="J58" i="7"/>
  <c r="J59" i="7" s="1"/>
  <c r="R2" i="14" l="1"/>
  <c r="S2" i="14" s="1"/>
  <c r="V5" i="14"/>
  <c r="V4" i="14"/>
  <c r="R3" i="14"/>
  <c r="S3" i="14" s="1"/>
  <c r="V57" i="7"/>
  <c r="L58" i="7"/>
  <c r="L59" i="7" s="1"/>
  <c r="U56" i="7"/>
  <c r="P56" i="7"/>
  <c r="P58" i="7" l="1"/>
  <c r="P59" i="7" s="1"/>
  <c r="R56" i="7"/>
  <c r="U58" i="7"/>
  <c r="U59" i="7" s="1"/>
  <c r="V56" i="7"/>
  <c r="V58" i="7" s="1"/>
  <c r="V59" i="7" s="1"/>
  <c r="R58" i="7" l="1"/>
  <c r="R59" i="7" s="1"/>
  <c r="S56" i="7"/>
  <c r="S58" i="7" s="1"/>
  <c r="S59" i="7" s="1"/>
</calcChain>
</file>

<file path=xl/connections.xml><?xml version="1.0" encoding="utf-8"?>
<connections xmlns="http://schemas.openxmlformats.org/spreadsheetml/2006/main">
  <connection id="1" keepAlive="1" name="ModelConnection_ExterneDaten_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eDaten_1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eDaten_12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<sst xmlns="http://schemas.openxmlformats.org/spreadsheetml/2006/main" count="2660" uniqueCount="2375">
  <si>
    <t/>
  </si>
  <si>
    <t>%</t>
  </si>
  <si>
    <t>Schlussrechnung</t>
  </si>
  <si>
    <t>Rechnungsart</t>
  </si>
  <si>
    <t>Leistung</t>
  </si>
  <si>
    <t>CHF</t>
  </si>
  <si>
    <t>ZB04</t>
  </si>
  <si>
    <t>Zahlungsbedingungen</t>
  </si>
  <si>
    <t>ZB01</t>
  </si>
  <si>
    <t>ZB02</t>
  </si>
  <si>
    <t>ZB03</t>
  </si>
  <si>
    <t>ZB06</t>
  </si>
  <si>
    <t>ZB07</t>
  </si>
  <si>
    <t>ZB09</t>
  </si>
  <si>
    <t>ZB11</t>
  </si>
  <si>
    <t>Währung</t>
  </si>
  <si>
    <t>EUR</t>
  </si>
  <si>
    <t>USD</t>
  </si>
  <si>
    <t>GBP</t>
  </si>
  <si>
    <t>Dropdown Rechnungsarten Kaskadierend</t>
  </si>
  <si>
    <t>test</t>
  </si>
  <si>
    <t>ZB00</t>
  </si>
  <si>
    <t>ZB12</t>
  </si>
  <si>
    <t>ZB14</t>
  </si>
  <si>
    <t>ZB15</t>
  </si>
  <si>
    <t>ZB17</t>
  </si>
  <si>
    <t>ZB20</t>
  </si>
  <si>
    <t>ZB21</t>
  </si>
  <si>
    <t>ZB22</t>
  </si>
  <si>
    <t>ZB24</t>
  </si>
  <si>
    <t>ZB35</t>
  </si>
  <si>
    <t>ZC45</t>
  </si>
  <si>
    <t>Belegart</t>
  </si>
  <si>
    <t>EingabeBKM</t>
  </si>
  <si>
    <t>WGCUEBERS</t>
  </si>
  <si>
    <t>WGCUEBERS_T</t>
  </si>
  <si>
    <t>ZB05</t>
  </si>
  <si>
    <t>ZB08</t>
  </si>
  <si>
    <t>ZB13</t>
  </si>
  <si>
    <t>ZB16</t>
  </si>
  <si>
    <t>ZB18</t>
  </si>
  <si>
    <t>ZB19</t>
  </si>
  <si>
    <t>ZB23</t>
  </si>
  <si>
    <t>ZB25</t>
  </si>
  <si>
    <t>ZB26</t>
  </si>
  <si>
    <t>ZB27</t>
  </si>
  <si>
    <t>ZB28</t>
  </si>
  <si>
    <t>ZB29</t>
  </si>
  <si>
    <t>ZB30</t>
  </si>
  <si>
    <t>ZB31</t>
  </si>
  <si>
    <t>ZB34</t>
  </si>
  <si>
    <t>ZB36</t>
  </si>
  <si>
    <t>ZB37</t>
  </si>
  <si>
    <t>ZB38</t>
  </si>
  <si>
    <t>ZB39</t>
  </si>
  <si>
    <t>ZB40</t>
  </si>
  <si>
    <t>ZB41</t>
  </si>
  <si>
    <t>ZB42</t>
  </si>
  <si>
    <t>ZB43</t>
  </si>
  <si>
    <t>ZB44</t>
  </si>
  <si>
    <t>ZB45</t>
  </si>
  <si>
    <t>ZB46</t>
  </si>
  <si>
    <t>ZB47</t>
  </si>
  <si>
    <t>ZB48</t>
  </si>
  <si>
    <t>ZB49</t>
  </si>
  <si>
    <t>ZB50</t>
  </si>
  <si>
    <t>ZB51</t>
  </si>
  <si>
    <t>ZB52</t>
  </si>
  <si>
    <t>ZB53</t>
  </si>
  <si>
    <t>ZB54</t>
  </si>
  <si>
    <t>ZB56</t>
  </si>
  <si>
    <t>ZBKK</t>
  </si>
  <si>
    <t>ZBN1</t>
  </si>
  <si>
    <t>ZC02</t>
  </si>
  <si>
    <t>ZC03</t>
  </si>
  <si>
    <t>ZC04</t>
  </si>
  <si>
    <t>ZC05</t>
  </si>
  <si>
    <t>ZC06</t>
  </si>
  <si>
    <t>ZC08</t>
  </si>
  <si>
    <t>ZC09</t>
  </si>
  <si>
    <t>ZC11</t>
  </si>
  <si>
    <t>ZC12</t>
  </si>
  <si>
    <t>ZC13</t>
  </si>
  <si>
    <t>ZC15</t>
  </si>
  <si>
    <t>ZC16</t>
  </si>
  <si>
    <t>ZC17</t>
  </si>
  <si>
    <t>ZC18</t>
  </si>
  <si>
    <t>ZC19</t>
  </si>
  <si>
    <t>ZC21</t>
  </si>
  <si>
    <t>ZC22</t>
  </si>
  <si>
    <t>ZC23</t>
  </si>
  <si>
    <t>ZC24</t>
  </si>
  <si>
    <t>ZC25</t>
  </si>
  <si>
    <t>ZC26</t>
  </si>
  <si>
    <t>ZC27</t>
  </si>
  <si>
    <t>ZC28</t>
  </si>
  <si>
    <t>ZC29</t>
  </si>
  <si>
    <t>ZC35</t>
  </si>
  <si>
    <t>ZC50</t>
  </si>
  <si>
    <t>ZC55</t>
  </si>
  <si>
    <t>WG_1052_ST_TXT_0045_5</t>
  </si>
  <si>
    <t>WG_1052_ST_TXT_0045_6</t>
  </si>
  <si>
    <t>WG_1052_ST_TXT_0045_7</t>
  </si>
  <si>
    <t>WG_1052_ST_TXT_0045_8</t>
  </si>
  <si>
    <t>WG_1052_ST_TXT_0045_9</t>
  </si>
  <si>
    <t>WG_1052_ST_TXT_0045_10</t>
  </si>
  <si>
    <t>WG_1052_ST_TXT_0045_11</t>
  </si>
  <si>
    <t>WG_1052_ST_TXT_0045_12</t>
  </si>
  <si>
    <t>WG_1052_ST_TXT_0045_13</t>
  </si>
  <si>
    <t>WG_1052_ST_TXT_0045_14</t>
  </si>
  <si>
    <t>WG_1052_ST_TXT_0045_15</t>
  </si>
  <si>
    <t>WG_1052_ST_TXT_0045_16</t>
  </si>
  <si>
    <t>WG_1052_ST_TXT_0045_17</t>
  </si>
  <si>
    <t>WG_1052_ST_TXT_0045_18</t>
  </si>
  <si>
    <t>WG_1052_ST_TXT_0045_19</t>
  </si>
  <si>
    <t>WG_1052_ST_TXT_0045_20</t>
  </si>
  <si>
    <t>WG_1052_ST_TXT_0045_21</t>
  </si>
  <si>
    <t>WG_1052_ST_TXT_0045_22</t>
  </si>
  <si>
    <t>WG_1052_ST_TXT_0045_23</t>
  </si>
  <si>
    <t>WG_1052_ST_TXT_0045_24</t>
  </si>
  <si>
    <t>WG_1052_ST_TXT_0045_25</t>
  </si>
  <si>
    <t>WG_1052_ST_TXT_0045_26</t>
  </si>
  <si>
    <t>WG_1052_ST_TXT_0045_27</t>
  </si>
  <si>
    <t>WG_1052_ST_TXT_0045_28</t>
  </si>
  <si>
    <t>WG_1052_ST_TXT_0045_29</t>
  </si>
  <si>
    <t>WG_1052_ST_TXT_0045_30</t>
  </si>
  <si>
    <t>WG_1052_ST_TXT_0045_31</t>
  </si>
  <si>
    <t>WG_1052_ST_TXT_0045_32</t>
  </si>
  <si>
    <t>WG_1052_ST_TXT_0045_33</t>
  </si>
  <si>
    <t>WG_1052_ST_TXT_0045_34</t>
  </si>
  <si>
    <t>WG_1052_ST_TXT_0045_35</t>
  </si>
  <si>
    <t>WG_1052_ST_TXT_0045_36</t>
  </si>
  <si>
    <t>WG_1052_ST_TXT_0045_37</t>
  </si>
  <si>
    <t>WG_1052_ST_TXT_0045_38</t>
  </si>
  <si>
    <t>WG_1052_ST_TXT_0045_39</t>
  </si>
  <si>
    <t>WG_1052_ST_TXT_0045_40</t>
  </si>
  <si>
    <t>WG_1052_ST_TXT_0045_41</t>
  </si>
  <si>
    <t>WG_1052_ST_TXT_0045_42</t>
  </si>
  <si>
    <t>WG_1052_ST_TXT_0045_43</t>
  </si>
  <si>
    <t>WG_1052_ST_TXT_0045_44</t>
  </si>
  <si>
    <t>WG_1052_ST_TXT_0045_45</t>
  </si>
  <si>
    <t>WG_1052_ST_TXT_0045_46</t>
  </si>
  <si>
    <t>WG_1052_ST_TXT_0045_47</t>
  </si>
  <si>
    <t>WG_1052_ST_TXT_0045_48</t>
  </si>
  <si>
    <t>WG_1052_ST_TXT_0045_49</t>
  </si>
  <si>
    <t>WG_1052_ST_TXT_0045_50</t>
  </si>
  <si>
    <t>WG_1052_ST_TXT_0045_51</t>
  </si>
  <si>
    <t>WG_1052_ST_TXT_0045_52</t>
  </si>
  <si>
    <t>WG_1052_ST_TXT_0045_53</t>
  </si>
  <si>
    <t>WG_1052_ST_TXT_0045_54</t>
  </si>
  <si>
    <t>WG_1052_ST_TXT_0045_55</t>
  </si>
  <si>
    <t>WG_1052_ST_TXT_0045_56</t>
  </si>
  <si>
    <t>WG_1052_ST_TXT_0045_57</t>
  </si>
  <si>
    <t>WG_1052_ST_TXT_0045_58</t>
  </si>
  <si>
    <t>WG_1052_ST_TXT_0045_59</t>
  </si>
  <si>
    <t>WG_1052_ST_TXT_0045_60</t>
  </si>
  <si>
    <t>WG_1052_ST_TXT_0045_61</t>
  </si>
  <si>
    <t>WG_1052_ST_TXT_0045_62</t>
  </si>
  <si>
    <t>WG_1052_ST_TXT_0045_63</t>
  </si>
  <si>
    <t>WG_1052_ST_TXT_0045_64</t>
  </si>
  <si>
    <t>WG_1052_ST_TXT_0045_65</t>
  </si>
  <si>
    <t>WG_1052_ST_TXT_0045_66</t>
  </si>
  <si>
    <t>WG_1052_ST_TXT_0045_67</t>
  </si>
  <si>
    <t>WG_1052_ST_TXT_0045_68</t>
  </si>
  <si>
    <t>WG_1052_ST_TXT_0045_69</t>
  </si>
  <si>
    <t>WG_1052_ST_TXT_0045_70</t>
  </si>
  <si>
    <t>WG_1052_ST_TXT_0045_71</t>
  </si>
  <si>
    <t>WG_1052_ST_TXT_0045_72</t>
  </si>
  <si>
    <t>WG_1052_ST_TXT_0045_73</t>
  </si>
  <si>
    <t>WG_1052_ST_TXT_0045_74</t>
  </si>
  <si>
    <t>WG_1052_ST_TXT_0045_75</t>
  </si>
  <si>
    <t>WG_1052_ST_TXT_0045_76</t>
  </si>
  <si>
    <t>WG_1052_ST_TXT_0045_77</t>
  </si>
  <si>
    <t>WG_1052_ST_TXT_0045_78</t>
  </si>
  <si>
    <t>WG_1052_ST_TXT_0045_79</t>
  </si>
  <si>
    <t>WG_1052_ST_TXT_0045_80</t>
  </si>
  <si>
    <t>WG_1052_ST_TXT_0045_81</t>
  </si>
  <si>
    <t>WG_1052_ST_TXT_0045_82</t>
  </si>
  <si>
    <t>WG_1052_ST_TXT_0045_83</t>
  </si>
  <si>
    <t>WG_1052_ST_TXT_0045_1</t>
  </si>
  <si>
    <t>WG_1052_ST_TXT_0045_2</t>
  </si>
  <si>
    <t>WG_1052_ST_TXT_0045_3</t>
  </si>
  <si>
    <t>WG_1052_ST_TXT_0045_4</t>
  </si>
  <si>
    <t>Dropdown Rechnungsarten 1018</t>
  </si>
  <si>
    <t>Teuerung</t>
  </si>
  <si>
    <t>generiert</t>
  </si>
  <si>
    <t>Renchérissement</t>
  </si>
  <si>
    <t>Rincaro</t>
  </si>
  <si>
    <t>hat Rückbehalt</t>
  </si>
  <si>
    <t>akt. MWST</t>
  </si>
  <si>
    <t>WGCBKMPOS</t>
  </si>
  <si>
    <t>WGCWBSELM</t>
  </si>
  <si>
    <t>WGCBKMVRT</t>
  </si>
  <si>
    <t>WGCBKMVRT_T</t>
  </si>
  <si>
    <t>WGCBKMVRT_TVCBEGDA</t>
  </si>
  <si>
    <t>WGCBKMVRT_TVCENDDA</t>
  </si>
  <si>
    <t>WGCBKMVRT_TVCFIINFO</t>
  </si>
  <si>
    <t>WGCBKMVRT_TVCZTERM</t>
  </si>
  <si>
    <t>WGCBKMVRT_TVCZUSVE_T</t>
  </si>
  <si>
    <t>WGCBKMVRT_0VENDOR</t>
  </si>
  <si>
    <t>WGCBKMVRT_0VENDOR_T</t>
  </si>
  <si>
    <t>WGCBKMVRT_TVCRECSTL</t>
  </si>
  <si>
    <t>WGCBKMVRT_TVCRECSTL_T</t>
  </si>
  <si>
    <t>WGCBKMVRT_TVCSUBOB1</t>
  </si>
  <si>
    <t>WGCBKMVRT_TVCSUBOB1_T</t>
  </si>
  <si>
    <t>WGCBKMVRT_TVCBHU</t>
  </si>
  <si>
    <t>WGCBKMVRT_TVCBHU_T</t>
  </si>
  <si>
    <t>WGCBKMVRT_TVCOERTBL</t>
  </si>
  <si>
    <t>WGCBKMVRT_TVCOERTBL_T</t>
  </si>
  <si>
    <t>WGCBKMVRT_JECZAHLB</t>
  </si>
  <si>
    <t>WGCBKMVRT_JECZAHLB_T</t>
  </si>
  <si>
    <t>WGCBKMVRT_TVCCONIE</t>
  </si>
  <si>
    <t>WGCBKMVRT_TVCPROLEI</t>
  </si>
  <si>
    <t>WGCBKMVRT_TVCPROLEI_T</t>
  </si>
  <si>
    <t>WGCBKMVRT_TVCSTPRLE</t>
  </si>
  <si>
    <t>WGCBKMVRT_TVCSTPRLE_T</t>
  </si>
  <si>
    <t>WGCBKMVRT_TVCVEABS</t>
  </si>
  <si>
    <t>WGCBKMVRT_TVCVERAU</t>
  </si>
  <si>
    <t>WGCBKMVRT_TVCVESTA</t>
  </si>
  <si>
    <t>WGCBKMVRT_TVCVESTA_T</t>
  </si>
  <si>
    <t>WGCBKMVRT_TVCVESTJ</t>
  </si>
  <si>
    <t>WGCBKMVRT_TVCVESTJ_T</t>
  </si>
  <si>
    <t>WGCBKMVRT_TVCORGOB2</t>
  </si>
  <si>
    <t>WGCBKMVRT_TVCVEGR1</t>
  </si>
  <si>
    <t>WGCBKMVRT_TVCVEGR2</t>
  </si>
  <si>
    <t>WGCBKMVRT_TVCALTV</t>
  </si>
  <si>
    <t>WGCBKMVRT_WGCVMSWRT</t>
  </si>
  <si>
    <t>WGCBKMVRT_WGCVMSWRT_T</t>
  </si>
  <si>
    <t>WGCBKMVRT_WGCTEUBER_T</t>
  </si>
  <si>
    <t>WGCBKMVRT_WGKZPRZ1</t>
  </si>
  <si>
    <t>WGCBKMVRT_WGKZPRZ2</t>
  </si>
  <si>
    <t>WGCPROJCT</t>
  </si>
  <si>
    <t>WGCPROJCT_T</t>
  </si>
  <si>
    <t>WGCPROJCT_WGCPRLEIT_T</t>
  </si>
  <si>
    <t>WGCPROJCT__WGCPRLEIT</t>
  </si>
  <si>
    <t>WGCPROJCT__WGCPRLEIT_C1CVNAM</t>
  </si>
  <si>
    <t>WGCPROJCT__WGCPRLEIT_C1CNNAM</t>
  </si>
  <si>
    <t>WGCBKMVRT__TVCZUSVE</t>
  </si>
  <si>
    <t>WGCBKMVRT__TVCBHU</t>
  </si>
  <si>
    <t>WGCBKMVRT__TVCBHU_T</t>
  </si>
  <si>
    <t>WGCBKMVRT__TVCOERTBL</t>
  </si>
  <si>
    <t>WGCBKMVRT__TVCOERTBL_T</t>
  </si>
  <si>
    <t>WGCBKMVRT__TVCPROLEI</t>
  </si>
  <si>
    <t>WGCBKMVRT__TVCPROLEI_T</t>
  </si>
  <si>
    <t>WGCBKMVRT__TVCRECSTL</t>
  </si>
  <si>
    <t>WGCBKMVRT__TVCRECSTL_T</t>
  </si>
  <si>
    <t>WGCBKMVRT__TVCSTPRLE</t>
  </si>
  <si>
    <t>WGCBKMVRT__TVCSTPRLE_T</t>
  </si>
  <si>
    <t>WGCFILIAL_T</t>
  </si>
  <si>
    <t>TVCCONTID</t>
  </si>
  <si>
    <t>A0BPARTNER_T</t>
  </si>
  <si>
    <t>TVCANSPR</t>
  </si>
  <si>
    <t>EL3VSQZXYB50PMD1ROHOH0XMH</t>
  </si>
  <si>
    <t>EL3VSQZXYB50PMD1ROHOH0XMH_F</t>
  </si>
  <si>
    <t>EL3VSQZXYB50PMD1ROHOH0XMH_E</t>
  </si>
  <si>
    <t>EL3VSQZXYB50PMF3PE0TTASEM</t>
  </si>
  <si>
    <t>EL3VSQZXYB50PMF3PE0TTASEM_F</t>
  </si>
  <si>
    <t>EL3VSQZXYB50PMF3PE0TTASEM_E</t>
  </si>
  <si>
    <t>EL3VSQZXYB50PMD1ROHOH1MWP</t>
  </si>
  <si>
    <t>EL3VSQZXYB50PMD1ROHOH1MWP_F</t>
  </si>
  <si>
    <t>EL3VSQZXYB50PMD1ROHOH1MWP_E</t>
  </si>
  <si>
    <t>VV_EXKL</t>
  </si>
  <si>
    <t>EL3VSQZXYB50PMD1ROHOH1T89</t>
  </si>
  <si>
    <t>EL3VSQZXYB50PMD1ROHOH1T89_F</t>
  </si>
  <si>
    <t>EL3VSQZXYB50PMD1ROHOH1T89_E</t>
  </si>
  <si>
    <t>EL3VSQZXYB50PMD1ROHOH1ZJT</t>
  </si>
  <si>
    <t>EL3VSQZXYB50PMD1ROHOH1ZJT_F</t>
  </si>
  <si>
    <t>EL3VSQZXYB50PMD1ROHOH25VD</t>
  </si>
  <si>
    <t>EL3VSQZXYB50PMD1ROHOH25VD_F</t>
  </si>
  <si>
    <t>EL3VSQZXYB50PMD1ROHOH25VD_E</t>
  </si>
  <si>
    <t>RDB002</t>
  </si>
  <si>
    <t>start RDB</t>
  </si>
  <si>
    <t>start download variable file</t>
  </si>
  <si>
    <t>start special download folder case</t>
  </si>
  <si>
    <t>end usual case</t>
  </si>
  <si>
    <t>start getting current file</t>
  </si>
  <si>
    <t>end getting current file</t>
  </si>
  <si>
    <t>opening getting variable file</t>
  </si>
  <si>
    <t>end getting variable file</t>
  </si>
  <si>
    <t>start treating variable file</t>
  </si>
  <si>
    <t>end treating variable file</t>
  </si>
  <si>
    <t>end download variable file</t>
  </si>
  <si>
    <t>Daten</t>
  </si>
  <si>
    <t>DATAFEED;Data Source="https://p90scs.ccsap.admin.ch/sap/opu/odata/sap/WG_S_VWGBKM001_Q011_ODATA_SRV/WG_S_VWGBKM001_Q011_ODATA(WG_WGCFILIAL_MBMO_01='4300',WG_WGCPROJCT_MMMO_01='MP-090069',WG_WGCBKMVRT_MMSM_01='1355045080',WG_WGCDOSNR_MMSM_01='1')/Results?$select=WGCBKMPOS,WGCWBSELM,WGCWBSELM_T,WGCEXIONR, WGCEXIONR_T,WGCEXIONR_WGCINVOBJ,A0MATERIAL,A0MATERIAL_T,EL3VSQZXYB50PMD29M49SA8XX,EL3VSQZXYB50PMD29M49SAY85,EL3VSQZXYB50PMD29M49SBAV9,EL3VSQZXYB50PMD29M49SBNID&amp;sap-language=DE";Namespaces to Include=*;Max Received Message Size=439804511;Integrated Security=SSPI;Keep Alive=true;Persist Security Info=false;Base Url="https://p90scs.ccsap.admin.ch/sap/opu/odata/sap/WG_S_VWGBKM001_Q011_ODATA_SRV/WG_S_VWGBKM001_Q011_ODATA(WG_WGCFILIAL_MBMO_01='4300',WG_WGCPROJCT_MMMO_01='MP-090069',WG_WGCBKMVRT_MMSM_01='1355045080',WG_WGCDOSNR_MMSM_01='1')/Results?$select=WGCBKMPOS,WGCWBSELM,WGCWBSELM_T,WGCEXIONR, WGCEXIONR_T,WGCEXIONR_WGCINVOBJ,A0MATERIAL,A0MATERIAL_T,EL3VSQZXYB50PMD29M49SA8XX,EL3VSQZXYB50PMD29M49SAY85,EL3VSQZXYB50PMD29M49SBAV9,EL3VSQZXYB50PMD29M49SBNID&amp;sap-language=DE"</t>
  </si>
  <si>
    <t>10</t>
  </si>
  <si>
    <t>MP-090069-1-P-X</t>
  </si>
  <si>
    <t>FK Ausbau/Unterhalt</t>
  </si>
  <si>
    <t>19.03.48.311.01</t>
  </si>
  <si>
    <t>TRA N03.48 VZ Augst - AS Frick</t>
  </si>
  <si>
    <t>135000013650</t>
  </si>
  <si>
    <t>13510003100</t>
  </si>
  <si>
    <t>Projektierung und Bauleitung</t>
  </si>
  <si>
    <t>0</t>
  </si>
  <si>
    <t>7.7</t>
  </si>
  <si>
    <t>13510003950</t>
  </si>
  <si>
    <t>Teuerung aktivierbar</t>
  </si>
  <si>
    <t>Ergebnis</t>
  </si>
  <si>
    <t>7.700</t>
  </si>
  <si>
    <t>start formatting</t>
  </si>
  <si>
    <t>Stammdaten</t>
  </si>
  <si>
    <t>DATAFEED;Data Source="https://p90scs.ccsap.admin.ch/sap/opu/odata/sap/WG_S_VWGBKM001_Q004_ODATA_SRV/WG_S_VWGBKM001_Q004_ODATA(WG_WGCBKMVRT_MMSO_01='1355045080',WG_WGCFILIAL_MBMO_01='4300',WG_WGCPROJCT_MMMO_01='MP-090069',WG_WGCDOSNR_MMSO_01='1')/Results?$select=WGCBKMVRT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VV_EXKL&amp;sap-language=DE";Namespaces to Include=*;Max Received Message Size=439804511;Integrated Security=SSPI;Keep Alive=true;Persist Security Info=false;Base Url="https://p90scs.ccsap.admin.ch/sap/opu/odata/sap/WG_S_VWGBKM001_Q004_ODATA_SRV/WG_S_VWGBKM001_Q004_ODATA(WG_WGCBKMVRT_MMSO_01='1355045080',WG_WGCFILIAL_MBMO_01='4300',WG_WGCPROJCT_MMMO_01='MP-090069',WG_WGCDOSNR_MMSO_01='1')/Results?$select=WGCBKMVRT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</t>
  </si>
  <si>
    <t>1355045080</t>
  </si>
  <si>
    <t>PV Bau/BSA</t>
  </si>
  <si>
    <t>01.07.2018</t>
  </si>
  <si>
    <t>31.12.2022</t>
  </si>
  <si>
    <t>1357043803</t>
  </si>
  <si>
    <t>Schulz Nicole</t>
  </si>
  <si>
    <t>1358012497</t>
  </si>
  <si>
    <t>INGE EP RF BB</t>
  </si>
  <si>
    <t>1022</t>
  </si>
  <si>
    <t>Aufträge / Dienstleistungen</t>
  </si>
  <si>
    <t>innerhalb 45 Tage netto</t>
  </si>
  <si>
    <t>39044</t>
  </si>
  <si>
    <t>4</t>
  </si>
  <si>
    <t>Freigegeben</t>
  </si>
  <si>
    <t>5</t>
  </si>
  <si>
    <t>in Kraft</t>
  </si>
  <si>
    <t>11351020</t>
  </si>
  <si>
    <t>3</t>
  </si>
  <si>
    <t>CHF 300'001 bis 2'000'000</t>
  </si>
  <si>
    <t>Nicht zugeordnet</t>
  </si>
  <si>
    <t>0.00000</t>
  </si>
  <si>
    <t>MP-090069</t>
  </si>
  <si>
    <t>N3 EP Rheinfelden - Frick und Einzelmass</t>
  </si>
  <si>
    <t>Sni</t>
  </si>
  <si>
    <t>U80793130</t>
  </si>
  <si>
    <t>Nicole</t>
  </si>
  <si>
    <t>Schulz</t>
  </si>
  <si>
    <t>80793130</t>
  </si>
  <si>
    <t>Zofingen</t>
  </si>
  <si>
    <t>7.70</t>
  </si>
  <si>
    <t>7.70 %</t>
  </si>
  <si>
    <t>4225129.28</t>
  </si>
  <si>
    <t>4,225,129.28 CHF</t>
  </si>
  <si>
    <t>3923054.11</t>
  </si>
  <si>
    <t>0.00 %</t>
  </si>
  <si>
    <t>0.000</t>
  </si>
  <si>
    <t>Translation</t>
  </si>
  <si>
    <t>DATAFEED;Data Source="https://p90scs.ccsap.admin.ch/sap/opu/odata/sap/WG_S_VWGBKM901_Q004_SRV/WG_S_VWGBKM901_Q004Results?$select=WGCUEBERS,WGCUEBERS_T&amp;sap-language=DE";Namespaces to Include=*;Max Received Message Size=439804511;Integrated Security=SSPI;Keep Alive=true;Persist Security Info=false;Base Url="https://p90scs.ccsap.admin.ch/sap/opu/odata/sap/WG_S_VWGBKM901_Q004_SRV/WG_S_VWGBKM901_Q004Results?$select=WGCUEBERS,WGCUEBERS_T&amp;sap-language=DE"</t>
  </si>
  <si>
    <t>00O2TOOR875K0PTUY71N2EA9E_ABK_0001</t>
  </si>
  <si>
    <t>Meilenstein geplant</t>
  </si>
  <si>
    <t>00O2TOOR875K40JDVJ14NYKP9_ABK_0001</t>
  </si>
  <si>
    <t>EKP</t>
  </si>
  <si>
    <t>00O2TOOR875LU6M073KD4EAJ7_ABK_0001</t>
  </si>
  <si>
    <t>KV genehmigt</t>
  </si>
  <si>
    <t>00O2TOOR875LU772YYIDCRZ71_ABK_0001</t>
  </si>
  <si>
    <t>KV MWST aktuell</t>
  </si>
  <si>
    <t>00QO2TOOR875K'PTUY71N2EGKY_ABK_0001</t>
  </si>
  <si>
    <t>Meilenstein aktuell</t>
  </si>
  <si>
    <t>0AEDAT_GL_TXT_001</t>
  </si>
  <si>
    <t>Geändert am</t>
  </si>
  <si>
    <t>0BUS_AREA_TXT_0001</t>
  </si>
  <si>
    <t>Geschäfts-bereich</t>
  </si>
  <si>
    <t>0CHANGED_BY_KEY_0001</t>
  </si>
  <si>
    <t>Geändert von</t>
  </si>
  <si>
    <t>0CPR-DATBEG_GL_TXT_001</t>
  </si>
  <si>
    <t>Projekt-Starttermin</t>
  </si>
  <si>
    <t>0CPR-DATEND_GL_TXT_001</t>
  </si>
  <si>
    <t>Projekt-Endtermin</t>
  </si>
  <si>
    <t>0CREATEDON_GL_TXT_001</t>
  </si>
  <si>
    <t>Angelegt am</t>
  </si>
  <si>
    <t>0CREATED_BY_GL_TXT_001</t>
  </si>
  <si>
    <t>Angelegt von</t>
  </si>
  <si>
    <t>0MATERIAL_GL_TXT_001</t>
  </si>
  <si>
    <t>Baukostenbezeichnung</t>
  </si>
  <si>
    <t>0MATERIAL_KEY_0001</t>
  </si>
  <si>
    <t>Baukostenart</t>
  </si>
  <si>
    <t>0MILESTONE_GL_TXT_001</t>
  </si>
  <si>
    <t>Progn. Fixtermin (605 Inbetriebnahme)</t>
  </si>
  <si>
    <t>0MILESTONE_GL_TXT_002</t>
  </si>
  <si>
    <t>Progn. Fixtermin (701 Provisorischer Projektabschluss)</t>
  </si>
  <si>
    <t>0MILESTONE_GL_TXT_003</t>
  </si>
  <si>
    <t>Progn. Fixtermin (702 Def. Projektabschluss)</t>
  </si>
  <si>
    <t>0MILESTONE_GL_TXT_004</t>
  </si>
  <si>
    <t>Meilenstein</t>
  </si>
  <si>
    <t>0MILESTONE_GL_TXT_005</t>
  </si>
  <si>
    <t>Ist-Termin Meilenstein</t>
  </si>
  <si>
    <t>0MILESTONE_GL_TXT_006</t>
  </si>
  <si>
    <t>niedrigster offener Meilenstein</t>
  </si>
  <si>
    <t>0MILESTONE_GL_TXT_007</t>
  </si>
  <si>
    <t>100 PROJEKTIDEE</t>
  </si>
  <si>
    <t>0MILESTONE_GL_TXT_008</t>
  </si>
  <si>
    <t>224 GP/EK GENEHMIGT</t>
  </si>
  <si>
    <t>0MILESTONE_GL_TXT_009</t>
  </si>
  <si>
    <t>324 AP/MK IN RECHTSKRAFT</t>
  </si>
  <si>
    <t>0MILESTONE_GL_TXT_010</t>
  </si>
  <si>
    <t>425 ALLE DP/MP GENEHMIGT</t>
  </si>
  <si>
    <t>0MILESTONE_GL_TXT_011</t>
  </si>
  <si>
    <t>601 Beginn Realisierung</t>
  </si>
  <si>
    <t>0MILESTONE_GL_TXT_012</t>
  </si>
  <si>
    <t>605 Inbetriebnahme</t>
  </si>
  <si>
    <t>0MILESTONE_GL_TXT_013</t>
  </si>
  <si>
    <t>701 Prov. Projektabschluss</t>
  </si>
  <si>
    <t>0MLST_USE_KEY_0001</t>
  </si>
  <si>
    <t>Meilenstein Code</t>
  </si>
  <si>
    <t>0PRIORITY_ABK_001</t>
  </si>
  <si>
    <t>Prio.</t>
  </si>
  <si>
    <t>0PRIORITY_GL_TXT_001</t>
  </si>
  <si>
    <t>Projektpriorität</t>
  </si>
  <si>
    <t>0PS_LEVEL_GL_TXT_001</t>
  </si>
  <si>
    <t>???</t>
  </si>
  <si>
    <t>0STATUSSYS0_GL_TXT_001</t>
  </si>
  <si>
    <t>Projektstatus</t>
  </si>
  <si>
    <t>0STATUSSYS0_KEY_0001</t>
  </si>
  <si>
    <t>Systemstatus</t>
  </si>
  <si>
    <t>0STATUSSYS0_TXT_0001</t>
  </si>
  <si>
    <t>0VENDOR.10COUNTRY_TXT_0001</t>
  </si>
  <si>
    <t>Land</t>
  </si>
  <si>
    <t>0VENDOR.10REGION_TXT_0001</t>
  </si>
  <si>
    <t>Kanton</t>
  </si>
  <si>
    <t>AWGVBKMVRT_GL_KEY_0001</t>
  </si>
  <si>
    <t>Alte Vertragsnummer</t>
  </si>
  <si>
    <t>CPR-DATBEG_KEY_0001</t>
  </si>
  <si>
    <t>Beginn</t>
  </si>
  <si>
    <t>CPR-DATEND_KEY_0001</t>
  </si>
  <si>
    <t>Ende</t>
  </si>
  <si>
    <t>CREATEDON_KEY_0001</t>
  </si>
  <si>
    <t>GLO_FT_ JE_C1CSYSUSR_MMSO_01_001</t>
  </si>
  <si>
    <t>Verantwortlicher</t>
  </si>
  <si>
    <t>GLO_FT_ TV_TVCDATOFF_MMIO_01_001</t>
  </si>
  <si>
    <t>Datum Offerte</t>
  </si>
  <si>
    <t>GLO_FT_ TV_TVCDATPU_MMIO_01_001</t>
  </si>
  <si>
    <t>Datum Publikation</t>
  </si>
  <si>
    <t>GLO_FT_ TV_TVCENDDA_MMIO_01_001</t>
  </si>
  <si>
    <t>Vertragsende</t>
  </si>
  <si>
    <t>GLO_FT_ TV_TVCJURAN_MMMO_01_001</t>
  </si>
  <si>
    <t>Jur. Anwendungsbereich</t>
  </si>
  <si>
    <t>GLO_FT_ TV_TVCSUBOB2_MMMO_01_001</t>
  </si>
  <si>
    <t>Vertragstyp</t>
  </si>
  <si>
    <t>GLO_FT_ TV_TVCVEABS_MMIO_01_001</t>
  </si>
  <si>
    <t>Datum Vertragsabschluss</t>
  </si>
  <si>
    <t>GLO_FT_ WG_ WGCUAUZT_MMIM_02_001</t>
  </si>
  <si>
    <t>Auswertungszeitraum Vergleichsperiode</t>
  </si>
  <si>
    <t>GLO_FT_ WG_0FISCPER_MCSD_04_001</t>
  </si>
  <si>
    <t>Indexvergleichsperiode</t>
  </si>
  <si>
    <t>GLO_FT_ WG_0LANGU_MMSP_001_001</t>
  </si>
  <si>
    <t>Sprache</t>
  </si>
  <si>
    <t>GLO_FT_ WG_0MILESTONE_MMOO_001_001</t>
  </si>
  <si>
    <t>Meilenstein Reiter 1</t>
  </si>
  <si>
    <t>GLO_FT_ WG_0MLST_USE_MMMO_04_001</t>
  </si>
  <si>
    <t>Meilenstein Reiter 2</t>
  </si>
  <si>
    <t>GLO_FT_ WG_0MLST_USE_MMOO_02_001</t>
  </si>
  <si>
    <t>GLO_FT_ WG_0MLST_USE_MMSM_03_001</t>
  </si>
  <si>
    <t>GLO_FT_ WG_0PRIORITY_MMOO_01_001</t>
  </si>
  <si>
    <t>Priorität</t>
  </si>
  <si>
    <t>GLO_FT_ WG_0STATUSSYS0_MMOO_001_001</t>
  </si>
  <si>
    <t>GLO_FT_ WG_0STATUSSYS0_MMOO_02_001</t>
  </si>
  <si>
    <t>Projekte Aktiv/Inaktiv</t>
  </si>
  <si>
    <t>GLO_FT_ WG_C1CSYSUSR_MMMO_03_001</t>
  </si>
  <si>
    <t>Breichsleiter</t>
  </si>
  <si>
    <t>GLO_FT_ WG_TVBEGDA_MMIO_01_001</t>
  </si>
  <si>
    <t>Auswertungszeitraum</t>
  </si>
  <si>
    <t>GLO_FT_ WG_TVCBEGDA_MMIO_01_001</t>
  </si>
  <si>
    <t>Auswertungszeitraum Verträge</t>
  </si>
  <si>
    <t>GLO_FT_ WG_WGCANWST_MMOO_001_001</t>
  </si>
  <si>
    <t>Anwenderstatus</t>
  </si>
  <si>
    <t>GLO_FT_ WG_WGCBEREIC_MMOO_001_001</t>
  </si>
  <si>
    <t>Bereich</t>
  </si>
  <si>
    <t>GLO_FT_ WG_WGCBRLEIT_MMOO_01_001</t>
  </si>
  <si>
    <t>Bereichsleiter</t>
  </si>
  <si>
    <t>GLO_FT_ WG_WGCBUZYKL_MCSM_02_001</t>
  </si>
  <si>
    <t>Budgetzyklus</t>
  </si>
  <si>
    <t>GLO_FT_ WG_WGCDOSNR_MMSM_03_001</t>
  </si>
  <si>
    <t>Dossier</t>
  </si>
  <si>
    <t>GLO_FT_ WG_WGCFILIAL_MBMO_01_001</t>
  </si>
  <si>
    <t>Filiale</t>
  </si>
  <si>
    <t>GLO_FT_ WG_WGCFILICP_MMOO_08_001</t>
  </si>
  <si>
    <t>ICP Filiale</t>
  </si>
  <si>
    <t>GLO_FT_ WG_WGCFILICP_MMSO_07_001</t>
  </si>
  <si>
    <t>GLO_FT_ WG_WGCFILICR_MMOO_06_001</t>
  </si>
  <si>
    <t>ICR Filiale</t>
  </si>
  <si>
    <t>GLO_FT_ WG_WGCFINKTO_MMMO_03_001</t>
  </si>
  <si>
    <t>Finanzierungskonto</t>
  </si>
  <si>
    <t>GLO_FT_ WG_WGCFINKTO_MMMO_04_001</t>
  </si>
  <si>
    <t>GLO_FT_ WG_WGCFINKTO_MMMP_02_001</t>
  </si>
  <si>
    <t>GLO_FT_ WG_WGCFRSTUS_MMMO_01_001</t>
  </si>
  <si>
    <t>Freigabe Status</t>
  </si>
  <si>
    <t>GLO_FT_ WG_WGCFRSTUS_MMSO_01_001</t>
  </si>
  <si>
    <t>GLO_FT_ WG_WGCGESTUS_MMMO_01_001</t>
  </si>
  <si>
    <t>Genehmigung Status</t>
  </si>
  <si>
    <t>GLO_FT_ WG_WGCGESTUS_MMSO_01_001</t>
  </si>
  <si>
    <t>Genehmigungs Status</t>
  </si>
  <si>
    <t>GLO_FT_ WG_WGCINVOBJ_MMOO_01_001</t>
  </si>
  <si>
    <t>IO-Nummer</t>
  </si>
  <si>
    <t>GLO_FT_ WG_WGCIPABSN_MMOO_001_001</t>
  </si>
  <si>
    <t>IP-Abschnitt</t>
  </si>
  <si>
    <t>GLO_FT_ WG_WGCKANTON_MMOO_001_001</t>
  </si>
  <si>
    <t>GLO_FT_ WG_WGCMLSTUS_MMIP_04_001</t>
  </si>
  <si>
    <t>Phase</t>
  </si>
  <si>
    <t>GLO_FT_ WG_WGCMLSTUS_MMSM_01_001</t>
  </si>
  <si>
    <t>Meilenstein auswählen</t>
  </si>
  <si>
    <t>GLO_FT_ WG_WGCNSABSN_MMMO_001_001</t>
  </si>
  <si>
    <t>Abschnitt</t>
  </si>
  <si>
    <t>GLO_FT_ WG_WGCPHASE_MMOO_01_001</t>
  </si>
  <si>
    <t>aktuelle Phase</t>
  </si>
  <si>
    <t>GLO_FT_ WG_WGCPRGRUP_MMOO_001_001</t>
  </si>
  <si>
    <t>Projektgruppe</t>
  </si>
  <si>
    <t>GLO_FT_ WG_WGCPRLEIT_MMOO_02_001</t>
  </si>
  <si>
    <t>Projektleiter</t>
  </si>
  <si>
    <t>GLO_FT_ WG_WGCPRLEIT_MMOO_05_001</t>
  </si>
  <si>
    <t>GLO_FT_ WG_WGCPROJCT_MMOM_03_001</t>
  </si>
  <si>
    <t>Projekte</t>
  </si>
  <si>
    <t>GLO_FT_ WG_WGCPROJCT_MMOO_02_001</t>
  </si>
  <si>
    <t>Projekt</t>
  </si>
  <si>
    <t>GLO_FT_ WG_WGCPROJCT_MMOO_03_001</t>
  </si>
  <si>
    <t>GLO_FT_ WG_WGCPROJCT_MMSM_01_001</t>
  </si>
  <si>
    <t>GLO_FT_ WG_WGCREEINH_MMOO_02_001</t>
  </si>
  <si>
    <t>Realisierungseinheit</t>
  </si>
  <si>
    <t>GLO_FT_ WG_WGCREEINH_MMSD_01_001</t>
  </si>
  <si>
    <t>GLO_FT_ WG_WGCSTRANR_MMOO_001_001</t>
  </si>
  <si>
    <t>Nationalstrasse</t>
  </si>
  <si>
    <t>GLO_FT_ WG_WGCUAUZT_MMIM_01_001</t>
  </si>
  <si>
    <t>GLO_FT_ WG_WGCUDAGE_MMIM_01_001</t>
  </si>
  <si>
    <t>GLO_FT_ WG_WGCUDAGE_MMIM_02_001</t>
  </si>
  <si>
    <t>GLO_FT_ WG_WGCURDLF_MMIO_01_001</t>
  </si>
  <si>
    <t>GLO_FT_ WG_WGCVERSNO_MMSM_01_001</t>
  </si>
  <si>
    <t>IP Version (Planung)</t>
  </si>
  <si>
    <t>GLO_FT_ WG_WGCZLAYER_MMOO_01_001</t>
  </si>
  <si>
    <t>Projektschicht</t>
  </si>
  <si>
    <t>GLO_FT_C1_0FISCYEAR_MCSN_01_001</t>
  </si>
  <si>
    <t>Geschäftsjahr (aktuell)</t>
  </si>
  <si>
    <t>GLO_FT_IG_0CALYEAR_MMIO_01_001</t>
  </si>
  <si>
    <t>Kalenderjahr (Intervall)</t>
  </si>
  <si>
    <t>GLO_FT_JE_0FISCYEAR_MCSD_01_001</t>
  </si>
  <si>
    <t>Geschäftsjahr (Einzelwert)</t>
  </si>
  <si>
    <t>GLO_FT_JE_C1CSYSUSR_MMSO_01_001</t>
  </si>
  <si>
    <t>GLO_FT_TN_0MATERIAL_MMOO_01_001</t>
  </si>
  <si>
    <t>Material</t>
  </si>
  <si>
    <t>GLO_FT_TN_0VENDOR_MMOO_01_001</t>
  </si>
  <si>
    <t>Lieferant</t>
  </si>
  <si>
    <t>GLO_FT_TV_TVCBEGDA_MMIO_01_001</t>
  </si>
  <si>
    <t>Vertragsbeginn</t>
  </si>
  <si>
    <t>GLO_FT_TV_TVCBEGDA_MMIO_01_002</t>
  </si>
  <si>
    <t>Datum Zahlung</t>
  </si>
  <si>
    <t>GLO_FT_TV_TVCCONTID_MMOO_01_001</t>
  </si>
  <si>
    <t>Vertrags ID</t>
  </si>
  <si>
    <t>GLO_FT_TV_TVCDATPU_MMIO_01_001</t>
  </si>
  <si>
    <t>GLO_FT_TV_TVCDATZU_MMIO_01_001</t>
  </si>
  <si>
    <t>Datum Zuschlag (von/bis)</t>
  </si>
  <si>
    <t>GLO_FT_TV_TVCJURASP_MMOO_01_001</t>
  </si>
  <si>
    <t>Beschaffungsverfahren</t>
  </si>
  <si>
    <t>GLO_FT_TV_TVCSUBOB1_MMOO_01_001</t>
  </si>
  <si>
    <t>Vertragsgruppe</t>
  </si>
  <si>
    <t>GLO_FT_TV_TVCVESTA_MMOO_01_001</t>
  </si>
  <si>
    <t>Vorhabensstatus</t>
  </si>
  <si>
    <t>GLO_FT_TV_TVCVESTJ_MMOO_01_001</t>
  </si>
  <si>
    <t>Vorhabensstatus (jur.)</t>
  </si>
  <si>
    <t>GLO_FT_WGCVERSNO_MCSM_05</t>
  </si>
  <si>
    <t>Planversion IP</t>
  </si>
  <si>
    <t>GLO_FT_WG_0CALYEAR_MMOO_03_001</t>
  </si>
  <si>
    <t>Kalenderjahr</t>
  </si>
  <si>
    <t>GLO_FT_WG_0CPR_DATBEG_MMOO_04_001</t>
  </si>
  <si>
    <t>Projektbeginn</t>
  </si>
  <si>
    <t>GLO_FT_WG_0CPR_DATEND_MMOO_03_001</t>
  </si>
  <si>
    <t>Projektende</t>
  </si>
  <si>
    <t>GLO_FT_WG_0FISCYEAR_MCSN_01</t>
  </si>
  <si>
    <t>ASTRA Geschäftsjahr</t>
  </si>
  <si>
    <t>GLO_FT_WG_0MLST_USE_MMOO_00_001</t>
  </si>
  <si>
    <t>niedrigster offener Meilenstein Projekt</t>
  </si>
  <si>
    <t>GLO_FT_WG_0MST_USE_MMMN_01_001</t>
  </si>
  <si>
    <t>Meilenstein (mit Vorschlag)</t>
  </si>
  <si>
    <t>GLO_FT_WG_C1CSYSUSR_MMOO_01_001</t>
  </si>
  <si>
    <t>GLO_FT_WG_C1CSYSUSR_MMOO_02_001</t>
  </si>
  <si>
    <t>Verantwortlicher P-Nummer</t>
  </si>
  <si>
    <t>GLO_FT_WG_TNCBEWTP_MMOO_01_001</t>
  </si>
  <si>
    <t>GLO_FT_WG_TVCBEGDA_MMIO_01_001</t>
  </si>
  <si>
    <t>Auswertungszeitraum Vertrag</t>
  </si>
  <si>
    <t>GLO_FT_WG_TVCBEGDA_MMIO_02_001</t>
  </si>
  <si>
    <t>Auswertungszeitraum Vertrag Vergleichsperiode</t>
  </si>
  <si>
    <t>GLO_FT_WG_TVCSUBOB1_MMMO_01_001</t>
  </si>
  <si>
    <t>GLO_FT_WG_TVCVESTA_MMOO_01</t>
  </si>
  <si>
    <t>Applikationsstatus</t>
  </si>
  <si>
    <t>GLO_FT_WG_TVCVESTA_MMOO_01_001</t>
  </si>
  <si>
    <t>GLO_FT_WG_TVCVESTA_MMOO_02_001</t>
  </si>
  <si>
    <t>GLO_FT_WG_TVCVESTJ_MMOO_01</t>
  </si>
  <si>
    <t>Vertragsstatus</t>
  </si>
  <si>
    <t>GLO_FT_WG_TVCVESTJ_MMOO_01_001</t>
  </si>
  <si>
    <t>GLO_FT_WG_TVCVESTJ_MMOO_02_001</t>
  </si>
  <si>
    <t>GLO_FT_WG_WGBUZYKL_MMMO_01_001</t>
  </si>
  <si>
    <t>Budgetzyklen auswählen</t>
  </si>
  <si>
    <t>GLO_FT_WG_WGCAPHASE_MMOO_01_001</t>
  </si>
  <si>
    <t>aktuelle Phase Projekt</t>
  </si>
  <si>
    <t>GLO_FT_WG_WGCDOSNR_MMSM_02_001</t>
  </si>
  <si>
    <t>GLO_FT_WG_WGCDOSNR_MMSM_04_001</t>
  </si>
  <si>
    <t>GLO_FT_WG_WGCFRSTUS_MMMP_02_001</t>
  </si>
  <si>
    <t>GLO_FT_WG_WGCGEBIET_MMOO_01_001</t>
  </si>
  <si>
    <t>Gebiet</t>
  </si>
  <si>
    <t>GLO_FT_WG_WGCGESTUS_MMMP_02_001</t>
  </si>
  <si>
    <t>GLO_FT_WG_WGCGVFLG_MMOO_01_001</t>
  </si>
  <si>
    <t>Ansicht Verträge/Nachträge</t>
  </si>
  <si>
    <t>GLO_FT_WG_WGCHPTKOA_MMOO_03_001</t>
  </si>
  <si>
    <t>Haupkostenart</t>
  </si>
  <si>
    <t>GLO_FT_WG_WGCINBJHR_MCIO_01_001</t>
  </si>
  <si>
    <t>Jahr Inbetriebnahme geplant Intervall</t>
  </si>
  <si>
    <t>GLO_FT_WG_WGCINBJHR_MCIO_02_001</t>
  </si>
  <si>
    <t>GLO_FT_WG_WGCINBJHR_MMIO_01</t>
  </si>
  <si>
    <t>GLO_FT_WG_WGCINBJHR_MMOO_04_001</t>
  </si>
  <si>
    <t>Jahr Inbetriebnahme geplant</t>
  </si>
  <si>
    <t>GLO_FT_WG_WGCIOOBJN_MMOO_01_001</t>
  </si>
  <si>
    <t>Bauwerksart</t>
  </si>
  <si>
    <t>GLO_FT_WG_WGCKBLNR_MMOO_01_001</t>
  </si>
  <si>
    <t>Sammelverträge</t>
  </si>
  <si>
    <t>GLO_FT_WG_WGCLAEMEP_MMOO_01_001</t>
  </si>
  <si>
    <t>Projekttyp (EP/EM)</t>
  </si>
  <si>
    <t>GLO_FT_WG_WGCMLSTUS_MMSM_02_001</t>
  </si>
  <si>
    <t>GLO_FT_WG_WGCMWSTA_MCSO_01_001</t>
  </si>
  <si>
    <t>Mehrwersteuer</t>
  </si>
  <si>
    <t>GLO_FT_WG_WGCMWSTA_MCSO_02_001</t>
  </si>
  <si>
    <t>Indexteuerung</t>
  </si>
  <si>
    <t>GLO_FT_WG_WGCNSABSN_MMMO_00_001</t>
  </si>
  <si>
    <t>GLO_FT_WG_WGCNSABSN_MMOO_02_001</t>
  </si>
  <si>
    <t>NS-Abschnitt</t>
  </si>
  <si>
    <t>GLO_FT_WG_WGCNTGRND_MMOO_01_001</t>
  </si>
  <si>
    <t>Nachtragsgrund</t>
  </si>
  <si>
    <t>GLO_FT_WG_WGCNTGRND_MMOO_02_001</t>
  </si>
  <si>
    <t>GLO_FT_WG_WGCNWSTPR_MMSM_04_001</t>
  </si>
  <si>
    <t>Steuersatz</t>
  </si>
  <si>
    <t>GLO_FT_WG_WGCPHASE_MMMM_03</t>
  </si>
  <si>
    <t>GLO_FT_WG_WGCPHASE_MMMM_03_001</t>
  </si>
  <si>
    <t>GLO_FT_WG_WGCPRJKAT_MMOO_01_001</t>
  </si>
  <si>
    <t>Projektkategorie</t>
  </si>
  <si>
    <t>GLO_FT_WG_WGCPROJCT_MMOM_03_001</t>
  </si>
  <si>
    <t>GLO_FT_WG_WGCPROJCT_MMSM_02_001</t>
  </si>
  <si>
    <t>GLO_FT_WG_WGCUBEKOM_MMOO_01_001</t>
  </si>
  <si>
    <t>Beschaffungskompetenz</t>
  </si>
  <si>
    <t>GLO_FT_WG_WGCUBGBV_MMOO_01_001</t>
  </si>
  <si>
    <t>Begründung Beschaffungsverfahren</t>
  </si>
  <si>
    <t>GLO_FT_WG_WGCUBKA1_MMOO_01_001</t>
  </si>
  <si>
    <t>Beschaffungskategorie Stufe 1</t>
  </si>
  <si>
    <t>GLO_FT_WG_WGCUBKAT2_MMOO_01_001</t>
  </si>
  <si>
    <t>Beschafffungskategorie Stufe 2</t>
  </si>
  <si>
    <t>GLO_FT_WG_WGCUBSAN_MMIO_01_001</t>
  </si>
  <si>
    <t>Datum Beschaffungsantrag</t>
  </si>
  <si>
    <t>GLO_FT_WG_WGCUBVABS_MMIO_01_001</t>
  </si>
  <si>
    <t>GLO_FT_WG_WGCUBVEN_MMOO_01_001</t>
  </si>
  <si>
    <t>GLO_FT_WG_WGCUDAGE_MMIO_01_001</t>
  </si>
  <si>
    <t>Datum Freigabe</t>
  </si>
  <si>
    <t>GLO_FT_WG_WGCUENFR_MMIO_01_001</t>
  </si>
  <si>
    <t>Datum Ende Einspruchsfrist</t>
  </si>
  <si>
    <t>GLO_FT_WG_WGCUFLBGT_MMSO_01_001</t>
  </si>
  <si>
    <t>Flag Bagatellklausel</t>
  </si>
  <si>
    <t>GLO_FT_WG_WGCUNPUB_MMIO_01_001</t>
  </si>
  <si>
    <t>Datum Nachpublikation</t>
  </si>
  <si>
    <t>GLO_FT_WG_WGCUPSSTT_MMOO_01</t>
  </si>
  <si>
    <t>Positionsstatus</t>
  </si>
  <si>
    <t>GLO_FT_WG_WGCUPSSTT_MMOO_01_001</t>
  </si>
  <si>
    <t>GLO_FT_WG_WGCUPSSTT_MMOO_02_001</t>
  </si>
  <si>
    <t>GLO_FT_WG_WGCUPUZG_MMIO_01_001</t>
  </si>
  <si>
    <t>Datum Publikation Zuschlag</t>
  </si>
  <si>
    <t>GLO_FT_WG_WGCURDLF_MMIO_02_001</t>
  </si>
  <si>
    <t>GLO_FT_WG_WGCURTAN_MMOO_01_001</t>
  </si>
  <si>
    <t>Rechtlicher Anwendungsbereich</t>
  </si>
  <si>
    <t>GLO_FT_WG_WGCVERSNO_MCSM_01_001</t>
  </si>
  <si>
    <t>Version</t>
  </si>
  <si>
    <t>GLO_FT_WG_WGCVERSNO_MCSM_05</t>
  </si>
  <si>
    <t>GLO_FT_WG_WGCVERSNO_MMOO_01_001</t>
  </si>
  <si>
    <t>IP Planungsversion</t>
  </si>
  <si>
    <t>GLO_FT_WG_WGCVERSNO_MMSM_02_001</t>
  </si>
  <si>
    <t>GLO_FT_WG_WGCVTKLAS_MMSO_01_001</t>
  </si>
  <si>
    <t>Vertragsklassifikation</t>
  </si>
  <si>
    <t>GLO_GT_TXT_0001</t>
  </si>
  <si>
    <t>Genehmigungsverfahren</t>
  </si>
  <si>
    <t>GLO_GT_TXT_0002</t>
  </si>
  <si>
    <t>Name/Vorname</t>
  </si>
  <si>
    <t>GLO_GT_TXT_0003</t>
  </si>
  <si>
    <t>Datum</t>
  </si>
  <si>
    <t>GLO_GT_TXT_0004</t>
  </si>
  <si>
    <t>Visum</t>
  </si>
  <si>
    <t>GLO_GT_TXT_0005</t>
  </si>
  <si>
    <t>Rollen/Kompetenzen</t>
  </si>
  <si>
    <t>GLO_GT_TXT_0006</t>
  </si>
  <si>
    <t>*davon Nachträge</t>
  </si>
  <si>
    <t>GLO_GT_TXT_0007</t>
  </si>
  <si>
    <t>**In state Vertragsabschlüsse, Landerwerb</t>
  </si>
  <si>
    <t>GLO_GT_TXT_0008</t>
  </si>
  <si>
    <t>TOTAL</t>
  </si>
  <si>
    <t>GLO_GT_TXT_0009</t>
  </si>
  <si>
    <t>Anzahl</t>
  </si>
  <si>
    <t>GLO_GT_TXT_0010</t>
  </si>
  <si>
    <t>Betrag</t>
  </si>
  <si>
    <t>GLO_GT_TXT_0012_ABK</t>
  </si>
  <si>
    <t>GLO_GT_TXT_0013_ABK</t>
  </si>
  <si>
    <t>in CHF</t>
  </si>
  <si>
    <t>GLO_GT_TXT_0014_ABK</t>
  </si>
  <si>
    <t>in Mio CHF</t>
  </si>
  <si>
    <t>GLO_GT_TXT_0018_ABK</t>
  </si>
  <si>
    <t>VAK 2020</t>
  </si>
  <si>
    <t>GLO_GT_TXT_0019</t>
  </si>
  <si>
    <t>Übersicht</t>
  </si>
  <si>
    <t>GLO_GT_TXT_0020</t>
  </si>
  <si>
    <t>KV-Analyse über die Phasen</t>
  </si>
  <si>
    <t>GLO_GT_TXT_0021</t>
  </si>
  <si>
    <t>Restbedarf</t>
  </si>
  <si>
    <t>GLO_GT_TXT_0024</t>
  </si>
  <si>
    <t>Summe:</t>
  </si>
  <si>
    <t>GLO_GT_TXT_0025</t>
  </si>
  <si>
    <t>Rechnungssumme gebucht</t>
  </si>
  <si>
    <t>GLO_GT_TXT_0026</t>
  </si>
  <si>
    <t>Verträge/Nachträge</t>
  </si>
  <si>
    <t>GLO_GT_TXT_0027</t>
  </si>
  <si>
    <t>Gesamttotal:</t>
  </si>
  <si>
    <t>GLO_GT_TXT_0028</t>
  </si>
  <si>
    <t>1 - Projektierung</t>
  </si>
  <si>
    <t>GLO_GT_TXT_0029</t>
  </si>
  <si>
    <t>2 - Landerwerb</t>
  </si>
  <si>
    <t>GLO_GT_TXT_0030</t>
  </si>
  <si>
    <t>3 - Realisierung</t>
  </si>
  <si>
    <t>GLO_GT_TXT_0031</t>
  </si>
  <si>
    <t>Bauleistungen</t>
  </si>
  <si>
    <t>GLO_GT_TXT_0032</t>
  </si>
  <si>
    <t>Dienstleistungen</t>
  </si>
  <si>
    <t>GLO_GT_TXT_0033</t>
  </si>
  <si>
    <t>Lieferung</t>
  </si>
  <si>
    <t>GLO_GT_TXT_0034</t>
  </si>
  <si>
    <t>Anzahl Verträge</t>
  </si>
  <si>
    <t>GLO_GT_TXT_0035</t>
  </si>
  <si>
    <t>Summe in Mio.</t>
  </si>
  <si>
    <t>GLO_GT_TXT_0036</t>
  </si>
  <si>
    <t>Anzahl Vertragspartner</t>
  </si>
  <si>
    <t>GLO_GT_TXT_0037</t>
  </si>
  <si>
    <t>Davon ARGE/INGE</t>
  </si>
  <si>
    <t>GLO_GT_TXT_0038</t>
  </si>
  <si>
    <t>Anteil ARGE/INGE in Mio.</t>
  </si>
  <si>
    <t>GLO_GT_TXT_0039</t>
  </si>
  <si>
    <t>alle Werte in CHF</t>
  </si>
  <si>
    <t>GLO_GT_TXT_0040</t>
  </si>
  <si>
    <t>Anwender Status</t>
  </si>
  <si>
    <t>GLO_GT_TXT_0042_ABK</t>
  </si>
  <si>
    <t>Gen. Datum</t>
  </si>
  <si>
    <t>GLO_GT_TXT_0043</t>
  </si>
  <si>
    <t>Änderungsdatum</t>
  </si>
  <si>
    <t>GLO_GT_TXT_0044</t>
  </si>
  <si>
    <t>GLO_GT_TXT_0045</t>
  </si>
  <si>
    <t>Genehmiger</t>
  </si>
  <si>
    <t>GLO_GT_TXT_0046</t>
  </si>
  <si>
    <t>Freigabe Datum</t>
  </si>
  <si>
    <t>GLO_GT_TXT_0047</t>
  </si>
  <si>
    <t>Freigegeben von</t>
  </si>
  <si>
    <t>GLO_GT_TXT_0048</t>
  </si>
  <si>
    <t>Erstellungsdatum</t>
  </si>
  <si>
    <t>GLO_GT_TXT_0049</t>
  </si>
  <si>
    <t>Erstellt von</t>
  </si>
  <si>
    <t>GLO_GT_TXT_0050</t>
  </si>
  <si>
    <t>MWST Ja/Nein</t>
  </si>
  <si>
    <t>GLO_GT_TXT_0051</t>
  </si>
  <si>
    <t>Indexteuerung Ja/Nein</t>
  </si>
  <si>
    <t>GLO_GT_TXT_0052</t>
  </si>
  <si>
    <t>KV ursprünglich + KV Mutation inkl. MWST</t>
  </si>
  <si>
    <t>GLO_GT_TXT_0052_ABK</t>
  </si>
  <si>
    <t>FK A</t>
  </si>
  <si>
    <t>GLO_GT_TXT_0053_ABK</t>
  </si>
  <si>
    <t>FK U</t>
  </si>
  <si>
    <t>GLO_GT_TXT_0054_ABK</t>
  </si>
  <si>
    <t>FK E</t>
  </si>
  <si>
    <t>GLO_GT_TXT_0055_ABK</t>
  </si>
  <si>
    <t>FK K</t>
  </si>
  <si>
    <t>GLO_GT_TXT_0056</t>
  </si>
  <si>
    <t>Auf freigegebene Verträge bez. und offene Rg</t>
  </si>
  <si>
    <t>GLO_GT_TXT_0056_ABK</t>
  </si>
  <si>
    <t>FK X</t>
  </si>
  <si>
    <t>GLO_GT_TXT_0057</t>
  </si>
  <si>
    <t>TOTAL freie Vertragssumme</t>
  </si>
  <si>
    <t>GLO_GT_TXT_0057_ABK</t>
  </si>
  <si>
    <t>FK B</t>
  </si>
  <si>
    <t>GLO_GT_TXT_0058</t>
  </si>
  <si>
    <t>1.1.2021 - Heute</t>
  </si>
  <si>
    <t>GLO_GT_TXT_0059</t>
  </si>
  <si>
    <t>Monat</t>
  </si>
  <si>
    <t>GLO_GT_TXT_0060</t>
  </si>
  <si>
    <t>Aktueller Stand aller Quartale</t>
  </si>
  <si>
    <t>GLO_GT_TXT_0061</t>
  </si>
  <si>
    <t>Alle Filialen</t>
  </si>
  <si>
    <t>GLO_GT_TXT_0062</t>
  </si>
  <si>
    <t>Kredit aktuell</t>
  </si>
  <si>
    <t>GLO_GT_TXT_0063</t>
  </si>
  <si>
    <t>Rechnungssumme</t>
  </si>
  <si>
    <t>GLO_GT_TXT_0064</t>
  </si>
  <si>
    <t>Rückbehalt offen</t>
  </si>
  <si>
    <t>GLO_GT_TXT_0065</t>
  </si>
  <si>
    <t>*Werte von höchsten abgeschlossenen Meilenstein</t>
  </si>
  <si>
    <t>GLO_GT_TXT_0066</t>
  </si>
  <si>
    <t>KV Original</t>
  </si>
  <si>
    <t>GLO_GT_TXT_0067</t>
  </si>
  <si>
    <t>KV Mutationen</t>
  </si>
  <si>
    <t>GLO_GT_TXT_0068</t>
  </si>
  <si>
    <t>KV ursprünglich</t>
  </si>
  <si>
    <t>GLO_GT_TXT_0069</t>
  </si>
  <si>
    <t>KV</t>
  </si>
  <si>
    <t>GLO_GT_TXT_0070</t>
  </si>
  <si>
    <t>alle Werte in Mio CHF</t>
  </si>
  <si>
    <t>GLO_GT_TXT_0071</t>
  </si>
  <si>
    <t>Absprung</t>
  </si>
  <si>
    <t>GLO_GT_TXT_0072</t>
  </si>
  <si>
    <t>Link</t>
  </si>
  <si>
    <t>GLO_GT_TXT_0073</t>
  </si>
  <si>
    <t>Rechnungs-summe</t>
  </si>
  <si>
    <t>GLO_GT_TXT_0074</t>
  </si>
  <si>
    <t>*Datumswerte sind in Tagen ab Ursprungsdatum angegeben</t>
  </si>
  <si>
    <t>GLO_GT_TXT_0076</t>
  </si>
  <si>
    <t>Teuerungsfaktor</t>
  </si>
  <si>
    <t>GLO_GT_TXT_0077</t>
  </si>
  <si>
    <t>Eck Fixtermin</t>
  </si>
  <si>
    <t>GLO_GT_TXT_0078</t>
  </si>
  <si>
    <t>KV Aktuell</t>
  </si>
  <si>
    <t>GLO_GT_TXT_0079</t>
  </si>
  <si>
    <t>freigegeben</t>
  </si>
  <si>
    <t>GLO_GT_TXT_0080</t>
  </si>
  <si>
    <t>erwartet</t>
  </si>
  <si>
    <t>GLO_GT_TXT_0081</t>
  </si>
  <si>
    <t>Projektidee</t>
  </si>
  <si>
    <t>GLO_GT_TXT_0082</t>
  </si>
  <si>
    <t>Nachtragsvolumen</t>
  </si>
  <si>
    <t>GLO_GT_TXT_0083</t>
  </si>
  <si>
    <t>Grundvertragsvolumen</t>
  </si>
  <si>
    <t>GLO_GT_TXT_0085</t>
  </si>
  <si>
    <t>Abweichung EKP zu Kredit</t>
  </si>
  <si>
    <t>GLO_GT_TXT_0086</t>
  </si>
  <si>
    <t>Dossier Status</t>
  </si>
  <si>
    <t>GLO_GT_TXT_0087</t>
  </si>
  <si>
    <t>Mutationsdatum Dossier</t>
  </si>
  <si>
    <t>GLO_GT_TXT_0088</t>
  </si>
  <si>
    <t>GLO_GT_TXT_0089</t>
  </si>
  <si>
    <t>Projektkosten</t>
  </si>
  <si>
    <t>GLO_GT_TXT_0090</t>
  </si>
  <si>
    <t>ASTRA</t>
  </si>
  <si>
    <t>GLO_GT_TXT_0091</t>
  </si>
  <si>
    <t>Dossiers:</t>
  </si>
  <si>
    <t>GLO_GT_TXT_0092</t>
  </si>
  <si>
    <t>Vertrags ID kombiniert</t>
  </si>
  <si>
    <t>GLO_GT_TXT_0093</t>
  </si>
  <si>
    <t>GLO_GT_TXT_0094</t>
  </si>
  <si>
    <t>Vergleichsperiode</t>
  </si>
  <si>
    <t>GLO_GT_TXT_0095</t>
  </si>
  <si>
    <t>Auswertungszeitraum Vertrag Vergleich</t>
  </si>
  <si>
    <t>GLO_GT_TXT_0096</t>
  </si>
  <si>
    <t>GLO_GT_TXT_0097</t>
  </si>
  <si>
    <t>GLO_GT_TXT_0098</t>
  </si>
  <si>
    <t>Vertragsvolumen</t>
  </si>
  <si>
    <t>GLO_GT_TXT_0099</t>
  </si>
  <si>
    <t>ARGE</t>
  </si>
  <si>
    <t>GLO_GT_TXT_0100</t>
  </si>
  <si>
    <t>KEINE ARGE</t>
  </si>
  <si>
    <t>GLO_GT_TXT_0101</t>
  </si>
  <si>
    <t>Vertragsbezeichnung</t>
  </si>
  <si>
    <t>GLO_GT_TXT_0102</t>
  </si>
  <si>
    <t>Zahlungen</t>
  </si>
  <si>
    <t>GLO_GT_TXT_0103</t>
  </si>
  <si>
    <t>Abweichung EKP zu KV</t>
  </si>
  <si>
    <t>GLO_GT_TXT_0104</t>
  </si>
  <si>
    <t>GLO_GT_TXT_0105</t>
  </si>
  <si>
    <t>GLO_GT_TXT_0106</t>
  </si>
  <si>
    <t>GLO_GT_TXT_0107</t>
  </si>
  <si>
    <t>Abgrenzungen</t>
  </si>
  <si>
    <t>GLO_GT_TXT_0108</t>
  </si>
  <si>
    <t>Abgrenzungen Vorjahr</t>
  </si>
  <si>
    <t>GLO_GT_TXT_0109</t>
  </si>
  <si>
    <t>Laufendes Jahr</t>
  </si>
  <si>
    <t>GLO_GT_TXT_0110</t>
  </si>
  <si>
    <t>Investitionsplanung</t>
  </si>
  <si>
    <t>GLO_GT_TXT_0111</t>
  </si>
  <si>
    <t>Vertragssumme</t>
  </si>
  <si>
    <t>GLO_GT_TXT_0112</t>
  </si>
  <si>
    <t>Verträge</t>
  </si>
  <si>
    <t>GLO_GT_TXT_0113</t>
  </si>
  <si>
    <t>Nachträge</t>
  </si>
  <si>
    <t>GLO_GT_TXT_0114</t>
  </si>
  <si>
    <t>(ohne FK D)</t>
  </si>
  <si>
    <t>GLO_GT_TXT_0115</t>
  </si>
  <si>
    <t>(nur FK D)</t>
  </si>
  <si>
    <t>GLO_GT_TXT_0116</t>
  </si>
  <si>
    <t>D Beteiligungen</t>
  </si>
  <si>
    <t>GLO_GT_TXT_0117</t>
  </si>
  <si>
    <t>Rechnungssumme bis Vorjahr</t>
  </si>
  <si>
    <t>GLO_GT_TXT_0118</t>
  </si>
  <si>
    <t>Grundvertrags-volumen inkl. Nachtragsvolumen</t>
  </si>
  <si>
    <t>GLO_GT_TXT_0119</t>
  </si>
  <si>
    <t>Voranschlagskredit</t>
  </si>
  <si>
    <t>GLO_GT_TXT_0120</t>
  </si>
  <si>
    <t>Kredit Mutation</t>
  </si>
  <si>
    <t>GLO_GT_TXT_0121</t>
  </si>
  <si>
    <t>Kredit neu</t>
  </si>
  <si>
    <t>GLO_GT_TXT_0122</t>
  </si>
  <si>
    <t>Original</t>
  </si>
  <si>
    <t>GLO_GT_TXT_0123</t>
  </si>
  <si>
    <t>Mutation</t>
  </si>
  <si>
    <t>GLO_GT_TXT_0124</t>
  </si>
  <si>
    <t>Kredit Originale</t>
  </si>
  <si>
    <t>GLO_GT_TXT_0125</t>
  </si>
  <si>
    <t>Kredit Mutationen</t>
  </si>
  <si>
    <t>GLO_GT_TXT_0126</t>
  </si>
  <si>
    <t>Abgrenzung</t>
  </si>
  <si>
    <t>GLO_GT_TXT_0127</t>
  </si>
  <si>
    <t>BKM Dossiertext</t>
  </si>
  <si>
    <t>GLO_GT_TXT_0128</t>
  </si>
  <si>
    <t>Genehmigungsstatus</t>
  </si>
  <si>
    <t>GLO_GT_TXT_0129</t>
  </si>
  <si>
    <t>GLO_GT_TXT_0130</t>
  </si>
  <si>
    <t>Kommentar</t>
  </si>
  <si>
    <t>GLO_GT_TXT_0131</t>
  </si>
  <si>
    <t>Steuerung und Finanzen</t>
  </si>
  <si>
    <t>GLO_GT_TXT_0132</t>
  </si>
  <si>
    <t>offenes Vertragsvolumen</t>
  </si>
  <si>
    <t>GLO_GT_TXT_0133</t>
  </si>
  <si>
    <t>Positionsvolumen</t>
  </si>
  <si>
    <t>GLO_GT_TXT_0134</t>
  </si>
  <si>
    <t>Beträge</t>
  </si>
  <si>
    <t>GLO_GT_TXT_0135</t>
  </si>
  <si>
    <t>Abgerechnete Verträge</t>
  </si>
  <si>
    <t>GLO_GT_TXT_0136</t>
  </si>
  <si>
    <t>V-Pos.</t>
  </si>
  <si>
    <t>GLO_GT_TXT_0137</t>
  </si>
  <si>
    <t>Summe Nachträge:</t>
  </si>
  <si>
    <t>GLO_GT_TXT_0138</t>
  </si>
  <si>
    <t>TOTAL Projekt:</t>
  </si>
  <si>
    <t>GLO_GT_TXT_0139</t>
  </si>
  <si>
    <t>KV freigegeben</t>
  </si>
  <si>
    <t>GLO_GT_TXT_0140</t>
  </si>
  <si>
    <t>KV nicht freigegeben</t>
  </si>
  <si>
    <t>GLO_GT_TXT_0141</t>
  </si>
  <si>
    <t>Projektkredit</t>
  </si>
  <si>
    <t>GLO_GT_TXT_0142</t>
  </si>
  <si>
    <t>Vergleich Planung</t>
  </si>
  <si>
    <t>GLO_GT_TXT_0143</t>
  </si>
  <si>
    <t>Finanzierungsquelle</t>
  </si>
  <si>
    <t>GLO_GT_TXT_0144</t>
  </si>
  <si>
    <t>VAK aktuell freig.</t>
  </si>
  <si>
    <t>GLO_GT_TXT_0145</t>
  </si>
  <si>
    <t>Rechnungsumme bezahlt</t>
  </si>
  <si>
    <t>GLO_GT_TXT_0146</t>
  </si>
  <si>
    <t>VAK Prognose</t>
  </si>
  <si>
    <t>GLO_GT_TXT_0147</t>
  </si>
  <si>
    <t>Übersicht alle Filialen</t>
  </si>
  <si>
    <t>GLO_GT_TXT_0148</t>
  </si>
  <si>
    <t>Übersicht nach Filiale</t>
  </si>
  <si>
    <t>GLO_GT_TXT_0149</t>
  </si>
  <si>
    <t>Geschäftsjahr</t>
  </si>
  <si>
    <t>GLO_GT_TXT_0150</t>
  </si>
  <si>
    <t>VAK Gesamt</t>
  </si>
  <si>
    <t>GLO_GT_TXT_0151</t>
  </si>
  <si>
    <t>Teilergebnis VAK Original</t>
  </si>
  <si>
    <t>GLO_GT_TXT_0152</t>
  </si>
  <si>
    <t>Teilergebnis VAK Abgrenzungen</t>
  </si>
  <si>
    <t>GLO_GT_TXT_0153</t>
  </si>
  <si>
    <t>Zahlungen bis</t>
  </si>
  <si>
    <t>GLO_GT_TXT_0154</t>
  </si>
  <si>
    <t>Zahlungen bis Ende Vorjahr</t>
  </si>
  <si>
    <t>GLO_GT_TXT_0155</t>
  </si>
  <si>
    <t>Zahlungen 2021</t>
  </si>
  <si>
    <t>GLO_GT_TXT_0156</t>
  </si>
  <si>
    <t>Rechnungssumme vorerfasst</t>
  </si>
  <si>
    <t>GLO_GT_TXT_0157</t>
  </si>
  <si>
    <t>Rechnungen gebucht</t>
  </si>
  <si>
    <t>GLO_GT_TXT_0158</t>
  </si>
  <si>
    <t>GLO_GT_TXT_0159</t>
  </si>
  <si>
    <t>auf Bestellung</t>
  </si>
  <si>
    <t>GLO_GT_TXT_0160</t>
  </si>
  <si>
    <t>GLO_GT_TXT_0161</t>
  </si>
  <si>
    <t>Rechnungen geb. + vorerf.</t>
  </si>
  <si>
    <t>GLO_GT_TXT_0162</t>
  </si>
  <si>
    <t>Rechnungssumme offen</t>
  </si>
  <si>
    <t>GLO_GT_TXT_0163</t>
  </si>
  <si>
    <t>Grundvertragsvolumen inkl. Nachtragsvolumen</t>
  </si>
  <si>
    <t>GLO_GT_TXT_0164</t>
  </si>
  <si>
    <t>Bestellvolumen</t>
  </si>
  <si>
    <t>GLO_GT_TXT_0165</t>
  </si>
  <si>
    <t>Nachtragsbestellvolumen</t>
  </si>
  <si>
    <t>GLO_GT_TXT_0166</t>
  </si>
  <si>
    <t>bis</t>
  </si>
  <si>
    <t>GLO_GT_TXT_0167</t>
  </si>
  <si>
    <t>VAK</t>
  </si>
  <si>
    <t>GLO_GT_TXT_0168</t>
  </si>
  <si>
    <t>IP Verträge</t>
  </si>
  <si>
    <t>GLO_GT_TXT_0169</t>
  </si>
  <si>
    <t>VAK (inkl. Mutationen)</t>
  </si>
  <si>
    <t>GLO_GT_TXT_0170</t>
  </si>
  <si>
    <t>Rechnungssumme bis heute</t>
  </si>
  <si>
    <t>GLO_GT_TXT_0171</t>
  </si>
  <si>
    <t>Rabatt</t>
  </si>
  <si>
    <t>GLO_GT_TXT_0172</t>
  </si>
  <si>
    <t>Zahlungsbedingung</t>
  </si>
  <si>
    <t>GLO_GT_TXT_0173</t>
  </si>
  <si>
    <t>Kostenvoranschlag</t>
  </si>
  <si>
    <t>GLO_GT_TXT_0174</t>
  </si>
  <si>
    <t>VAK Abgrenzung</t>
  </si>
  <si>
    <t>GLO_GT_TXT_0175</t>
  </si>
  <si>
    <t>VAK Summe</t>
  </si>
  <si>
    <t>GLO_GT_TXT_0176</t>
  </si>
  <si>
    <t>EKP Entwicklung in Budgetzyklen</t>
  </si>
  <si>
    <t>GLO_GT_TXT_0177</t>
  </si>
  <si>
    <t>Differenz</t>
  </si>
  <si>
    <t>GLO_GT_TXT_0178</t>
  </si>
  <si>
    <t>Leistungen - Rechnungen</t>
  </si>
  <si>
    <t>GLO_GT_TXT_0179</t>
  </si>
  <si>
    <t>GLO_GT_TXT_0180</t>
  </si>
  <si>
    <t>Rechnungssumme akt. Jahr</t>
  </si>
  <si>
    <t>GLO_GT_TXT_0181</t>
  </si>
  <si>
    <t>Kontierungsdetail Vertrag</t>
  </si>
  <si>
    <t>GLO_GT_TXT_0182</t>
  </si>
  <si>
    <t>Zusammenstellung Kostenvoranschlag aktuell</t>
  </si>
  <si>
    <t>GLO_GT_TXT_0183</t>
  </si>
  <si>
    <t>Zusammenstellung Verträge</t>
  </si>
  <si>
    <t>GLO_GT_TXT_0184</t>
  </si>
  <si>
    <t>Zusammenstellung Rechnungen</t>
  </si>
  <si>
    <t>GLO_GT_TXT_0185</t>
  </si>
  <si>
    <t>Vertrags-aus-schöpfung</t>
  </si>
  <si>
    <t>GLO_GT_TXT_0186</t>
  </si>
  <si>
    <t>Rechnungs-summe  ABGR LZ Vorjahre</t>
  </si>
  <si>
    <t>GLO_GT_TXT_0187</t>
  </si>
  <si>
    <t>Rechungs-summe LZ</t>
  </si>
  <si>
    <t>GLO_GT_TXT_0188</t>
  </si>
  <si>
    <t>Prognose</t>
  </si>
  <si>
    <t>GLO_GT_TXT_0189</t>
  </si>
  <si>
    <t>Aus-schöpfung Abgrenzung</t>
  </si>
  <si>
    <t>GLO_GT_TXT_0190</t>
  </si>
  <si>
    <t>Abweichung Rechung - VAK</t>
  </si>
  <si>
    <t>GLO_GT_TXT_0191</t>
  </si>
  <si>
    <t>Abweichung Prognose - VAK</t>
  </si>
  <si>
    <t>GLO_GT_TXT_0192</t>
  </si>
  <si>
    <t>per</t>
  </si>
  <si>
    <t>GLO_GT_TXT_0193</t>
  </si>
  <si>
    <t>aktuelle Rechungs-summe per heute</t>
  </si>
  <si>
    <t>GLO_GT_TXT_0194</t>
  </si>
  <si>
    <t>Differenz VAK zu Leistungen</t>
  </si>
  <si>
    <t>GLO_GT_TXT_0195</t>
  </si>
  <si>
    <t>Differenz Leistungen zu Rechnungen</t>
  </si>
  <si>
    <t>GLO_GT_TXT_0196</t>
  </si>
  <si>
    <t>Differenz VAK zu Rechnungen</t>
  </si>
  <si>
    <t>GLO_GT_TXT_0197</t>
  </si>
  <si>
    <t>Analyse</t>
  </si>
  <si>
    <t>GLO_GT_TXT_0198</t>
  </si>
  <si>
    <t>Budget</t>
  </si>
  <si>
    <t>GLO_GT_TXT_0199</t>
  </si>
  <si>
    <t>GLO_GT_TXT_0200</t>
  </si>
  <si>
    <t>in Prozent</t>
  </si>
  <si>
    <t>GLO_GT_TXT_0201</t>
  </si>
  <si>
    <t>gebucht</t>
  </si>
  <si>
    <t>GLO_GT_TXT_0202</t>
  </si>
  <si>
    <t>VAK Abgr. Rel.</t>
  </si>
  <si>
    <t>GLO_GT_TXT_0203</t>
  </si>
  <si>
    <t>LA Rgn.</t>
  </si>
  <si>
    <t>GLO_GT_TXT_0204</t>
  </si>
  <si>
    <t>LA Abgr.</t>
  </si>
  <si>
    <t>GLO_GT_TXT_0205</t>
  </si>
  <si>
    <t>LA Leist.</t>
  </si>
  <si>
    <t>GLO_GT_TXT_0206</t>
  </si>
  <si>
    <t>LA Rgn. Kontr.</t>
  </si>
  <si>
    <t>GLO_GT_TXT_0207</t>
  </si>
  <si>
    <t>LA Abgr. Kontr.</t>
  </si>
  <si>
    <t>GLO_GT_TXT_0208</t>
  </si>
  <si>
    <t>Termin-Entwicklung pro Meilenstein und Realisierungseinheit</t>
  </si>
  <si>
    <t>GLO_GT_TXT_0209</t>
  </si>
  <si>
    <t>Meilenstein-/Trend-Diagramm pro RE</t>
  </si>
  <si>
    <t>GLO_GT_TXT_0210</t>
  </si>
  <si>
    <t>SB Investitionscontrolling (ICP)</t>
  </si>
  <si>
    <t>GLO_GT_TXT_0211</t>
  </si>
  <si>
    <t>Bereichsleiter (IC)</t>
  </si>
  <si>
    <t>GLO_GT_TXT_0212</t>
  </si>
  <si>
    <t>Bereichsleiter (PM/EP)</t>
  </si>
  <si>
    <t>GLO_GT_TXT_0213</t>
  </si>
  <si>
    <t>Projektleiter/Fachspezialist (PM/EP)</t>
  </si>
  <si>
    <t>GLO_GT_TXT_0214</t>
  </si>
  <si>
    <t>Detailkontierung Vertrag</t>
  </si>
  <si>
    <t>GLO_GT_TXT_0215</t>
  </si>
  <si>
    <t>Inventarobjekte bebucht</t>
  </si>
  <si>
    <t>GLO_GT_TXT_0216</t>
  </si>
  <si>
    <t>Bezeichnung</t>
  </si>
  <si>
    <t>GLO_GT_TXT_0217</t>
  </si>
  <si>
    <t>Mittelbindungen</t>
  </si>
  <si>
    <t>GLO_GT_TXT_0218</t>
  </si>
  <si>
    <t>Rechungen Buchungsjahr SAP</t>
  </si>
  <si>
    <t>GLO_GT_TXT_0219</t>
  </si>
  <si>
    <t>KV Aktuell HKA P</t>
  </si>
  <si>
    <t>GLO_GT_TXT_0220</t>
  </si>
  <si>
    <t>KV Aktuell HKA L</t>
  </si>
  <si>
    <t>GLO_GT_TXT_0221</t>
  </si>
  <si>
    <t>KV Aktuell HKA R</t>
  </si>
  <si>
    <t>GLO_GT_TXT_0222</t>
  </si>
  <si>
    <t>Projektstruktur</t>
  </si>
  <si>
    <t>GLO_GT_TXT_0223</t>
  </si>
  <si>
    <t>Inventarobjekt</t>
  </si>
  <si>
    <t>GLO_GT_TXT_0224</t>
  </si>
  <si>
    <t>Text</t>
  </si>
  <si>
    <t>GLO_GT_TXT_0225</t>
  </si>
  <si>
    <t>GLO_GT_TXT_0226</t>
  </si>
  <si>
    <t>je Kanton</t>
  </si>
  <si>
    <t>GLO_GT_TXT_0227</t>
  </si>
  <si>
    <t>KV aktuell offen</t>
  </si>
  <si>
    <t>GLO_GT_TXT_0228</t>
  </si>
  <si>
    <t>PK offen</t>
  </si>
  <si>
    <t>GLO_GT_TXT_0229</t>
  </si>
  <si>
    <t>PK genehmigt</t>
  </si>
  <si>
    <t>GLO_GT_TXT_0230</t>
  </si>
  <si>
    <t>PK freigegeben</t>
  </si>
  <si>
    <t>GLO_GT_TXT_0231</t>
  </si>
  <si>
    <t>Bestellvol.</t>
  </si>
  <si>
    <t>GLO_GT_TXT_0232</t>
  </si>
  <si>
    <t>Freigeg.</t>
  </si>
  <si>
    <t>GLO_GT_TXT_0233</t>
  </si>
  <si>
    <t>abgeschl.</t>
  </si>
  <si>
    <t>GLO_GT_TXT_0234</t>
  </si>
  <si>
    <t>Belegnr. FI</t>
  </si>
  <si>
    <t>GLO_GT_TXT_0235</t>
  </si>
  <si>
    <t>EKP manuell</t>
  </si>
  <si>
    <t>GLO_GT_TXT_0236</t>
  </si>
  <si>
    <t>Planung</t>
  </si>
  <si>
    <t>GLO_GT_TXT_0237</t>
  </si>
  <si>
    <t>Gesamtkosten</t>
  </si>
  <si>
    <t>GLO_GT_TXT_0238</t>
  </si>
  <si>
    <t>Kredit</t>
  </si>
  <si>
    <t>GLO_GT_TXT_0239</t>
  </si>
  <si>
    <t>Sammelvertrag-Position</t>
  </si>
  <si>
    <t>GLO_GT_TXT_0240</t>
  </si>
  <si>
    <t>Sachkonto</t>
  </si>
  <si>
    <t>GLO_GT_TXT_0241</t>
  </si>
  <si>
    <t>fällig am</t>
  </si>
  <si>
    <t>GLO_GT_TXT_0242</t>
  </si>
  <si>
    <t>Bagatellklausel</t>
  </si>
  <si>
    <t>GLO_GT_TXT_0243</t>
  </si>
  <si>
    <t>Kostenschätz. Bagatellklausel</t>
  </si>
  <si>
    <t>GLO_GT_TXT_0244</t>
  </si>
  <si>
    <t>Kat.</t>
  </si>
  <si>
    <t>GLO_GT_TXT_0245</t>
  </si>
  <si>
    <t>Kosten</t>
  </si>
  <si>
    <t>GLO_GT_TXT_0246</t>
  </si>
  <si>
    <t>Isttermin</t>
  </si>
  <si>
    <t>GLO_GT_TXT_0247</t>
  </si>
  <si>
    <t>Verpflichtungen</t>
  </si>
  <si>
    <t>GLO_GT_TXT_0248</t>
  </si>
  <si>
    <t>definitive Leistungsabgrenzung per</t>
  </si>
  <si>
    <t>GLO_GT_TXT_0249</t>
  </si>
  <si>
    <t>GLO_GT_TXT_0250</t>
  </si>
  <si>
    <t>GLO_GT_TXT_0251</t>
  </si>
  <si>
    <t>GLO_GT_TXT_151</t>
  </si>
  <si>
    <t>Teilergebnis VAK Ursprünglich</t>
  </si>
  <si>
    <t>GLO_GT_TXT_152</t>
  </si>
  <si>
    <t>GLO_GT_TXT_153</t>
  </si>
  <si>
    <t>Auslastung</t>
  </si>
  <si>
    <t>GLO_GT_WGCPRJKAT_TXT_0001</t>
  </si>
  <si>
    <t>GLO_VF_TXT_0002</t>
  </si>
  <si>
    <t>Ausführungsdatum :</t>
  </si>
  <si>
    <t>GLO_VF_TXT_0003</t>
  </si>
  <si>
    <t>Ausführungszeit :</t>
  </si>
  <si>
    <t>GLO_VF_TXT_0004</t>
  </si>
  <si>
    <t>Systemname :</t>
  </si>
  <si>
    <t>GLO_VF_TXT_0005</t>
  </si>
  <si>
    <t>Umgebung :</t>
  </si>
  <si>
    <t>GLO_VF_TXT_0006</t>
  </si>
  <si>
    <t>Benutzer :</t>
  </si>
  <si>
    <t>GLO_VF_TXT_0007</t>
  </si>
  <si>
    <t>Letzte Aktualisierung der Daten :</t>
  </si>
  <si>
    <t>GLO_VH_TXT_0001</t>
  </si>
  <si>
    <t>Eidgenössisches Departement für</t>
  </si>
  <si>
    <t>GLO_VH_TXT_0001_01</t>
  </si>
  <si>
    <t>Umwelt, Verkehr, Energie und Kommunikation UVEK</t>
  </si>
  <si>
    <t>GLO_VH_TXT_0001_03</t>
  </si>
  <si>
    <t>Bundesamt für Strassen ASTRA</t>
  </si>
  <si>
    <t>GLO_VH_TXT_0002</t>
  </si>
  <si>
    <t>Dokumentname</t>
  </si>
  <si>
    <t>GLO_VH_TXT_0003</t>
  </si>
  <si>
    <t>Berichtstitel</t>
  </si>
  <si>
    <t>GLO_VH_TXT_0004</t>
  </si>
  <si>
    <t>Prompt Variable</t>
  </si>
  <si>
    <t>GM_USSTA_TXT_0001</t>
  </si>
  <si>
    <t>JECERLKZ_TXT_0001</t>
  </si>
  <si>
    <t>Erledigt-KZ</t>
  </si>
  <si>
    <t>MILESTONE_KEY_0001</t>
  </si>
  <si>
    <t>MILESTONE_TXT_0001</t>
  </si>
  <si>
    <t>PROJCT_WGCNSABSN_TXT_0001</t>
  </si>
  <si>
    <t>TVCARGEKZ_TXT_0001</t>
  </si>
  <si>
    <t>ARGE-Kennzeichen</t>
  </si>
  <si>
    <t>TVCDATZU_TXT_0001</t>
  </si>
  <si>
    <t>Datum Zuschlag</t>
  </si>
  <si>
    <t>TVCFREGA_TXT_0001</t>
  </si>
  <si>
    <t>TVCJURASP_GL_TXT_0001</t>
  </si>
  <si>
    <t>TVCNACHP_TXT_0001</t>
  </si>
  <si>
    <t>TVCNTBEM_TXT_0001</t>
  </si>
  <si>
    <t>Bemerkung</t>
  </si>
  <si>
    <t>TVCNTID_KEY_0001</t>
  </si>
  <si>
    <t>Nachtrags-ID</t>
  </si>
  <si>
    <t>TVCREFYEA_TXT_0001</t>
  </si>
  <si>
    <t>Jahr</t>
  </si>
  <si>
    <t>TVCSIMNR_KEY_0001</t>
  </si>
  <si>
    <t>SIMAP Nr.</t>
  </si>
  <si>
    <t>TVCVAR_TXT_0001</t>
  </si>
  <si>
    <t>Auftragsart</t>
  </si>
  <si>
    <t>TVCVESTA_TXT_0001</t>
  </si>
  <si>
    <t>TVCVESTJ_TXT_0001</t>
  </si>
  <si>
    <t>TVCVGREF.2TVCPUZUS_ABK_0001</t>
  </si>
  <si>
    <t>TVKVERVOL_TXT_0001</t>
  </si>
  <si>
    <t>VENDOR_GL_TXT_001</t>
  </si>
  <si>
    <t>Lieferanten-Name</t>
  </si>
  <si>
    <t>WGCACLEIT_TXT_0001</t>
  </si>
  <si>
    <t>Abteilungschef</t>
  </si>
  <si>
    <t>WGCANWST_KEY_0001</t>
  </si>
  <si>
    <t>WGCBEREIC_TXT_0001</t>
  </si>
  <si>
    <t>WGCBKMVRT.10COMP_KEY_0001_ABK</t>
  </si>
  <si>
    <t>BuKr</t>
  </si>
  <si>
    <t>WGCBKMVRT.1TVCORGOB2_KEY_0001_ABK</t>
  </si>
  <si>
    <t>Orga. Stufe 2</t>
  </si>
  <si>
    <t>WGCBKMVRT.2TVCALTV_TXT_0001</t>
  </si>
  <si>
    <t>WGCBKMVRT_GL_KEY_001</t>
  </si>
  <si>
    <t>Vertrags-ID</t>
  </si>
  <si>
    <t>WGCBKMVRT_GL_TXT_001</t>
  </si>
  <si>
    <t>Vertrag Bezeichnung</t>
  </si>
  <si>
    <t>WGCBLEIFU_TXT_0001</t>
  </si>
  <si>
    <t>Bereichsleiter FU</t>
  </si>
  <si>
    <t>WGCBRLEIT_ABK_001</t>
  </si>
  <si>
    <t>BL</t>
  </si>
  <si>
    <t>WGCBRLEIT_GL_TXT_001_ABK</t>
  </si>
  <si>
    <t>WGCBRLEIT_TXT_0001</t>
  </si>
  <si>
    <t>WGCDOSNR_KEY_001</t>
  </si>
  <si>
    <t>Dossier-Nr.</t>
  </si>
  <si>
    <t>WGCFCLEIT_TXT_0001</t>
  </si>
  <si>
    <t>Filialchef</t>
  </si>
  <si>
    <t>WGCFILIAL_ABK_0001</t>
  </si>
  <si>
    <t>Fil.</t>
  </si>
  <si>
    <t>WGCFILIAL_GL_TXT_001</t>
  </si>
  <si>
    <t>Kostenstelle</t>
  </si>
  <si>
    <t>WGCFILIAL_KEY_0001</t>
  </si>
  <si>
    <t>WGCFILICP_GL_TXT_001</t>
  </si>
  <si>
    <t>SB ICP-F</t>
  </si>
  <si>
    <t>WGCFILICP_TXT_0001</t>
  </si>
  <si>
    <t>WGCFILICR_GL_TXT_001</t>
  </si>
  <si>
    <t>SB ICR-F</t>
  </si>
  <si>
    <t>WGCFILICR_TXT_0001</t>
  </si>
  <si>
    <t>WGCFINKTO_ABK_001</t>
  </si>
  <si>
    <t>FK</t>
  </si>
  <si>
    <t>WGCFRDATM_GL_TXT_001</t>
  </si>
  <si>
    <t>WGCGEDAT1_GL_TXT_001</t>
  </si>
  <si>
    <t>Datum Genehmigung</t>
  </si>
  <si>
    <t>WGCGENAM1_TXT_0001</t>
  </si>
  <si>
    <t>Genehmiger 1</t>
  </si>
  <si>
    <t>WGCGROEOR_TXT_0001</t>
  </si>
  <si>
    <t>Grössen-ordnung</t>
  </si>
  <si>
    <t>WGCHPTKOA_ABK_001</t>
  </si>
  <si>
    <t>HKA</t>
  </si>
  <si>
    <t>WGCINBHR_KEY_0001</t>
  </si>
  <si>
    <t>Jahr Inbetriebnahme</t>
  </si>
  <si>
    <t>WGCINVOBJ_GL_TXT_002</t>
  </si>
  <si>
    <t>IO-Bezeichnung</t>
  </si>
  <si>
    <t>WGCINVOBJ_TXT_0001</t>
  </si>
  <si>
    <t>WGCIPABSN_GL_TXT_001</t>
  </si>
  <si>
    <t>IP Abschnitt</t>
  </si>
  <si>
    <t>WGCIPABSN_TXT_0001</t>
  </si>
  <si>
    <t>IP -Abschnitt</t>
  </si>
  <si>
    <t>WGCKANTON_ABK_0001</t>
  </si>
  <si>
    <t>Kt.</t>
  </si>
  <si>
    <t>WGCKANTON_ABK_0002</t>
  </si>
  <si>
    <t>IP Kt.</t>
  </si>
  <si>
    <t>WGCKANTON_TXT_0001</t>
  </si>
  <si>
    <t>Kantone</t>
  </si>
  <si>
    <t>WGCKANTON_TXT_0002</t>
  </si>
  <si>
    <t>IP-Kanton</t>
  </si>
  <si>
    <t>WGCMGRUND _TXT_0001</t>
  </si>
  <si>
    <t>Mutationsgrund</t>
  </si>
  <si>
    <t>WGCMGRUND_KEY_0001</t>
  </si>
  <si>
    <t>WGCMLSTUS_TXT_0001</t>
  </si>
  <si>
    <t>WGCMLSTUS_TXT_0002</t>
  </si>
  <si>
    <t>Projektphase</t>
  </si>
  <si>
    <t>WGCMWSTA_TXT_0001</t>
  </si>
  <si>
    <t>MWST</t>
  </si>
  <si>
    <t>WGCMWSTA_TXT_0002</t>
  </si>
  <si>
    <t>inkl. MWST</t>
  </si>
  <si>
    <t>WGCMWSTA_TXT_0003</t>
  </si>
  <si>
    <t>exkl. MWST</t>
  </si>
  <si>
    <t>WGCMWSTA_TXT_0004</t>
  </si>
  <si>
    <t>ohne Indexteuerung</t>
  </si>
  <si>
    <t>WGCMWSTA_TXT_0005</t>
  </si>
  <si>
    <t>mit Indexteuerung</t>
  </si>
  <si>
    <t>WGCNWSTPR_TXT_0001</t>
  </si>
  <si>
    <t>MwSt-Satz</t>
  </si>
  <si>
    <t>WGCPHASE_GL_TXT_001</t>
  </si>
  <si>
    <t>Phasenmeilenstein</t>
  </si>
  <si>
    <t>WGCPHASE_KEY_0001</t>
  </si>
  <si>
    <t>WGCPLERKE_GL_TXT_001</t>
  </si>
  <si>
    <t>Datum Erfassung</t>
  </si>
  <si>
    <t>WGCPLERNM_TXT_0001</t>
  </si>
  <si>
    <t>Ersteller</t>
  </si>
  <si>
    <t>WGCPRGRUP_TXT_0001</t>
  </si>
  <si>
    <t>WGCPRJNR_KEY_0001</t>
  </si>
  <si>
    <t>Projekt-Nummer</t>
  </si>
  <si>
    <t>WGCPRLEIT_ABK_0001</t>
  </si>
  <si>
    <t>PL</t>
  </si>
  <si>
    <t>WGCPRLEIT_KEY_0001</t>
  </si>
  <si>
    <t>WGCPRLEIT_TXT_0001</t>
  </si>
  <si>
    <t>WGCPROJCT_GL_KEY_001</t>
  </si>
  <si>
    <t>Projektnummer</t>
  </si>
  <si>
    <t>WGCPROJCT_GL_TXT_001</t>
  </si>
  <si>
    <t>Projektbezeichnung</t>
  </si>
  <si>
    <t>WGCPROJCT_KEY_0001</t>
  </si>
  <si>
    <t>Projekt-Nr.</t>
  </si>
  <si>
    <t>WGCPROJCT_KEY_0002</t>
  </si>
  <si>
    <t>WGCPROJCT_TXT_0001</t>
  </si>
  <si>
    <t>WGCPROJCT_TXT_0001_ABK</t>
  </si>
  <si>
    <t>Projektbez.</t>
  </si>
  <si>
    <t>WGCREEINH_GL_TXT_001_ABK</t>
  </si>
  <si>
    <t>RE</t>
  </si>
  <si>
    <t>WGCREEINH_TXT_0001</t>
  </si>
  <si>
    <t>RE projektübergreifende</t>
  </si>
  <si>
    <t>WGCSTRANR_ABK_0001</t>
  </si>
  <si>
    <t>NS</t>
  </si>
  <si>
    <t>WGCSTRANR_GL_TXT_001</t>
  </si>
  <si>
    <t>IP Nationalstrasse</t>
  </si>
  <si>
    <t>WGCSTRANR_TXT_0001</t>
  </si>
  <si>
    <t>Nat.strassen-Nummer</t>
  </si>
  <si>
    <t>WGCSTRANR_TXT_0001_ABK</t>
  </si>
  <si>
    <t>WGCSTRANR_TXT_0002</t>
  </si>
  <si>
    <t>IP-Nationalstrasse</t>
  </si>
  <si>
    <t>WGCTLPRJ_TXT_0001</t>
  </si>
  <si>
    <t>Subteilprojekt</t>
  </si>
  <si>
    <t>WGCURL_KEY_0001</t>
  </si>
  <si>
    <t>URL</t>
  </si>
  <si>
    <t>WGCVENARG_20CITY_TXT_0001</t>
  </si>
  <si>
    <t>Ort</t>
  </si>
  <si>
    <t>WGCVENARG_20POSTAL_TXT_0001</t>
  </si>
  <si>
    <t>PLZ</t>
  </si>
  <si>
    <t>WGCVENARG_20STREET_TXT_0001</t>
  </si>
  <si>
    <t>Strasse</t>
  </si>
  <si>
    <t>WGCVENARG_TXT_0001</t>
  </si>
  <si>
    <t>Kreditor</t>
  </si>
  <si>
    <t>WGCVTKLAS_GL_TXT_0001</t>
  </si>
  <si>
    <t>WGCWBSELM_GL_TXT_001</t>
  </si>
  <si>
    <t>PSP-Bezeichnung</t>
  </si>
  <si>
    <t>WGCZLAYER_ABK_0001</t>
  </si>
  <si>
    <t>EP/EM</t>
  </si>
  <si>
    <t>WGCZLAYER_GL_TXT_001</t>
  </si>
  <si>
    <t>Schicht</t>
  </si>
  <si>
    <t>WGCZLAYER_KEY_0001</t>
  </si>
  <si>
    <t>Projekt Schicht</t>
  </si>
  <si>
    <t>WGCZLAYER_TXT_0001</t>
  </si>
  <si>
    <t>WGINBJHR_TXT_001</t>
  </si>
  <si>
    <t>noch keine Inbetriebnahme geplant</t>
  </si>
  <si>
    <t>WG_0001_T_TXT_0001</t>
  </si>
  <si>
    <t>BKM Projekte projektübergreifend</t>
  </si>
  <si>
    <t>WG_0001_T_TXT_0002</t>
  </si>
  <si>
    <t>Projekte mit RE und FK</t>
  </si>
  <si>
    <t>WG_0001_T_TXT_0003</t>
  </si>
  <si>
    <t>Projekte mit FK</t>
  </si>
  <si>
    <t>WG_0002_ST_TXT_0001</t>
  </si>
  <si>
    <t>Meilensteine pro Projekt und Realisierungseinheiten</t>
  </si>
  <si>
    <t>WG_0002_ST_TXT_0002</t>
  </si>
  <si>
    <t>Termin-Entwicklung pro Meilenstein und Realisierungseinheit </t>
  </si>
  <si>
    <t>WG_0002_ST_TXT_0003</t>
  </si>
  <si>
    <t>Meilenstein-/Trend-Diagramm pro Realisierungseinheit</t>
  </si>
  <si>
    <t>WG_0002_T_TXT_0001</t>
  </si>
  <si>
    <t>BKM Meilensteinentwicklung mit Grafik</t>
  </si>
  <si>
    <t>WG_0003_GT_TXT_0001</t>
  </si>
  <si>
    <t>Diff. in Tagen</t>
  </si>
  <si>
    <t>WG_0003_ST_TXT_0001</t>
  </si>
  <si>
    <t>Meilenstein je Projekt</t>
  </si>
  <si>
    <t>WG_0003_ST_TXT_0002</t>
  </si>
  <si>
    <t>Meilenstein Details</t>
  </si>
  <si>
    <t>WG_0003_ST_TXT_0003</t>
  </si>
  <si>
    <t>Aktivierungsprognose</t>
  </si>
  <si>
    <t>WG_0003_T_TXT_0001</t>
  </si>
  <si>
    <t>BKM Meilensteine</t>
  </si>
  <si>
    <t>WG_0005_ST_TXT_0001</t>
  </si>
  <si>
    <t>Dossierzusammenzug nach Phasen</t>
  </si>
  <si>
    <t>WG_0005_ST_TXT_0002</t>
  </si>
  <si>
    <t>Dossierzusammenzug nach Status</t>
  </si>
  <si>
    <t>WG_0005_T_TXT_0001</t>
  </si>
  <si>
    <t>KV Status mit Projektphasen</t>
  </si>
  <si>
    <t>WG_0006_ST_TXT_0001</t>
  </si>
  <si>
    <t>Ebene Realiserungseinheit</t>
  </si>
  <si>
    <t>WG_0006_ST_TXT_0002</t>
  </si>
  <si>
    <t>Dossierebene</t>
  </si>
  <si>
    <t>WG_0006_ST_TXT_0003</t>
  </si>
  <si>
    <t>Protokoll</t>
  </si>
  <si>
    <t>WG_0006_ST_TXT_0004</t>
  </si>
  <si>
    <t>KV Teuerung</t>
  </si>
  <si>
    <t>WG_0006_T_TXT_0001</t>
  </si>
  <si>
    <t>BKM KV inkl Mutationen projektübergreifend</t>
  </si>
  <si>
    <t>WG_0008_ST_TXT_0001</t>
  </si>
  <si>
    <t>KV Entwicklung projektübergreifend</t>
  </si>
  <si>
    <t>WG_0008_T_TXT_0001</t>
  </si>
  <si>
    <t>BKM KV Entwicklung projektübergreifend</t>
  </si>
  <si>
    <t>WG_0009_ST_TXT_0001</t>
  </si>
  <si>
    <t>KV Kosten mit Projektphasen</t>
  </si>
  <si>
    <t>WG_0009_ST_TXT_0002</t>
  </si>
  <si>
    <t>KV Kosten mit Projektphasen inkl. FK</t>
  </si>
  <si>
    <t>WG_0009_T_TXT_0001</t>
  </si>
  <si>
    <t>BKM KV Kosten mit Projektphasen</t>
  </si>
  <si>
    <t>WG_0011_GT_TXT_0001</t>
  </si>
  <si>
    <t>Phase GP/EK</t>
  </si>
  <si>
    <t>WG_0011_GT_TXT_0002</t>
  </si>
  <si>
    <t>Phase AP/MK</t>
  </si>
  <si>
    <t>WG_0011_GT_TXT_0003</t>
  </si>
  <si>
    <t>Phase DP/MP</t>
  </si>
  <si>
    <t>WG_0011_GT_TXT_0004</t>
  </si>
  <si>
    <t>WG_0011_GT_TXT_0005</t>
  </si>
  <si>
    <t>Vergleiche</t>
  </si>
  <si>
    <t>WG_0011_GT_TXT_0006</t>
  </si>
  <si>
    <t>Kennzahlen Verträge</t>
  </si>
  <si>
    <t>WG_0011_GT_TXT_0007</t>
  </si>
  <si>
    <t>Projektdauer</t>
  </si>
  <si>
    <t>WG_0011_GT_TXT_0008</t>
  </si>
  <si>
    <t>Restdauer Jahre</t>
  </si>
  <si>
    <t>WG_0011_ST_TXT_0001</t>
  </si>
  <si>
    <t>Projektanalyse</t>
  </si>
  <si>
    <t>WG_0011_T_TXT_0001</t>
  </si>
  <si>
    <t>BKM Projektanalyse nach Finanzierungskonten</t>
  </si>
  <si>
    <t>WG_0013_ST_TXT_0001</t>
  </si>
  <si>
    <t>Kredite Übersicht</t>
  </si>
  <si>
    <t>WG_0013_T_TXT_0001</t>
  </si>
  <si>
    <t>BKM Kredite projektübergreifend</t>
  </si>
  <si>
    <t>WG_0015_ST_TXT_0002</t>
  </si>
  <si>
    <t>Kreditantrag</t>
  </si>
  <si>
    <t>WG_0015_TXT_0001</t>
  </si>
  <si>
    <t>Sachbearbeiter ICP</t>
  </si>
  <si>
    <t>WG_0015_TXT_0002</t>
  </si>
  <si>
    <t>Bereichsleiter IC</t>
  </si>
  <si>
    <t>WG_0015_T_TXT_0001</t>
  </si>
  <si>
    <t>BKM Kredit Genehmigung</t>
  </si>
  <si>
    <t>WG_0016_ST_TXT_0001</t>
  </si>
  <si>
    <t>EKP nach IO und Kostenarten</t>
  </si>
  <si>
    <t>WG_0016_T_TXT_0001</t>
  </si>
  <si>
    <t>BKM Kostenstellenbericht Kredit Vertrag</t>
  </si>
  <si>
    <t>WG_0017_GT_TXT_0001</t>
  </si>
  <si>
    <t>Total ohne FK D</t>
  </si>
  <si>
    <t>WG_0017_GT_TXT_0002</t>
  </si>
  <si>
    <t>Summe X/E/K Leistung</t>
  </si>
  <si>
    <t>WG_0017_GT_TXT_0003</t>
  </si>
  <si>
    <t>X/E/K</t>
  </si>
  <si>
    <t>WG_0017_ST_TXT_0001</t>
  </si>
  <si>
    <t>Übersicht ASTRA Brutto</t>
  </si>
  <si>
    <t>WG_0017_ST_TXT_0002</t>
  </si>
  <si>
    <t>Übersicht Abteilung Brutto</t>
  </si>
  <si>
    <t>WG_0017_ST_TXT_0003</t>
  </si>
  <si>
    <t>Übersicht Filialen Brutto</t>
  </si>
  <si>
    <t>WG_0017_ST_TXT_0004</t>
  </si>
  <si>
    <t>Übersicht Betrieb Brutto</t>
  </si>
  <si>
    <t>WG_0017_ST_TXT_0005</t>
  </si>
  <si>
    <t>Übersicht Beteiligungen</t>
  </si>
  <si>
    <t>WG_0017_T_TXT_0001</t>
  </si>
  <si>
    <t>BKM IP Amt</t>
  </si>
  <si>
    <t>WG_0017_T_TXT_0002</t>
  </si>
  <si>
    <t>Abweichung in %</t>
  </si>
  <si>
    <t>WG_0018_ST_TXT_0001</t>
  </si>
  <si>
    <t>Vergleich auf Projektebene</t>
  </si>
  <si>
    <t>WG_0018_ST_TXT_0002</t>
  </si>
  <si>
    <t>Vergleich auf Ebene RE HKA FK</t>
  </si>
  <si>
    <t>WG_0018_ST_TXT_0003</t>
  </si>
  <si>
    <t>Vergleich auf Ebene RE HKA FK Beteiligungen</t>
  </si>
  <si>
    <t>WG_0018_T_TXT_0001</t>
  </si>
  <si>
    <t>BKM IP Vergleich Planungen</t>
  </si>
  <si>
    <t>WG_0019_ST_TXT_0001</t>
  </si>
  <si>
    <t>EKP Entwicklung Projekt</t>
  </si>
  <si>
    <t>WG_0019_ST_TXT_0002</t>
  </si>
  <si>
    <t>EKP Entwicklung nach FK</t>
  </si>
  <si>
    <t>WG_0019_ST_TXT_0003</t>
  </si>
  <si>
    <t>EKP Entwicklung nach HKA</t>
  </si>
  <si>
    <t>WG_0019_ST_TXT_0004</t>
  </si>
  <si>
    <t>EKP Entwicklung nach FK Beteiligungen</t>
  </si>
  <si>
    <t>WG_0019_ST_TXT_0005</t>
  </si>
  <si>
    <t>EKP Entwicklung nach HKA Beteiligungen</t>
  </si>
  <si>
    <t>WG_0019_T_TXT_0001</t>
  </si>
  <si>
    <t>BKM EKP Entwicklung</t>
  </si>
  <si>
    <t>WG_0019_T_TXT_0002</t>
  </si>
  <si>
    <t>Budgetzyklen:</t>
  </si>
  <si>
    <t>WG_0020_GT_TXT_0001</t>
  </si>
  <si>
    <t>Teilergebnis</t>
  </si>
  <si>
    <t>WG_0020_ST_TXT_0001</t>
  </si>
  <si>
    <t>Beschaffungsliste</t>
  </si>
  <si>
    <t>WG_0020_TXT_0001</t>
  </si>
  <si>
    <t>Vertrag Preisbasis</t>
  </si>
  <si>
    <t>WG_0020_TXT_0002</t>
  </si>
  <si>
    <t>Nachtrag Preisbasis</t>
  </si>
  <si>
    <t>WG_0020_T_TXT_0001</t>
  </si>
  <si>
    <t>BKM Beschaffungen projektübergreifend</t>
  </si>
  <si>
    <t>WG_0021_GT_TXT_0001</t>
  </si>
  <si>
    <t>Freihändig</t>
  </si>
  <si>
    <t>WG_0021_GT_TXT_0001_ABK</t>
  </si>
  <si>
    <t>DL</t>
  </si>
  <si>
    <t>WG_0021_GT_TXT_0002_ABK</t>
  </si>
  <si>
    <t>Bau</t>
  </si>
  <si>
    <t>WG_0021_GT_TXT_0003_ABK</t>
  </si>
  <si>
    <t>Lief</t>
  </si>
  <si>
    <t>WG_0021_GT_TXT_0004_ABK</t>
  </si>
  <si>
    <t>Sonst.</t>
  </si>
  <si>
    <t>WG_0021_ST_TXT_0001</t>
  </si>
  <si>
    <t>Beschaffungen je Bereich</t>
  </si>
  <si>
    <t>WG_0021_ST_TXT_0002</t>
  </si>
  <si>
    <t>Beschaffungen je Filiale</t>
  </si>
  <si>
    <t>WG_0021_ST_TXT_0003</t>
  </si>
  <si>
    <t>Bericht 2</t>
  </si>
  <si>
    <t>WG_0021_T_TXT_0001</t>
  </si>
  <si>
    <t>BKM Beschaffungen nach Verfahren</t>
  </si>
  <si>
    <t>WG_0023_GT_TXT_0001</t>
  </si>
  <si>
    <t>Einladung</t>
  </si>
  <si>
    <t>WG_0023_GT_TXT_0002</t>
  </si>
  <si>
    <t>Freihändig*</t>
  </si>
  <si>
    <t>WG_0023_GT_TXT_0003</t>
  </si>
  <si>
    <t>Offen</t>
  </si>
  <si>
    <t>WG_0023_GT_TXT_0004</t>
  </si>
  <si>
    <t>Landerwerb</t>
  </si>
  <si>
    <t>WG_0023_GT_TXT_0005</t>
  </si>
  <si>
    <t>Selektiv</t>
  </si>
  <si>
    <t>WG_0023_GT_TXT_0006</t>
  </si>
  <si>
    <t>Bund/Kanton/Gemeinde</t>
  </si>
  <si>
    <t>WG_0023_GT_TXT_0007</t>
  </si>
  <si>
    <t>Diverse** (nicht beschaffungsrelevant)</t>
  </si>
  <si>
    <t>WG_0023_GT_TXT_0008</t>
  </si>
  <si>
    <t>**z.B. In State Vertragsabschlüsse, Landerwerb</t>
  </si>
  <si>
    <t>WG_0023_ST_TXT_0001</t>
  </si>
  <si>
    <t>ASTRA - alle Filialen</t>
  </si>
  <si>
    <t>WG_0023_ST_TXT_0002</t>
  </si>
  <si>
    <t>WG_0023_ST_TXT_0003</t>
  </si>
  <si>
    <t>Filiale Estavayer</t>
  </si>
  <si>
    <t>WG_0023_ST_TXT_0004</t>
  </si>
  <si>
    <t>Filiale Thun</t>
  </si>
  <si>
    <t>WG_0023_ST_TXT_0005</t>
  </si>
  <si>
    <t>Filiale Zofingen</t>
  </si>
  <si>
    <t>WG_0023_ST_TXT_0006</t>
  </si>
  <si>
    <t>Filiale Winterthur</t>
  </si>
  <si>
    <t>WG_0023_ST_TXT_0007</t>
  </si>
  <si>
    <t>Filiale Bellinzona</t>
  </si>
  <si>
    <t>WG_0023_ST_TXT_0008</t>
  </si>
  <si>
    <t>Lieferungen</t>
  </si>
  <si>
    <t>WG_0023_ST_TXT_0009</t>
  </si>
  <si>
    <t>WG_0023_T_TXT_0001</t>
  </si>
  <si>
    <t>BKM Beschaffungen Cockpit Amt</t>
  </si>
  <si>
    <t>WG_0024_ST_TXT_0001</t>
  </si>
  <si>
    <t>IP Vertrag</t>
  </si>
  <si>
    <t>WG_0024_ST_TXT_0002</t>
  </si>
  <si>
    <t>VAK Leistungsabgrenzung</t>
  </si>
  <si>
    <t>WG_0024_ST_TXT_0003</t>
  </si>
  <si>
    <t>IP Zusammenfassung</t>
  </si>
  <si>
    <t>WG_0024_ST_TXT_0004</t>
  </si>
  <si>
    <t>IP Vertrag Beteiligungen</t>
  </si>
  <si>
    <t>WG_0024_T_TXT_0001</t>
  </si>
  <si>
    <t>BKM IP Vertrag</t>
  </si>
  <si>
    <t>WG_0024_T_TXT_0002</t>
  </si>
  <si>
    <t>Summe IPV:</t>
  </si>
  <si>
    <t>WG_0024_T_TXT_0003</t>
  </si>
  <si>
    <t>Gesamtsumme IPV:</t>
  </si>
  <si>
    <t>WG_0024_T_TXT_0004</t>
  </si>
  <si>
    <t>Summe Verträge:</t>
  </si>
  <si>
    <t>WG_0024_T_TXT_0005</t>
  </si>
  <si>
    <t>Differenz IPV zu IP auf Verträgen</t>
  </si>
  <si>
    <t>WG_0024_T_TXT_0006</t>
  </si>
  <si>
    <t>MU2</t>
  </si>
  <si>
    <t>WG_0024_T_TXT_0007</t>
  </si>
  <si>
    <t>MU3</t>
  </si>
  <si>
    <t>WG_0024_T_TXT_0008</t>
  </si>
  <si>
    <t>MU4</t>
  </si>
  <si>
    <t>WG_0024_T_TXT_0009</t>
  </si>
  <si>
    <t>MU5</t>
  </si>
  <si>
    <t>WG_0024_T_TXT_0010</t>
  </si>
  <si>
    <t>MU6</t>
  </si>
  <si>
    <t>WG_0024_T_TXT_0011</t>
  </si>
  <si>
    <t>MU7</t>
  </si>
  <si>
    <t>WG_0024_T_TXT_0012</t>
  </si>
  <si>
    <t>Gesamtsumme Verträge:</t>
  </si>
  <si>
    <t>WG_0027_ST_TXT_0001</t>
  </si>
  <si>
    <t>ARGE Übersicht Verträge</t>
  </si>
  <si>
    <t>WG_0027_ST_TXT_0002</t>
  </si>
  <si>
    <t>ARGE Übersicht Rechnungen</t>
  </si>
  <si>
    <t>WG_0027_ST_TXT_0003</t>
  </si>
  <si>
    <t>Einzelfirmen</t>
  </si>
  <si>
    <t>WG_0027_ST_TXT_0004</t>
  </si>
  <si>
    <t>ARGE Verträge Detail</t>
  </si>
  <si>
    <t>WG_0027_ST_TXT_0005</t>
  </si>
  <si>
    <t>Einzelfirmen inkl. ARGE Anteile</t>
  </si>
  <si>
    <t>WG_0027_T_TXT_0001</t>
  </si>
  <si>
    <t>BKM Kreditoren inkl. ARGE</t>
  </si>
  <si>
    <t>WG_0033_GT_TXT_0001</t>
  </si>
  <si>
    <t>spez. Phase</t>
  </si>
  <si>
    <t>WG_0033_ST_TXT_0001</t>
  </si>
  <si>
    <t>EKP nach FK</t>
  </si>
  <si>
    <t>WG_0033_ST_TXT_0002</t>
  </si>
  <si>
    <t>EKP nach HKA</t>
  </si>
  <si>
    <t>WG_0033_T_TXT_0001</t>
  </si>
  <si>
    <t>BKM Endkostenprognose</t>
  </si>
  <si>
    <t>WG_0035_ST_TXT_0001</t>
  </si>
  <si>
    <t>Projektstruktur Unterschrift</t>
  </si>
  <si>
    <t>WG_0035_ST_TXT_0002</t>
  </si>
  <si>
    <t>Z-Tabelle</t>
  </si>
  <si>
    <t>WG_0035_ST_TXT_0003</t>
  </si>
  <si>
    <t>Projektstruktur mit IO PDF</t>
  </si>
  <si>
    <t>WG_0035_ST_TXT_0004</t>
  </si>
  <si>
    <t>Projektstruktur mit IO Excel</t>
  </si>
  <si>
    <t>WG_0035_ST_TXT_0005</t>
  </si>
  <si>
    <t>Projektstruktur mit IO und BKA PDF</t>
  </si>
  <si>
    <t>WG_0035_ST_TXT_0006</t>
  </si>
  <si>
    <t>Projektstruktur mit IO und BKA Excel</t>
  </si>
  <si>
    <t>WG_0035_TXT_T_0001</t>
  </si>
  <si>
    <t>BKM Kostenstellenstruktur Projektebene</t>
  </si>
  <si>
    <t>WG_0036_GT_TXT_0001</t>
  </si>
  <si>
    <t>Anteil Finanzierungskonto</t>
  </si>
  <si>
    <t>WG_0036_GT_TXT_0002</t>
  </si>
  <si>
    <t>WG_0036_GT_TXT_0003</t>
  </si>
  <si>
    <t>Kostenarten</t>
  </si>
  <si>
    <t>WG_0036_ST_TXT_0001</t>
  </si>
  <si>
    <t>Vertrag mit Kostenstellen</t>
  </si>
  <si>
    <t>WG_0036_T_TXT_0001</t>
  </si>
  <si>
    <t>Vertragskontierung mit BKA</t>
  </si>
  <si>
    <t>WG_0036_T_TXT_0002</t>
  </si>
  <si>
    <t>*bei Sammelverträgen gilt Vertragsvolumen = Zahlungen</t>
  </si>
  <si>
    <t>WG_0042_ST_TXT_0002</t>
  </si>
  <si>
    <t>VAK inkl. Mutationen</t>
  </si>
  <si>
    <t>WG_0042_ST_TXT_0003</t>
  </si>
  <si>
    <t>VAK Ursprünglich + Abgrenzungen</t>
  </si>
  <si>
    <t>WG_0042_ST_TXT_0004</t>
  </si>
  <si>
    <t>VAK Mutationen</t>
  </si>
  <si>
    <t>WG_0042_TXT_0001</t>
  </si>
  <si>
    <t>WG_0042_TXT_0002</t>
  </si>
  <si>
    <t>WG_0042_TXT_0003</t>
  </si>
  <si>
    <t>WG_0042_TXT_0004</t>
  </si>
  <si>
    <t>Genehmigt FC</t>
  </si>
  <si>
    <t>WG_0042_TXT_0005</t>
  </si>
  <si>
    <t>Genehmigt BL IC</t>
  </si>
  <si>
    <t>WG_0042_TXT_0006</t>
  </si>
  <si>
    <t>Übertragen F-ICP</t>
  </si>
  <si>
    <t>WG_0042_TXT_0007</t>
  </si>
  <si>
    <t>nicht genehmigt</t>
  </si>
  <si>
    <t>WG_0042_T_TXT_0001</t>
  </si>
  <si>
    <t>BKM VAK projektübergreifend</t>
  </si>
  <si>
    <t>WG_0044_ST_TXT_0001</t>
  </si>
  <si>
    <t>VAK Mutationen nach FK</t>
  </si>
  <si>
    <t>WG_0044_ST_TXT_0002</t>
  </si>
  <si>
    <t>VAK Gesamt nach FK</t>
  </si>
  <si>
    <t>WG_0044_T_TXT_0001</t>
  </si>
  <si>
    <t>VAK projektübergreifend nach FK</t>
  </si>
  <si>
    <t>WG_0045_GT_TXT_0001</t>
  </si>
  <si>
    <t>VAK Summe nicht freigegeben</t>
  </si>
  <si>
    <t>WG_0045_GT_TXT_0002</t>
  </si>
  <si>
    <t>VAK Ursprünglich</t>
  </si>
  <si>
    <t>WG_0045_GT_TXT_0003</t>
  </si>
  <si>
    <t>VAK Abgrenzung - Rg GJ LZ Vorjahr</t>
  </si>
  <si>
    <t>WG_0045_GT_TXT_0004</t>
  </si>
  <si>
    <t>VAK Ursprünglich + Mutationen - Rg GJ</t>
  </si>
  <si>
    <t>WG_0045_GT_TXT_0005</t>
  </si>
  <si>
    <t>MU aktuell - MU Vorperiode</t>
  </si>
  <si>
    <t>WG_0045_GT_TXT_0006</t>
  </si>
  <si>
    <t>MU aktuell - VAK</t>
  </si>
  <si>
    <t>WG_0045_GT_TXT_0007</t>
  </si>
  <si>
    <t>MU aktuell - Rg</t>
  </si>
  <si>
    <t>WG_0045_GT__TXT_0001</t>
  </si>
  <si>
    <t>VAK Summe nicht freigegeben(LÖSCHEN)</t>
  </si>
  <si>
    <t>WG_0045_ST_TXT_0001</t>
  </si>
  <si>
    <t>PL Projekt</t>
  </si>
  <si>
    <t>WG_0045_ST_TXT_0002</t>
  </si>
  <si>
    <t>Bereich Filiale</t>
  </si>
  <si>
    <t>WG_0045_ST_TXT_0003</t>
  </si>
  <si>
    <t>Abteilung Amt</t>
  </si>
  <si>
    <t>WG_0045_T_TXT_0001</t>
  </si>
  <si>
    <t>VAK Übersicht mit Prognose</t>
  </si>
  <si>
    <t>WG_0051_ST_TXT_0001</t>
  </si>
  <si>
    <t>Obligos</t>
  </si>
  <si>
    <t>WG_0051_T_TXT_0001</t>
  </si>
  <si>
    <t>Inventarobjekte Projekt</t>
  </si>
  <si>
    <t>WG_0052_GT_TXT_0001</t>
  </si>
  <si>
    <t>Projektübersicht Jahres- und Gesamtsicht</t>
  </si>
  <si>
    <t>WG_0052_ST_TXT_0001</t>
  </si>
  <si>
    <t>Cockpit VAK</t>
  </si>
  <si>
    <t>WG_0052_T_TXT_0001</t>
  </si>
  <si>
    <t>BKM Projektübersicht Filiale</t>
  </si>
  <si>
    <t>WG_0052_T_TXT_0002</t>
  </si>
  <si>
    <t>Farblegende der Bewertungen</t>
  </si>
  <si>
    <t>WG_0055_ST_TXT_0001</t>
  </si>
  <si>
    <t>Leistungssicht</t>
  </si>
  <si>
    <t>WG_0055_T_TXT_0001</t>
  </si>
  <si>
    <t>BKM IP projektübergreifend</t>
  </si>
  <si>
    <t>WG_0056_ST_TXT_0001</t>
  </si>
  <si>
    <t>WG_0056_ST_TXT_0002</t>
  </si>
  <si>
    <t>Vertragssumme aus KM mit BKA</t>
  </si>
  <si>
    <t>WG_0056_ST_TXT_0003</t>
  </si>
  <si>
    <t>Rechnungen</t>
  </si>
  <si>
    <t>WG_0056_ST_TXT_0004</t>
  </si>
  <si>
    <t>Rechnungen - IO</t>
  </si>
  <si>
    <t>WG_0056_ST_TXT_0005</t>
  </si>
  <si>
    <t>Rechnungen - IO bebucht</t>
  </si>
  <si>
    <t>WG_0056_TXT_0001</t>
  </si>
  <si>
    <t>Farblegende:</t>
  </si>
  <si>
    <t>WG_0056_TXT_0002</t>
  </si>
  <si>
    <t>Betrag KV akt. &gt; Vertr.</t>
  </si>
  <si>
    <t>WG_0056_TXT_0003</t>
  </si>
  <si>
    <t>Betrag KV akt. &lt; Vertr.</t>
  </si>
  <si>
    <t>WG_0056_TXT_0004</t>
  </si>
  <si>
    <t>Rng Betr. &gt; Vertr. Betr.</t>
  </si>
  <si>
    <t>WG_0056_T_TXT_0001</t>
  </si>
  <si>
    <t>BKM KV Kostenstellenbericht</t>
  </si>
  <si>
    <t>WG_0063_ST_TXT_0001</t>
  </si>
  <si>
    <t>Abstimmung SAP Gesamt</t>
  </si>
  <si>
    <t>WG_0063_ST_TXT_0002</t>
  </si>
  <si>
    <t>Abstimmung pro Projekt</t>
  </si>
  <si>
    <t>WG_0063_ST_TXT_0003</t>
  </si>
  <si>
    <t>Abstimmung je FK</t>
  </si>
  <si>
    <t>WG_0063_T_TXT_0001</t>
  </si>
  <si>
    <t>BKM Aktivierungen AiB</t>
  </si>
  <si>
    <t>WG_0065_ST_TXT_0001</t>
  </si>
  <si>
    <t>Inventarobjekte für Aktivierung</t>
  </si>
  <si>
    <t>WG_0065_ST_TXT_0002</t>
  </si>
  <si>
    <t>Seite pro Projekt</t>
  </si>
  <si>
    <t>WG_0065_ST_TXT_0003</t>
  </si>
  <si>
    <t>Zusammenfassung</t>
  </si>
  <si>
    <t>WG_0065_ST_TXT_0004</t>
  </si>
  <si>
    <t>Struktur</t>
  </si>
  <si>
    <t>WG_0065_ST_TXT_0005</t>
  </si>
  <si>
    <t>IO in Struktur</t>
  </si>
  <si>
    <t>WG_0065_TXT_0001</t>
  </si>
  <si>
    <t>Objekte</t>
  </si>
  <si>
    <t>WG_0065_TXT_0002</t>
  </si>
  <si>
    <t>Total Bericht</t>
  </si>
  <si>
    <t>WG_0065_TXT_0003</t>
  </si>
  <si>
    <t>erreicht am:</t>
  </si>
  <si>
    <t>WG_0065_T_TXT_0001</t>
  </si>
  <si>
    <t>BKM Aktivierungen Kostenstellenbericht</t>
  </si>
  <si>
    <t>WG_0068_ST_TXT_0001</t>
  </si>
  <si>
    <t>Rechnungen nach FK und HKA</t>
  </si>
  <si>
    <t>WG_0068_ST_TXT_0002</t>
  </si>
  <si>
    <t>Rechnungen nach FK</t>
  </si>
  <si>
    <t>WG_0068_ST_TXT_0003</t>
  </si>
  <si>
    <t>Rechnungen nach HKA</t>
  </si>
  <si>
    <t>WG_0068_ST_TXT_0004</t>
  </si>
  <si>
    <t>Grafiken nach Anlageklassen</t>
  </si>
  <si>
    <t>WG_0068_T_TXT_0001</t>
  </si>
  <si>
    <t>BKM Aktivierungen Anlageklassen Rechnung</t>
  </si>
  <si>
    <t>WG_0069_ST_TXT_0001</t>
  </si>
  <si>
    <t>Abgrenzung Verträge</t>
  </si>
  <si>
    <t>WG_0069_ST_TXT_0002</t>
  </si>
  <si>
    <t>Abgrenzung Projekte</t>
  </si>
  <si>
    <t>WG_0069_ST_TXT_0003</t>
  </si>
  <si>
    <t>Kontrolle RE</t>
  </si>
  <si>
    <t>WG_0069_ST_TXT_0004</t>
  </si>
  <si>
    <t>Abgrenzung VAK</t>
  </si>
  <si>
    <t>WG_0069_T_TXT_0001</t>
  </si>
  <si>
    <t>BKM Leistungsabgrenzung Verträge</t>
  </si>
  <si>
    <t>WG_0073_ST_TXT_0001</t>
  </si>
  <si>
    <t>IP Stufe Filiale</t>
  </si>
  <si>
    <t>WG_0073_ST_TXT_0002</t>
  </si>
  <si>
    <t>IP Stufe Filiale Beteiligungen</t>
  </si>
  <si>
    <t>WG_0073_ST_TXT_0003</t>
  </si>
  <si>
    <t>Investitionsplanung HKA</t>
  </si>
  <si>
    <t>WG_0073_ST_TXT_0004</t>
  </si>
  <si>
    <t>Investitionsplanung HKA mit FK</t>
  </si>
  <si>
    <t>WG_0073_ST_TXT_0005</t>
  </si>
  <si>
    <t>ASTRA mit FK und HKA</t>
  </si>
  <si>
    <t>WG_0073_T_TXT_0001</t>
  </si>
  <si>
    <t>BKM IP Filiale</t>
  </si>
  <si>
    <t>WG_0074_ST_TXT_0001</t>
  </si>
  <si>
    <t>IO bebucht</t>
  </si>
  <si>
    <t>WG_0074_T_TXT_0001</t>
  </si>
  <si>
    <t>WG_0075_ST_TXT_0001</t>
  </si>
  <si>
    <t>IO nach Bauwerksarten</t>
  </si>
  <si>
    <t>WG_0075_ST_TXT_0002</t>
  </si>
  <si>
    <t>IO nach BA und Projekt</t>
  </si>
  <si>
    <t>WG_0075_ST_TXT_0003</t>
  </si>
  <si>
    <t>Kosten pro Kanton</t>
  </si>
  <si>
    <t>WG_0075_T_TXT_0001</t>
  </si>
  <si>
    <t>BKM Inventarobjekte Kostenstellenbericht</t>
  </si>
  <si>
    <t>WG_0076_ST_TXT_0001</t>
  </si>
  <si>
    <t>MIS ASTRA</t>
  </si>
  <si>
    <t>WG_0076_ST_TXT_0002</t>
  </si>
  <si>
    <t>MIS Filialen</t>
  </si>
  <si>
    <t>WG_0076_ST_TXT_0003</t>
  </si>
  <si>
    <t>MIS Projektebene nach FK</t>
  </si>
  <si>
    <t>WG_0076_ST_TXT_0004</t>
  </si>
  <si>
    <t>MIS Projektebene</t>
  </si>
  <si>
    <t>WG_0076_ST_TXT_0005</t>
  </si>
  <si>
    <t>MIS Projektebene mit FK</t>
  </si>
  <si>
    <t>WG_0076_ST_TXT_0006</t>
  </si>
  <si>
    <t>MIS Projektebene mit FK und HKA</t>
  </si>
  <si>
    <t>WG_0076_ST_TXT_0007</t>
  </si>
  <si>
    <t>MIS Projektebene mit FK B</t>
  </si>
  <si>
    <t>WG_0076_ST_TXT_0008</t>
  </si>
  <si>
    <t>MIS nach Projektleiter</t>
  </si>
  <si>
    <t>WG_0076_ST_TXT_0009</t>
  </si>
  <si>
    <t>MIS nach Kanton</t>
  </si>
  <si>
    <t>WG_0076_T_TXT_0001</t>
  </si>
  <si>
    <t>BKM MIS Projektübersicht</t>
  </si>
  <si>
    <t>WG_0077_ST_TXT_0001</t>
  </si>
  <si>
    <t>Nachaktivierungen</t>
  </si>
  <si>
    <t>WG_0077_T_TXT_0001</t>
  </si>
  <si>
    <t>BKM Nachaktivierungen</t>
  </si>
  <si>
    <t>WG_0078_ST_TXT_0001</t>
  </si>
  <si>
    <t>Projektübersicht mit FK</t>
  </si>
  <si>
    <t>WG_0078_ST_TXT_0002</t>
  </si>
  <si>
    <t>Investitionsplanung mit FK</t>
  </si>
  <si>
    <t>WG_0078_ST_TXT_0003</t>
  </si>
  <si>
    <t>VAK mit FK</t>
  </si>
  <si>
    <t>WG_0078_T_TXT_0001</t>
  </si>
  <si>
    <t>BKM Projektübersicht mit Details</t>
  </si>
  <si>
    <t>WG_0081_ST_TXT_0001</t>
  </si>
  <si>
    <t>Übersicht Projekte</t>
  </si>
  <si>
    <t>WG_0081_ST_TXT_0002</t>
  </si>
  <si>
    <t>Übersicht Filialen</t>
  </si>
  <si>
    <t>WG_0081_ST_TXT_0003</t>
  </si>
  <si>
    <t>Übersicht ASTRA</t>
  </si>
  <si>
    <t>WG_0081_T_TXT_0001</t>
  </si>
  <si>
    <t>BKM Projektübersicht Filialen mit VAK Auslastung</t>
  </si>
  <si>
    <t>WG_0082_GT_TXT_0001</t>
  </si>
  <si>
    <t>VE/Amt</t>
  </si>
  <si>
    <t>WG_0082_GT_TXT_0002</t>
  </si>
  <si>
    <t>UVEK</t>
  </si>
  <si>
    <t>WG_0082_GT_TXT_0003</t>
  </si>
  <si>
    <t>WG_0082_GT_TXT_0004</t>
  </si>
  <si>
    <t>Leistungsumfang, bzw. PH vorhanden</t>
  </si>
  <si>
    <t>WG_0082_ST_TXT_0001</t>
  </si>
  <si>
    <t>Finanzdelegation</t>
  </si>
  <si>
    <t>WG_0082_T_TXT_0001</t>
  </si>
  <si>
    <t>BKM Vertragsliste RDL</t>
  </si>
  <si>
    <t>WG_0085_ST_TXT_0001</t>
  </si>
  <si>
    <t>Situation Rechnungen</t>
  </si>
  <si>
    <t>WG_0085_T_TXT_0001</t>
  </si>
  <si>
    <t>BKM Verträge nach Kostenstellen</t>
  </si>
  <si>
    <t>WG_0090_GT_TXT_0001</t>
  </si>
  <si>
    <t>Klassierung</t>
  </si>
  <si>
    <t>WG_0090_GT_TXT_0002</t>
  </si>
  <si>
    <t>bezahlt</t>
  </si>
  <si>
    <t>WG_0090_GT_TXT_0003</t>
  </si>
  <si>
    <t>Die Fristbeurteilung erfolgt am Buchungsdatum SAP.</t>
  </si>
  <si>
    <t>WG_0090_GT_TXT_0004</t>
  </si>
  <si>
    <t>Die Frist ermittelt sich aus den Tagen zwischen</t>
  </si>
  <si>
    <t>WG_0090_GT_TXT_0005</t>
  </si>
  <si>
    <t>[Buchungsdatum Rechnung] und [Zahlungsdatum Rechnung].</t>
  </si>
  <si>
    <t>WG_0090_GT_TXT_0006</t>
  </si>
  <si>
    <t>Entwicklung der effektiven Zahlungsfristen über alle Rng.</t>
  </si>
  <si>
    <t>WG_0090_GT_TXT_0007</t>
  </si>
  <si>
    <t>des GJnach Datum gezahlt / pro Woche, überlagert</t>
  </si>
  <si>
    <t>WG_0090_GT_TXT_0008</t>
  </si>
  <si>
    <t>mit den zugehörigen Zahlungsmengen</t>
  </si>
  <si>
    <t>WG_0090_ST_TXT_0001</t>
  </si>
  <si>
    <t>WG_0090_ST_TXT_0002</t>
  </si>
  <si>
    <t>Fristentwicklung</t>
  </si>
  <si>
    <t>WG_0090_ST_TXT_0003</t>
  </si>
  <si>
    <t>Zahlungsmonitor</t>
  </si>
  <si>
    <t>WG_0090_T_TXT_0001</t>
  </si>
  <si>
    <t>BKM Zahlungsmonitor</t>
  </si>
  <si>
    <t>WG_0095_ST_TXT_0001</t>
  </si>
  <si>
    <t>Ebene Finanzierungskonto</t>
  </si>
  <si>
    <t>WG_0095_ST_TXT_0002</t>
  </si>
  <si>
    <t>Ebene Rechnung</t>
  </si>
  <si>
    <t>WG_0095_TXT_0001</t>
  </si>
  <si>
    <t>Rechnungen offen</t>
  </si>
  <si>
    <t>WG_0095_TXT_0002</t>
  </si>
  <si>
    <t>Abrechnungskontrolle nach Vertrag</t>
  </si>
  <si>
    <t>WG_0095_TXT_0003</t>
  </si>
  <si>
    <t>Grundvertrags-volumen</t>
  </si>
  <si>
    <t>WG_0095_TXT_0004</t>
  </si>
  <si>
    <t>Nachtrags-volumen</t>
  </si>
  <si>
    <t>WG_0095_TXT_0005</t>
  </si>
  <si>
    <t>Vertrags-volumen</t>
  </si>
  <si>
    <t>WG_0095_T_TXT_0001</t>
  </si>
  <si>
    <t>BKM Verträge Gesamtvertragslast mit Status</t>
  </si>
  <si>
    <t>WG_0097_GT_TXT_0001</t>
  </si>
  <si>
    <t>Summe IP</t>
  </si>
  <si>
    <t>WG_0097_GT_TXT_0002</t>
  </si>
  <si>
    <t>Teilergebnis (berechnet)</t>
  </si>
  <si>
    <t>WG_0097_GT_TXT_0003</t>
  </si>
  <si>
    <t>Vorgabe</t>
  </si>
  <si>
    <t>WG_0097_GT_TXT_0004</t>
  </si>
  <si>
    <t>(eingegeben)</t>
  </si>
  <si>
    <t>WG_0097_GT_TXT_0005</t>
  </si>
  <si>
    <t>IP Abs.</t>
  </si>
  <si>
    <t>WG_0097_GT_TXT_0006</t>
  </si>
  <si>
    <t>Prognose Finanzen</t>
  </si>
  <si>
    <t>WG_0097_GT_TXT_0007</t>
  </si>
  <si>
    <t>Abweichnung</t>
  </si>
  <si>
    <t>WG_0097_GT_TXT_0008</t>
  </si>
  <si>
    <t>Teil IC</t>
  </si>
  <si>
    <t>WG_0097_GT_TXT_0009</t>
  </si>
  <si>
    <t>Überhang</t>
  </si>
  <si>
    <t>WG_0097_GT_TXT_0010</t>
  </si>
  <si>
    <t>WG_0097_GT_TXT_0011</t>
  </si>
  <si>
    <t>WG_0097_GT_TXT_0012</t>
  </si>
  <si>
    <t>Rechnungs-summe bis Ende Vorjahr</t>
  </si>
  <si>
    <t>WG_0097_GT_TXT_0013</t>
  </si>
  <si>
    <t>Rechnungs-summe gebucht</t>
  </si>
  <si>
    <t>WG_0097_GT_TXT_0015</t>
  </si>
  <si>
    <t>WG_0097_GT_TXT_0017</t>
  </si>
  <si>
    <t>Teil PM</t>
  </si>
  <si>
    <t>WG_0097_GT_TXT_0018</t>
  </si>
  <si>
    <t>WG_0097_GT_TXT_0019</t>
  </si>
  <si>
    <t>Projekübersicht Jahres- und Gesamfinanzübersicht</t>
  </si>
  <si>
    <t>WG_0097_GT_TXT_0020</t>
  </si>
  <si>
    <t>Rückbehalt</t>
  </si>
  <si>
    <t>WG_0097_GT_TXT_0021</t>
  </si>
  <si>
    <t>Rng Total Ende Vorj.</t>
  </si>
  <si>
    <t>WG_0097_GT_TXT_0022</t>
  </si>
  <si>
    <t>WG_0097_GT_TXT_0023</t>
  </si>
  <si>
    <t>Rechnung</t>
  </si>
  <si>
    <t>WG_0097_GT_TXT_0024</t>
  </si>
  <si>
    <t>WG_0097_GT_TXT_0025</t>
  </si>
  <si>
    <t>WG_0097_GT_TXT_0026</t>
  </si>
  <si>
    <t>aktuell</t>
  </si>
  <si>
    <t>WG_0097_GT_TXT_0027</t>
  </si>
  <si>
    <t>WG_0097_GT_TXT_0028</t>
  </si>
  <si>
    <t>Kumuliert</t>
  </si>
  <si>
    <t>WG_0097_GT_TXT_0029</t>
  </si>
  <si>
    <t>WG_0097_GT_TXT_0030</t>
  </si>
  <si>
    <t>Differenz zu aktueller MU</t>
  </si>
  <si>
    <t>WG_0097_ST_TXT_0001</t>
  </si>
  <si>
    <t>IP mit Details</t>
  </si>
  <si>
    <t>WG_0097_ST_TXT_0002</t>
  </si>
  <si>
    <t>IP ohne Details</t>
  </si>
  <si>
    <t>WG_0097_ST_TXT_0003</t>
  </si>
  <si>
    <t>IP mit VAK Prognose</t>
  </si>
  <si>
    <t>WG_0097_ST_TXT_0004</t>
  </si>
  <si>
    <t>IP mit Trendentwicklung</t>
  </si>
  <si>
    <t>WG_0097_T_TXT_0001</t>
  </si>
  <si>
    <t>BKM IP Leistungssicht Filiale</t>
  </si>
  <si>
    <t>WG_0100_ST_TXT_0001</t>
  </si>
  <si>
    <t>WG_0100_ST_TXT_0002</t>
  </si>
  <si>
    <t>VAK-Planung</t>
  </si>
  <si>
    <t>WG_0100_ST_TXT_0003</t>
  </si>
  <si>
    <t>Obligos pro Vertrag</t>
  </si>
  <si>
    <t>WG_0100_ST_TXT_0004</t>
  </si>
  <si>
    <t>Verpflicht.kredite-Obligos</t>
  </si>
  <si>
    <t>WG_0100_T_TXT_0001</t>
  </si>
  <si>
    <t>BKM Obligos</t>
  </si>
  <si>
    <t>WG_0100_T_TXT_0002</t>
  </si>
  <si>
    <t>Planung Prognose</t>
  </si>
  <si>
    <t>WG_0105_ST_TXT_0001</t>
  </si>
  <si>
    <t>KV Antrag</t>
  </si>
  <si>
    <t>WG_0105_ST_TXT_0002</t>
  </si>
  <si>
    <t>KV Antrag Details</t>
  </si>
  <si>
    <t>WG_0105_ST_TXT_0003</t>
  </si>
  <si>
    <t>KV Übersicht IO</t>
  </si>
  <si>
    <t>WG_0105_ST_TXT_0004</t>
  </si>
  <si>
    <t>Auswertung Genehmigungsplan</t>
  </si>
  <si>
    <t>WG_0105_ST_TXT_0005</t>
  </si>
  <si>
    <t>Details KV mit Fiko%</t>
  </si>
  <si>
    <t>WG_0105_ST_TXT_0006</t>
  </si>
  <si>
    <t>Kreditübersicht</t>
  </si>
  <si>
    <t>WG_0105_ST_TXT_0007</t>
  </si>
  <si>
    <t>KV Kredit alle Phasen</t>
  </si>
  <si>
    <t>WG_0105_ST_TXT_0008</t>
  </si>
  <si>
    <t>KV Übersicht PSP</t>
  </si>
  <si>
    <t>WG_0105_ST_TXT_0009</t>
  </si>
  <si>
    <t>Details (technisch)</t>
  </si>
  <si>
    <t>WG_0105_T_TXT_0001</t>
  </si>
  <si>
    <t>BKM KV Genehmigung</t>
  </si>
  <si>
    <t>WG_0109_T_TXT_0001</t>
  </si>
  <si>
    <t>BKM Vertragsanalyse nach Kanton</t>
  </si>
  <si>
    <t>WG_0113_GT_TXT_0001</t>
  </si>
  <si>
    <t>% Anzahl Nachträge/Verträge</t>
  </si>
  <si>
    <t>WG_0113_ST_TXT_0001</t>
  </si>
  <si>
    <t>Nachträge gemäss Zeitintervall</t>
  </si>
  <si>
    <t>WG_0113_ST_TXT_0002</t>
  </si>
  <si>
    <t>Verträge gemäss Zeitintervall</t>
  </si>
  <si>
    <t>WG_0113_ST_TXT_0003</t>
  </si>
  <si>
    <t>WG_0113_ST_TXT_0004</t>
  </si>
  <si>
    <t>% Nachtragsvolumen / Vertragsvolumen</t>
  </si>
  <si>
    <t>WG_0113_ST_TXT_0005</t>
  </si>
  <si>
    <t>Auswertung im Zeitintervall:</t>
  </si>
  <si>
    <t>WG_0113_T_TXT_0001</t>
  </si>
  <si>
    <t>BKM Zielkatalog Auswertung Nachträge</t>
  </si>
  <si>
    <t>WG_0118_ST_TXT_0001</t>
  </si>
  <si>
    <t>WG_0118_ST_TXT_0002</t>
  </si>
  <si>
    <t>Rechnungsübersicht</t>
  </si>
  <si>
    <t>WG_0118_ST_TXT_0003</t>
  </si>
  <si>
    <t>Rechnungsdetails</t>
  </si>
  <si>
    <t>WG_0118_T_TXT_0001</t>
  </si>
  <si>
    <t>BKM Sammelverträge</t>
  </si>
  <si>
    <t>WG_052_ST_TXT_0002</t>
  </si>
  <si>
    <t>Projektübersicht VAK</t>
  </si>
  <si>
    <t>WG_0MLST_USE_MMOO_001</t>
  </si>
  <si>
    <t>WG_1025_ST_TXT_0001</t>
  </si>
  <si>
    <t>Rechnungsdaten</t>
  </si>
  <si>
    <t>WG_1052_ST_TXT_0002</t>
  </si>
  <si>
    <t>Rechnungsnummer:</t>
  </si>
  <si>
    <t>WG_1052_ST_TXT_0003</t>
  </si>
  <si>
    <t>Rechnungsdatum:</t>
  </si>
  <si>
    <t>WG_1052_ST_TXT_0004</t>
  </si>
  <si>
    <t>Leistungszeitraum von:</t>
  </si>
  <si>
    <t>WG_1052_ST_TXT_0005</t>
  </si>
  <si>
    <t>Leistungszeitraum bis:</t>
  </si>
  <si>
    <t>WG_1052_ST_TXT_0006</t>
  </si>
  <si>
    <t>WG_1052_ST_TXT_0007</t>
  </si>
  <si>
    <t>Vertragsgruppierung</t>
  </si>
  <si>
    <t>WG_1052_ST_TXT_0008</t>
  </si>
  <si>
    <t>Schlussrechnung:</t>
  </si>
  <si>
    <t>WG_1052_ST_TXT_0009</t>
  </si>
  <si>
    <t>Währung:</t>
  </si>
  <si>
    <t>WG_1052_ST_TXT_0010</t>
  </si>
  <si>
    <t>Projektdaten</t>
  </si>
  <si>
    <t>WG_1052_ST_TXT_0011</t>
  </si>
  <si>
    <t>Vertragsdaten</t>
  </si>
  <si>
    <t>WG_1052_ST_TXT_0012</t>
  </si>
  <si>
    <t>Vertragsnummer:</t>
  </si>
  <si>
    <t>WG_1052_ST_TXT_0013</t>
  </si>
  <si>
    <t>Beilagen:</t>
  </si>
  <si>
    <t>WG_1052_ST_TXT_0014</t>
  </si>
  <si>
    <t>Anmerkung Schlussrechnung:</t>
  </si>
  <si>
    <t>WG_1052_ST_TXT_0015</t>
  </si>
  <si>
    <t>Zuständige Person Vertrag:</t>
  </si>
  <si>
    <t>WG_1052_ST_TXT_0016</t>
  </si>
  <si>
    <t>Bestellnummer:</t>
  </si>
  <si>
    <t>WG_1052_ST_TXT_0017</t>
  </si>
  <si>
    <t>Vertragssumme inkl. MwSt:</t>
  </si>
  <si>
    <t>WG_1052_ST_TXT_0018</t>
  </si>
  <si>
    <t>Firma:</t>
  </si>
  <si>
    <t>WG_1052_ST_TXT_0019</t>
  </si>
  <si>
    <t>Prüfperson:</t>
  </si>
  <si>
    <t>WG_1052_ST_TXT_0020</t>
  </si>
  <si>
    <t>Email:</t>
  </si>
  <si>
    <t>WG_1052_ST_TXT_0021</t>
  </si>
  <si>
    <t>Stempel / Datum / Unterschrift</t>
  </si>
  <si>
    <t>WG_1052_ST_TXT_0022</t>
  </si>
  <si>
    <t>oder Digitale Signatur</t>
  </si>
  <si>
    <t>WG_1052_ST_TXT_0023</t>
  </si>
  <si>
    <t>Rechnungsbeträge</t>
  </si>
  <si>
    <t>WG_1052_ST_TXT_0024</t>
  </si>
  <si>
    <t>gegliedert nach Vertragsposition</t>
  </si>
  <si>
    <t>WG_1052_ST_TXT_0025_1</t>
  </si>
  <si>
    <t>Rechnung Auftragnehmer mit Einzahlungsschein,</t>
  </si>
  <si>
    <t>WG_1052_ST_TXT_0025_2</t>
  </si>
  <si>
    <t>Massurkunde bzw. Seite mit Gesamtbetrag</t>
  </si>
  <si>
    <t>WG_1052_ST_TXT_0025_3</t>
  </si>
  <si>
    <t>und Unterschriften (SIA 118 Art. 142),</t>
  </si>
  <si>
    <t>WG_1052_ST_TXT_0025_4</t>
  </si>
  <si>
    <t>Regieauftrag inkl. Rapport</t>
  </si>
  <si>
    <t>WG_1052_ST_TXT_0026_1</t>
  </si>
  <si>
    <t>Rechnung Auftragnehmer mit</t>
  </si>
  <si>
    <t>WG_1052_ST_TXT_0026_2</t>
  </si>
  <si>
    <t>Einzahlungsschein, Arbeitsrapporte mit</t>
  </si>
  <si>
    <t>WG_1052_ST_TXT_0026_3</t>
  </si>
  <si>
    <t>Original-Unterschrift der betroffenen</t>
  </si>
  <si>
    <t>WG_1052_ST_TXT_0026_4</t>
  </si>
  <si>
    <t>Person und ihres Vorgesetzten,</t>
  </si>
  <si>
    <t>WG_1052_ST_TXT_0026_5</t>
  </si>
  <si>
    <t>Detail-/Drittbelege für Nebenkosten</t>
  </si>
  <si>
    <t>WG_1052_ST_TXT_0027</t>
  </si>
  <si>
    <t>Ja</t>
  </si>
  <si>
    <t>WG_1052_ST_TXT_0028</t>
  </si>
  <si>
    <t>Nein</t>
  </si>
  <si>
    <t>WG_1052_ST_TXT_0029_1</t>
  </si>
  <si>
    <t>Ausmass ohne Rückbehalt</t>
  </si>
  <si>
    <t>WG_1052_ST_TXT_0029_2</t>
  </si>
  <si>
    <t>AU</t>
  </si>
  <si>
    <t>WG_1052_ST_TXT_0030_1</t>
  </si>
  <si>
    <t>Ausmass / Regie ohne Rückbehalt</t>
  </si>
  <si>
    <t>WG_1052_ST_TXT_0030_2</t>
  </si>
  <si>
    <t>WG_1052_ST_TXT_0030_3</t>
  </si>
  <si>
    <t>RO</t>
  </si>
  <si>
    <t>WG_1052_ST_TXT_0030_4</t>
  </si>
  <si>
    <t>Regie ohne Rückbehalt</t>
  </si>
  <si>
    <t>WG_1052_ST_TXT_0031_1</t>
  </si>
  <si>
    <t>Honorar / Dienstleistungen / Übrige</t>
  </si>
  <si>
    <t>WG_1052_ST_TXT_0031_2</t>
  </si>
  <si>
    <t>DI</t>
  </si>
  <si>
    <t>WG_1052_ST_TXT_0032_1</t>
  </si>
  <si>
    <t>WG_1052_ST_TXT_0032_2</t>
  </si>
  <si>
    <t>TE</t>
  </si>
  <si>
    <t>WG_1052_ST_TXT_0033</t>
  </si>
  <si>
    <t>WG_1052_ST_TXT_0034_1</t>
  </si>
  <si>
    <t>Ausmass / Regie mit Rückbehalt</t>
  </si>
  <si>
    <t>WG_1052_ST_TXT_0034_2</t>
  </si>
  <si>
    <t>AR</t>
  </si>
  <si>
    <t>WG_1052_ST_TXT_0034_3</t>
  </si>
  <si>
    <t>RB</t>
  </si>
  <si>
    <t>WG_1052_ST_TXT_0034_4</t>
  </si>
  <si>
    <t>Regie mit Rückbehalt</t>
  </si>
  <si>
    <t>WG_1052_ST_TXT_0035_1</t>
  </si>
  <si>
    <t>Zahlungsplan</t>
  </si>
  <si>
    <t>WG_1052_ST_TXT_0035_2</t>
  </si>
  <si>
    <t>ZP</t>
  </si>
  <si>
    <t>WG_1052_ST_TXT_0036_1</t>
  </si>
  <si>
    <t>WG_1052_ST_TXT_0036_2</t>
  </si>
  <si>
    <t>RR</t>
  </si>
  <si>
    <t>WG_1052_ST_TXT_0037</t>
  </si>
  <si>
    <t>WG_1052_ST_TXT_0037_1</t>
  </si>
  <si>
    <t>WG_1052_ST_TXT_0038</t>
  </si>
  <si>
    <t>Gutschrift</t>
  </si>
  <si>
    <t>WG_1052_ST_TXT_0038_1</t>
  </si>
  <si>
    <t>GU</t>
  </si>
  <si>
    <t>WG_1052_ST_TXT_0039</t>
  </si>
  <si>
    <t>Bauleitung</t>
  </si>
  <si>
    <t>WG_1052_ST_TXT_0040</t>
  </si>
  <si>
    <t>BHU</t>
  </si>
  <si>
    <t>WG_1052_ST_TXT_0041_1</t>
  </si>
  <si>
    <t>Bringt der Auftragnehmer keinen schriftlichen</t>
  </si>
  <si>
    <t>WG_1052_ST_TXT_0041_2</t>
  </si>
  <si>
    <t>Vorbehalt an, so erklärt er mit der Einreichung</t>
  </si>
  <si>
    <t>WG_1052_ST_TXT_0041_3</t>
  </si>
  <si>
    <t>der Schlussrechnung, dass er keine weiteren Rechnungen</t>
  </si>
  <si>
    <t>WG_1052_ST_TXT_0041_4</t>
  </si>
  <si>
    <t>stellen wird und auf jeden weiteren Vergütungsanspruch</t>
  </si>
  <si>
    <t>WG_1052_ST_TXT_0041_5</t>
  </si>
  <si>
    <t>für Leistungen verzichtet, die er bis dahin</t>
  </si>
  <si>
    <t>WG_1052_ST_TXT_0041_6</t>
  </si>
  <si>
    <t>nicht in Rechnung gestellt hat</t>
  </si>
  <si>
    <t>WG_1052_ST_TXT_0042_1</t>
  </si>
  <si>
    <t>Bringt der Auftragnehmer in der Zusammenstellung</t>
  </si>
  <si>
    <t>WG_1052_ST_TXT_0042_2</t>
  </si>
  <si>
    <t>gemäss SIA 118 Art. 153 Abs. 3 keinen schriftlichen</t>
  </si>
  <si>
    <t>WG_1052_ST_TXT_0042_3</t>
  </si>
  <si>
    <t>WG_1052_ST_TXT_0042_4</t>
  </si>
  <si>
    <t>der Schlussrechnung, dass er keine weiteren</t>
  </si>
  <si>
    <t>WG_1052_ST_TXT_0042_5</t>
  </si>
  <si>
    <t>Rechnungen stellen wird und auf jeden weiteren</t>
  </si>
  <si>
    <t>WG_1052_ST_TXT_0042_6</t>
  </si>
  <si>
    <t>Vergütungsanspruch für Leistungen verzichtet, die er</t>
  </si>
  <si>
    <t>WG_1052_ST_TXT_0042_7</t>
  </si>
  <si>
    <t>bis dahin nicht in Rechnung gestellt hat (SIA 118 Art. 156).</t>
  </si>
  <si>
    <t>WG_1052_ST_TXT_0043</t>
  </si>
  <si>
    <t>Abweichung Terminplanung /</t>
  </si>
  <si>
    <t>WG_1052_ST_TXT_0043_1</t>
  </si>
  <si>
    <t>Baufortschritt:</t>
  </si>
  <si>
    <t>WG_1052_ST_TXT_0044_1</t>
  </si>
  <si>
    <t>Die Bauleitung bestätigt, dass die in Rechnung</t>
  </si>
  <si>
    <t>WG_1052_ST_TXT_0044_2</t>
  </si>
  <si>
    <t>gestellten Leistungen erbracht wurden</t>
  </si>
  <si>
    <t>WG_1052_ST_TXT_0044_3</t>
  </si>
  <si>
    <t>und dem Leistungsverzeichnis des Werkvertrags</t>
  </si>
  <si>
    <t>WG_1052_ST_TXT_0044_4</t>
  </si>
  <si>
    <t>bzw. dem Regieauftrag entsprechen.</t>
  </si>
  <si>
    <t>innerhalb 10 Tage netto</t>
  </si>
  <si>
    <t>WG_1052_ST_TXT_0046</t>
  </si>
  <si>
    <t>Pos.</t>
  </si>
  <si>
    <t>WG_1052_ST_TXT_0047</t>
  </si>
  <si>
    <t>PSP-Element</t>
  </si>
  <si>
    <t>WG_1052_ST_TXT_0048</t>
  </si>
  <si>
    <t>WG_1052_ST_TXT_0049</t>
  </si>
  <si>
    <t>Auftrag</t>
  </si>
  <si>
    <t>WG_1052_ST_TXT_0050</t>
  </si>
  <si>
    <t>WG_1052_ST_TXT_0051</t>
  </si>
  <si>
    <t>WG_1052_ST_TXT_0052</t>
  </si>
  <si>
    <t>WG_1052_ST_TXT_0053</t>
  </si>
  <si>
    <t>Zwischentotal</t>
  </si>
  <si>
    <t>WG_1052_ST_TXT_0054</t>
  </si>
  <si>
    <t>Leistungen / NK ohne Rabatt</t>
  </si>
  <si>
    <t>WG_1052_ST_TXT_0055</t>
  </si>
  <si>
    <t>WG_1052_ST_TXT_0056</t>
  </si>
  <si>
    <t>MwSt.</t>
  </si>
  <si>
    <t>WG_1052_ST_TXT_0057</t>
  </si>
  <si>
    <t>WG_1052_ST_TXT_0058</t>
  </si>
  <si>
    <t>WG_1052_ST_TXT_0059</t>
  </si>
  <si>
    <t>Auszahlung inkl. MWST abzgl. Skonto und Rückbehalt</t>
  </si>
  <si>
    <t>WG_1052_ST_TXT_0060</t>
  </si>
  <si>
    <t>Skonto</t>
  </si>
  <si>
    <t>WG_1052_ST_TXT_0061</t>
  </si>
  <si>
    <t>Skonto in CHF</t>
  </si>
  <si>
    <t>WG_1052_ST_TXT_0062</t>
  </si>
  <si>
    <t>Alte Vertragsnummer:</t>
  </si>
  <si>
    <t>WG_1052_ST_TXT_0063</t>
  </si>
  <si>
    <t>Rückbehalt in CHF</t>
  </si>
  <si>
    <t>WG_1052_ST_TXT_0064</t>
  </si>
  <si>
    <t>Teilprojekt</t>
  </si>
  <si>
    <t>WG_1052_ST_TXT_0065</t>
  </si>
  <si>
    <t>WG_1052_ST_TXT_0066</t>
  </si>
  <si>
    <t>WG_1052_ST_TXT_0067</t>
  </si>
  <si>
    <t>Gesamtergebnis</t>
  </si>
  <si>
    <t>WG_1052_ST_TXT_0068</t>
  </si>
  <si>
    <t>Rechnungsdeckblatt</t>
  </si>
  <si>
    <t>WG_1052_ST_TXT_0069_1</t>
  </si>
  <si>
    <t>Bundesamt für Strassen (ASTRA)</t>
  </si>
  <si>
    <t>WG_1052_ST_TXT_0069_2</t>
  </si>
  <si>
    <t>Nationalstrassen- und Agglomerationsverkehrsfonds</t>
  </si>
  <si>
    <t>WG_1052_ST_TXT_0069_3</t>
  </si>
  <si>
    <t>c/o DLZ FI</t>
  </si>
  <si>
    <t>WG_1052_ST_TXT_0069_4</t>
  </si>
  <si>
    <t>3003 Bern</t>
  </si>
  <si>
    <t>WG_1052_ST_TXT_0069_5</t>
  </si>
  <si>
    <t>(NAF)</t>
  </si>
  <si>
    <t>WG_1052_ST_TXT_0070</t>
  </si>
  <si>
    <t>Leistungszeitraum darf nicht jahresübergreifend sein.</t>
  </si>
  <si>
    <t>WG_1052_ST_TXT_0071</t>
  </si>
  <si>
    <t>abzgl. Rückbehalt</t>
  </si>
  <si>
    <t>WG_1052_ST_TXT_0072</t>
  </si>
  <si>
    <t>abzgl. Skonto</t>
  </si>
  <si>
    <t>WG_1052_ST_TXT_0073</t>
  </si>
  <si>
    <t>Laufweg Rechnungsfreigabe</t>
  </si>
  <si>
    <t>WG_1052_ST_TXT_0074</t>
  </si>
  <si>
    <t>OBL</t>
  </si>
  <si>
    <t>WG_1052_ST_TXT_0075</t>
  </si>
  <si>
    <t>Bemerkung:</t>
  </si>
  <si>
    <t>WG_1052_ST_TXT_0076</t>
  </si>
  <si>
    <t>E-Mail-Adresse:</t>
  </si>
  <si>
    <t>WG_1054_ST_TXT_0001</t>
  </si>
  <si>
    <t>Antrag Auszahlung Rückbehalt</t>
  </si>
  <si>
    <t>WG_1054_ST_TXT_0002</t>
  </si>
  <si>
    <t>Organisation</t>
  </si>
  <si>
    <t>WG_1054_ST_TXT_0003</t>
  </si>
  <si>
    <t>Verwaltungseinheit:</t>
  </si>
  <si>
    <t>WG_1054_ST_TXT_0004</t>
  </si>
  <si>
    <t>WG_1054_ST_TXT_0005</t>
  </si>
  <si>
    <t>Belegdatum:</t>
  </si>
  <si>
    <t>WG_1054_ST_TXT_0006</t>
  </si>
  <si>
    <t>Buchungsinformationen</t>
  </si>
  <si>
    <t>WG_1054_ST_TXT_0007</t>
  </si>
  <si>
    <t>Eigenbeleg gilt als:</t>
  </si>
  <si>
    <t>WG_1054_ST_TXT_0008</t>
  </si>
  <si>
    <t>WG_1054_ST_TXT_0009</t>
  </si>
  <si>
    <t>REF-Nr. (REF-BUKR-xxxxx):</t>
  </si>
  <si>
    <t>WG_1054_ST_TXT_0010</t>
  </si>
  <si>
    <t>Kreditorennummer:</t>
  </si>
  <si>
    <t>WG_1054_ST_TXT_0011</t>
  </si>
  <si>
    <t>Name 1, Nachname:</t>
  </si>
  <si>
    <t>WG_1054_ST_TXT_0012</t>
  </si>
  <si>
    <t>Name 2, Vorname:</t>
  </si>
  <si>
    <t>WG_1054_ST_TXT_0013</t>
  </si>
  <si>
    <t>Strasse / Nr. / Postfach:</t>
  </si>
  <si>
    <t>WG_1054_ST_TXT_0014</t>
  </si>
  <si>
    <t>PLZ / Ort:</t>
  </si>
  <si>
    <t>WG_1054_ST_TXT_0015</t>
  </si>
  <si>
    <t>Referenz / Rechnungsnummer:</t>
  </si>
  <si>
    <t>WG_1054_ST_TXT_0016</t>
  </si>
  <si>
    <t>Betrag und Währung:</t>
  </si>
  <si>
    <t>WG_1054_ST_TXT_0017</t>
  </si>
  <si>
    <t>Zahlungsbedingung:</t>
  </si>
  <si>
    <t>WG_1054_ST_TXT_0018</t>
  </si>
  <si>
    <t>Sachkontonummer</t>
  </si>
  <si>
    <t>WG_1054_ST_TXT_0019</t>
  </si>
  <si>
    <t>Zahladresse</t>
  </si>
  <si>
    <t>WG_1054_ST_TXT_0020</t>
  </si>
  <si>
    <t>IBAN / Konto-Nr. des Begünstigten:</t>
  </si>
  <si>
    <t>WG_1054_ST_TXT_0021</t>
  </si>
  <si>
    <t>Name und Standort der Bank:</t>
  </si>
  <si>
    <t>WG_1054_ST_TXT_0022</t>
  </si>
  <si>
    <t>Kontoinhaber</t>
  </si>
  <si>
    <t>WG_1054_ST_TXT_0023</t>
  </si>
  <si>
    <t>(falls Name vom Kreditor abweicht)</t>
  </si>
  <si>
    <t>WG_1054_ST_TXT_0024</t>
  </si>
  <si>
    <t>Rückbehalt BKM</t>
  </si>
  <si>
    <t>WG_1054_ST_TXT_0025</t>
  </si>
  <si>
    <t>Rechnung mit Bestellbezug (MM)</t>
  </si>
  <si>
    <t>WG_1054_ST_TXT_0026</t>
  </si>
  <si>
    <t>Bitte auswählen</t>
  </si>
  <si>
    <t>WG_1054_ST_TXT_0027</t>
  </si>
  <si>
    <t>Rechnung ohne Bestellbezug (FI)</t>
  </si>
  <si>
    <t>WG_1054_ST_TXT_0028</t>
  </si>
  <si>
    <t>Gutschrift ohne Bestellbezug (FI)</t>
  </si>
  <si>
    <t>WG_1054_ST_TXT_0029</t>
  </si>
  <si>
    <t>Gutschrift mit Bestellbezug (MM)</t>
  </si>
  <si>
    <t>WG_1054_ST_TXT_0030</t>
  </si>
  <si>
    <t>Nachträgliche Belastung mit Bestellbezug (MM)</t>
  </si>
  <si>
    <t>WG_1054_ST_TXT_0031</t>
  </si>
  <si>
    <t>Nachträgliche Entlastung mit Bestellbezug (MM)</t>
  </si>
  <si>
    <t>WG_1054_ST_TXT_0032_58</t>
  </si>
  <si>
    <t>1135 NAF</t>
  </si>
  <si>
    <t>WG_1054_ST_TXT_0033_58</t>
  </si>
  <si>
    <t>WG_1054_ST_TXT_0033_63</t>
  </si>
  <si>
    <t>WG_105_TXT_0001</t>
  </si>
  <si>
    <t>WG_105_TXT_0002</t>
  </si>
  <si>
    <t>Genehmigungsplan</t>
  </si>
  <si>
    <t>WG_109_GT_TXT_0001</t>
  </si>
  <si>
    <t>Verfahren nach Schwellenwerten</t>
  </si>
  <si>
    <t>WG_109_GT_TXT_0002</t>
  </si>
  <si>
    <t>Datum Zuschlag (von/bis):</t>
  </si>
  <si>
    <t>WG_109_GT_TXT_0003</t>
  </si>
  <si>
    <t>&lt;50'000.-</t>
  </si>
  <si>
    <t>WG_109_GT_TXT_0004</t>
  </si>
  <si>
    <t>&gt;50'000.- bis 150'000.-</t>
  </si>
  <si>
    <t>WG_109_GT_TXT_0005</t>
  </si>
  <si>
    <t>&gt;150'000.- bis 230'000.-</t>
  </si>
  <si>
    <t>WG_109_GT_TXT_0006</t>
  </si>
  <si>
    <t>&gt;230'000.- bis 2'000'000.-</t>
  </si>
  <si>
    <t>WG_109_GT_TXT_0007</t>
  </si>
  <si>
    <t>&gt;2'000'000.- bis 8'700'000.-</t>
  </si>
  <si>
    <t>WG_109_GT_TXT_0008</t>
  </si>
  <si>
    <t>grösser als 8'700'000.-</t>
  </si>
  <si>
    <t>WG_109_GT_TXT_0009</t>
  </si>
  <si>
    <t>Verfahren nach Schwellewerten</t>
  </si>
  <si>
    <t>WG_109_GT_TXT_0010</t>
  </si>
  <si>
    <t>Verfahren nach Schwellewerten und Vertragsklassifikation</t>
  </si>
  <si>
    <t>WG_109_GT_TXT_0011</t>
  </si>
  <si>
    <t>Schwellewerten und Vertragsklassifikation</t>
  </si>
  <si>
    <t>WG_109_GT_TXT_0012</t>
  </si>
  <si>
    <t>WG_109_GT_TXT_0013</t>
  </si>
  <si>
    <t>WG_109_GT_TXT_0014</t>
  </si>
  <si>
    <t>Beschaffungen Bauleistungen</t>
  </si>
  <si>
    <t>WG_109_GT_TXT_0015</t>
  </si>
  <si>
    <t>Aufteilung nach Vertragspartner</t>
  </si>
  <si>
    <t>WG_109_GT_TXT_0016</t>
  </si>
  <si>
    <t>Beschaffungen Dienstleistungen</t>
  </si>
  <si>
    <t>WG_109_GT_TXT_0017</t>
  </si>
  <si>
    <t>Beschaffungen nach INGE</t>
  </si>
  <si>
    <t>WG_109_GT_TXT_0018</t>
  </si>
  <si>
    <t>Beschaffungen Lieferungen</t>
  </si>
  <si>
    <t>WG_109_GT_TXT_0019</t>
  </si>
  <si>
    <t>Bauleistungen &gt;= 10 Mio.</t>
  </si>
  <si>
    <t>WG_109_GT_TXT_0020</t>
  </si>
  <si>
    <t>Dienstleistungsaufträge &gt;= 250'000</t>
  </si>
  <si>
    <t>WG_109_GT_TXT_0021</t>
  </si>
  <si>
    <t>Lieferaufträge &gt;= 250'000</t>
  </si>
  <si>
    <t>WG_109_GT_TXT_0022</t>
  </si>
  <si>
    <t>Abgeschlossene Verträge nach Kanton (ohne stat. Kreditoren)</t>
  </si>
  <si>
    <t>WG_109_GT_TXT_0023</t>
  </si>
  <si>
    <t>Abgeschlossene Verträge nach Kanton (inkl stat. Kreditoren)</t>
  </si>
  <si>
    <t>WG_109_GT_TXT_0024</t>
  </si>
  <si>
    <t>WG_109_GT_TXT_0025</t>
  </si>
  <si>
    <t>nach Rabatt</t>
  </si>
  <si>
    <t>WG_109_GT_TXT_0026</t>
  </si>
  <si>
    <t>WG_109_GT_TXT_0027</t>
  </si>
  <si>
    <t>grösser als</t>
  </si>
  <si>
    <t>WG_109_GT_TXT_0028</t>
  </si>
  <si>
    <t>unter Schwellenwert - Offenes Verfahren</t>
  </si>
  <si>
    <t>WG_109_GT_TXT_0029</t>
  </si>
  <si>
    <t>unter Schwellenwert - Selektives Verfahren</t>
  </si>
  <si>
    <t>WG_109_GT_TXT_0030</t>
  </si>
  <si>
    <t>unter Schwellenwert - Einladungsverfahren</t>
  </si>
  <si>
    <t>WG_109_GT_TXT_0031</t>
  </si>
  <si>
    <t>unter Schwellenwert - Freihändiges Verfahren</t>
  </si>
  <si>
    <t>WG_109_GT_TXT_0032</t>
  </si>
  <si>
    <t>über Schwellenwert - Offenes Verfahren</t>
  </si>
  <si>
    <t>WG_109_GT_TXT_0033</t>
  </si>
  <si>
    <t>über Schwellenwert - Selektives Verfahren</t>
  </si>
  <si>
    <t>WG_109_GT_TXT_0034</t>
  </si>
  <si>
    <t>über Schwellenwert - Einladungsverfahren</t>
  </si>
  <si>
    <t>WG_109_GT_TXT_0035</t>
  </si>
  <si>
    <t>über Schwellenwert - Freihändiges Verfahren</t>
  </si>
  <si>
    <t>WG_109_GT_TXT_0036</t>
  </si>
  <si>
    <t>Freihändiges Verfahren (Art 16 BoeB, Art 13, 36 VoeB) *</t>
  </si>
  <si>
    <t>WG_109_GT_TXT_0037</t>
  </si>
  <si>
    <t>Einladungsverfahren (Art 35 VoeB)</t>
  </si>
  <si>
    <t>WG_109_GT_TXT_0038</t>
  </si>
  <si>
    <t>Selektives Verfahren (Art 15 BoeB)</t>
  </si>
  <si>
    <t>WG_109_GT_TXT_0039</t>
  </si>
  <si>
    <t>Offenes Verfahren (Art 14 BoeB)</t>
  </si>
  <si>
    <t>WG_109_GT_TXT_0040</t>
  </si>
  <si>
    <t>Bund-Kantone-Gemeinden (Inhouse, Instate)</t>
  </si>
  <si>
    <t>WG_109_GT_TXT_0041</t>
  </si>
  <si>
    <t>Restliche</t>
  </si>
  <si>
    <t>WG_109_GT_TXT_0042</t>
  </si>
  <si>
    <t>Anz.</t>
  </si>
  <si>
    <t>WG_109_GT_TXT_0043</t>
  </si>
  <si>
    <t>Betr.</t>
  </si>
  <si>
    <t>WG_109_ST_TXT_0001</t>
  </si>
  <si>
    <t>Verfahren mit Schwellen</t>
  </si>
  <si>
    <t>WG_109_ST_TXT_0002</t>
  </si>
  <si>
    <t>Verfahren mit Schwellen und Art</t>
  </si>
  <si>
    <t>WG_109_ST_TXT_0003</t>
  </si>
  <si>
    <t>Vertragsart mit Schwellen</t>
  </si>
  <si>
    <t>WG_109_ST_TXT_0004</t>
  </si>
  <si>
    <t>Vertragsart nach Verfahren</t>
  </si>
  <si>
    <t>WG_109_ST_TXT_0005</t>
  </si>
  <si>
    <t>Vertragskategorie nach Verfahren</t>
  </si>
  <si>
    <t>WG_109_ST_TXT_0006</t>
  </si>
  <si>
    <t>Nachträge nach Verfahren</t>
  </si>
  <si>
    <t>WG_109_ST_TXT_0007</t>
  </si>
  <si>
    <t>Bauleistungen mit Schwellen</t>
  </si>
  <si>
    <t>WG_109_ST_TXT_0008</t>
  </si>
  <si>
    <t>Dienstleistungen mit Schwellen</t>
  </si>
  <si>
    <t>WG_109_ST_TXT_0009</t>
  </si>
  <si>
    <t>Lieferungen mit Schwellen</t>
  </si>
  <si>
    <t>WG_109_ST_TXT_0010</t>
  </si>
  <si>
    <t>WG_109_ST_TXT_0011</t>
  </si>
  <si>
    <t>0.250 Mio. CHF</t>
  </si>
  <si>
    <t>WG_109_ST_TXT_0012</t>
  </si>
  <si>
    <t>WG_109_ST_TXT_0013</t>
  </si>
  <si>
    <t>alle Beschaffungen A-Z</t>
  </si>
  <si>
    <t>WG_109_ST_TXT_0014</t>
  </si>
  <si>
    <t>Vertragskategorie nach Kantonen</t>
  </si>
  <si>
    <t>WG_109_ST_TXT_0015</t>
  </si>
  <si>
    <t>Vertragsart nach Kantonen</t>
  </si>
  <si>
    <t>WG_109_ST_TXT_0016</t>
  </si>
  <si>
    <t>Vertragsart nach Anzahl</t>
  </si>
  <si>
    <t>WG_109_ST_TXT_0017</t>
  </si>
  <si>
    <t>Plausibilsation</t>
  </si>
  <si>
    <t>WG_109_ST_TXT_0018</t>
  </si>
  <si>
    <t>Alle Beschaffungen Anzahl Partner</t>
  </si>
  <si>
    <t>WG_109_ST_TXT_0019</t>
  </si>
  <si>
    <t>Bauleistungen nach Filialen</t>
  </si>
  <si>
    <t>WG_109_ST_TXT_0020</t>
  </si>
  <si>
    <t>Dienstleistung nach Filialen</t>
  </si>
  <si>
    <t>WG_109_ST_TXT_0021</t>
  </si>
  <si>
    <t>Lieferung nach Filialen</t>
  </si>
  <si>
    <t>WG_109_ST_TXT_0022</t>
  </si>
  <si>
    <t>Undefinierte Kreditoren</t>
  </si>
  <si>
    <t>WG_109_ST_TXT_0023</t>
  </si>
  <si>
    <t>10 Mio. CHF</t>
  </si>
  <si>
    <t>WG_119_ST_TXT_0001</t>
  </si>
  <si>
    <t>Kreditcheck</t>
  </si>
  <si>
    <t>WG_119_ST_TXT_0002</t>
  </si>
  <si>
    <t>Verpflichtungen Bagatellklausel</t>
  </si>
  <si>
    <t>WG_119_T_TXT_0001</t>
  </si>
  <si>
    <t>BKM Kreditcheck</t>
  </si>
  <si>
    <t>X</t>
  </si>
  <si>
    <t>Techdata AG</t>
  </si>
  <si>
    <t>Thomas Marti</t>
  </si>
  <si>
    <t>bern@techdata.net</t>
  </si>
  <si>
    <t>c.fuchs@aebo.ch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</si>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</sst>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&quot;CHF&quot;* #,##0.00_);_(&quot;CHF&quot;* \(#,##0.00\);_(&quot;CHF&quot;* &quot;-&quot;??_);_(@_)"/>
    <numFmt numFmtId="165" formatCode="_(* #,##0.00_);_(* \(#,##0.00\);_(* &quot;-&quot;??_);_(@_)"/>
    <numFmt numFmtId="166" formatCode="###,000"/>
    <numFmt numFmtId="167" formatCode="#,##0.00_ ;\-#,##0.00\ "/>
    <numFmt numFmtId="168" formatCode="#,##0.000;\-#,##0.000;#,##0.000"/>
    <numFmt numFmtId="169" formatCode="_ [$€-2]\ * #,##0.00_ ;_ [$€-2]\ * \-#,##0.00_ ;_ [$€-2]\ * &quot;-&quot;??_ "/>
    <numFmt numFmtId="170" formatCode="0\ &quot;Wochen&quot;"/>
    <numFmt numFmtId="171" formatCode="&quot;CHF&quot;\ #,##0"/>
    <numFmt numFmtId="172" formatCode="0.0%"/>
  </numFmts>
  <fonts count="49"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00"/>
      <name val="Arial"/>
      <family val="2"/>
    </font>
    <font>
      <b/>
      <sz val="10"/>
      <color rgb="FF33CC33"/>
      <name val="Arial"/>
      <family val="2"/>
    </font>
    <font>
      <b/>
      <sz val="10"/>
      <color rgb="FFFF9900"/>
      <name val="Arial"/>
      <family val="2"/>
    </font>
    <font>
      <b/>
      <sz val="10"/>
      <color rgb="FFFF0000"/>
      <name val="Arial"/>
      <family val="2"/>
    </font>
    <font>
      <sz val="8"/>
      <color rgb="FF1F497D"/>
      <name val="Verdana"/>
      <family val="2"/>
    </font>
    <font>
      <sz val="10"/>
      <color theme="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i/>
      <sz val="10"/>
      <color theme="1"/>
      <name val="Arial"/>
      <family val="2"/>
    </font>
    <font>
      <b/>
      <sz val="14"/>
      <name val="Frutiger 45 Light"/>
      <family val="2"/>
    </font>
    <font>
      <b/>
      <sz val="12"/>
      <name val="Frutiger 45 Light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sz val="11"/>
      <color theme="9" tint="-0.249977111117893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rgb="FF000000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indexed="22"/>
      </top>
      <bottom/>
      <diagonal/>
    </border>
    <border>
      <left style="thin">
        <color rgb="FFB2B2B2"/>
      </left>
      <right style="thin">
        <color rgb="FFB2B2B2"/>
      </right>
      <top style="thin">
        <color indexed="2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/>
      </top>
      <bottom style="double">
        <color theme="4"/>
      </bottom>
      <diagonal/>
    </border>
  </borders>
  <cellStyleXfs count="182">
    <xf numFmtId="0" fontId="0" fillId="0" borderId="0"/>
    <xf numFmtId="0" fontId="14" fillId="2" borderId="2" applyNumberFormat="0" applyFill="0" applyAlignment="0" applyProtection="0">
      <alignment horizontal="left" vertical="center" indent="1"/>
    </xf>
    <xf numFmtId="167" fontId="11" fillId="0" borderId="2" applyNumberFormat="0">
      <alignment horizontal="right" vertical="center"/>
    </xf>
    <xf numFmtId="166" fontId="12" fillId="14" borderId="2" applyNumberFormat="0">
      <alignment horizontal="right" vertical="center"/>
    </xf>
    <xf numFmtId="0" fontId="13" fillId="2" borderId="2" applyNumberFormat="0" applyFill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Protection="0">
      <alignment horizontal="right" vertical="center"/>
    </xf>
    <xf numFmtId="0" fontId="14" fillId="2" borderId="2" applyNumberFormat="0" applyFill="0" applyAlignment="0" applyProtection="0">
      <alignment horizontal="left" vertical="center" indent="1"/>
    </xf>
    <xf numFmtId="166" fontId="12" fillId="12" borderId="2" applyNumberFormat="0" applyFill="0" applyAlignment="0" applyProtection="0">
      <alignment horizontal="right" vertical="center"/>
    </xf>
    <xf numFmtId="166" fontId="14" fillId="0" borderId="2" applyNumberFormat="0" applyProtection="0">
      <alignment horizontal="right" vertical="center"/>
    </xf>
    <xf numFmtId="166" fontId="15" fillId="5" borderId="2" applyNumberFormat="0" applyAlignment="0" applyProtection="0">
      <alignment horizontal="right" vertical="center" indent="1"/>
    </xf>
    <xf numFmtId="166" fontId="16" fillId="4" borderId="2" applyNumberFormat="0" applyAlignment="0" applyProtection="0">
      <alignment horizontal="right" vertical="center" indent="1"/>
    </xf>
    <xf numFmtId="166" fontId="16" fillId="3" borderId="3" applyNumberFormat="0" applyAlignment="0" applyProtection="0">
      <alignment horizontal="right" vertical="center" indent="1"/>
    </xf>
    <xf numFmtId="166" fontId="17" fillId="6" borderId="2" applyNumberFormat="0" applyAlignment="0" applyProtection="0">
      <alignment horizontal="right" vertical="center" indent="1"/>
    </xf>
    <xf numFmtId="166" fontId="17" fillId="7" borderId="2" applyNumberFormat="0" applyAlignment="0" applyProtection="0">
      <alignment horizontal="right" vertical="center" indent="1"/>
    </xf>
    <xf numFmtId="166" fontId="17" fillId="8" borderId="2" applyNumberFormat="0" applyAlignment="0" applyProtection="0">
      <alignment horizontal="right" vertical="center" indent="1"/>
    </xf>
    <xf numFmtId="166" fontId="18" fillId="9" borderId="2" applyNumberFormat="0" applyAlignment="0" applyProtection="0">
      <alignment horizontal="right" vertical="center" indent="1"/>
    </xf>
    <xf numFmtId="166" fontId="18" fillId="10" borderId="2" applyNumberFormat="0" applyAlignment="0" applyProtection="0">
      <alignment horizontal="right" vertical="center" indent="1"/>
    </xf>
    <xf numFmtId="166" fontId="18" fillId="11" borderId="2" applyNumberFormat="0" applyAlignment="0" applyProtection="0">
      <alignment horizontal="right" vertical="center" indent="1"/>
    </xf>
    <xf numFmtId="0" fontId="11" fillId="0" borderId="1" applyNumberFormat="0" applyFill="0" applyBorder="0" applyAlignment="0" applyProtection="0"/>
    <xf numFmtId="166" fontId="14" fillId="0" borderId="2" applyNumberFormat="0" applyAlignment="0" applyProtection="0">
      <alignment horizontal="left" vertical="center" indent="1"/>
    </xf>
    <xf numFmtId="0" fontId="14" fillId="14" borderId="4" applyNumberFormat="0" applyAlignment="0" applyProtection="0">
      <alignment horizontal="left" vertical="center" indent="1"/>
    </xf>
    <xf numFmtId="166" fontId="14" fillId="0" borderId="2" applyNumberFormat="0" applyProtection="0">
      <alignment horizontal="right" vertical="top" wrapTex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13" borderId="2" applyNumberFormat="0" applyAlignment="0" applyProtection="0"/>
    <xf numFmtId="0" fontId="14" fillId="13" borderId="2" applyAlignment="0" applyProtection="0"/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166" fontId="13" fillId="13" borderId="2" applyNumberFormat="0" applyProtection="0">
      <alignment horizontal="right" vertical="center"/>
    </xf>
    <xf numFmtId="0" fontId="13" fillId="13" borderId="2" applyNumberFormat="0" applyProtection="0">
      <alignment horizontal="right" vertical="center"/>
    </xf>
    <xf numFmtId="166" fontId="12" fillId="13" borderId="2" applyNumberFormat="0" applyProtection="0">
      <alignment horizontal="right" vertical="center"/>
    </xf>
    <xf numFmtId="0" fontId="14" fillId="14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166" fontId="19" fillId="15" borderId="5" applyNumberFormat="0" applyAlignment="0" applyProtection="0">
      <alignment horizontal="left" vertical="center" indent="1"/>
    </xf>
    <xf numFmtId="166" fontId="20" fillId="0" borderId="0" applyNumberFormat="0" applyAlignment="0" applyProtection="0">
      <alignment horizontal="left" vertical="center" indent="1"/>
    </xf>
    <xf numFmtId="0" fontId="21" fillId="0" borderId="6" applyNumberFormat="0" applyFont="0" applyFill="0" applyAlignment="0" applyProtection="0"/>
    <xf numFmtId="166" fontId="19" fillId="0" borderId="7" applyNumberFormat="0" applyFill="0" applyBorder="0" applyAlignment="0" applyProtection="0">
      <alignment horizontal="right" vertical="center"/>
    </xf>
    <xf numFmtId="0" fontId="22" fillId="0" borderId="0" applyProtection="0"/>
    <xf numFmtId="165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4" fontId="23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0" fontId="23" fillId="0" borderId="16" applyNumberFormat="0" applyBorder="0" applyAlignment="0">
      <alignment horizontal="left" vertical="center"/>
    </xf>
    <xf numFmtId="0" fontId="30" fillId="22" borderId="0">
      <alignment horizontal="left" vertical="center" indent="1"/>
    </xf>
    <xf numFmtId="169" fontId="23" fillId="0" borderId="0" applyFont="0" applyFill="0" applyBorder="0" applyAlignment="0" applyProtection="0"/>
    <xf numFmtId="0" fontId="31" fillId="22" borderId="17">
      <alignment horizontal="left" vertical="center" indent="1"/>
    </xf>
    <xf numFmtId="4" fontId="32" fillId="23" borderId="18" applyNumberFormat="0" applyProtection="0">
      <alignment vertical="center"/>
    </xf>
    <xf numFmtId="4" fontId="33" fillId="21" borderId="18" applyNumberFormat="0" applyProtection="0">
      <alignment vertical="center"/>
    </xf>
    <xf numFmtId="4" fontId="32" fillId="21" borderId="18" applyNumberFormat="0" applyProtection="0">
      <alignment horizontal="left" vertical="center" indent="1"/>
    </xf>
    <xf numFmtId="0" fontId="32" fillId="21" borderId="18" applyNumberFormat="0" applyProtection="0">
      <alignment horizontal="left" vertical="top" indent="1"/>
    </xf>
    <xf numFmtId="4" fontId="32" fillId="24" borderId="0" applyNumberFormat="0" applyProtection="0">
      <alignment horizontal="left" vertical="center" indent="1"/>
    </xf>
    <xf numFmtId="4" fontId="34" fillId="25" borderId="18" applyNumberFormat="0" applyProtection="0">
      <alignment horizontal="right" vertical="center"/>
    </xf>
    <xf numFmtId="4" fontId="34" fillId="26" borderId="18" applyNumberFormat="0" applyProtection="0">
      <alignment horizontal="right" vertical="center"/>
    </xf>
    <xf numFmtId="4" fontId="34" fillId="27" borderId="18" applyNumberFormat="0" applyProtection="0">
      <alignment horizontal="right" vertical="center"/>
    </xf>
    <xf numFmtId="4" fontId="34" fillId="28" borderId="18" applyNumberFormat="0" applyProtection="0">
      <alignment horizontal="right" vertical="center"/>
    </xf>
    <xf numFmtId="4" fontId="34" fillId="29" borderId="18" applyNumberFormat="0" applyProtection="0">
      <alignment horizontal="right" vertical="center"/>
    </xf>
    <xf numFmtId="4" fontId="34" fillId="30" borderId="18" applyNumberFormat="0" applyProtection="0">
      <alignment horizontal="right" vertical="center"/>
    </xf>
    <xf numFmtId="4" fontId="34" fillId="31" borderId="18" applyNumberFormat="0" applyProtection="0">
      <alignment horizontal="right" vertical="center"/>
    </xf>
    <xf numFmtId="4" fontId="34" fillId="32" borderId="18" applyNumberFormat="0" applyProtection="0">
      <alignment horizontal="right" vertical="center"/>
    </xf>
    <xf numFmtId="4" fontId="34" fillId="33" borderId="18" applyNumberFormat="0" applyProtection="0">
      <alignment horizontal="right" vertical="center"/>
    </xf>
    <xf numFmtId="4" fontId="32" fillId="34" borderId="19" applyNumberFormat="0" applyProtection="0">
      <alignment horizontal="left" vertical="center" indent="1"/>
    </xf>
    <xf numFmtId="4" fontId="34" fillId="35" borderId="0" applyNumberFormat="0" applyProtection="0">
      <alignment horizontal="left" vertical="center" indent="1"/>
    </xf>
    <xf numFmtId="4" fontId="35" fillId="36" borderId="0" applyNumberFormat="0" applyProtection="0">
      <alignment horizontal="left" vertical="center" indent="1"/>
    </xf>
    <xf numFmtId="4" fontId="34" fillId="37" borderId="18" applyNumberFormat="0" applyProtection="0">
      <alignment horizontal="right" vertical="center"/>
    </xf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4" fontId="34" fillId="39" borderId="18" applyNumberFormat="0" applyProtection="0">
      <alignment vertical="center"/>
    </xf>
    <xf numFmtId="4" fontId="36" fillId="39" borderId="18" applyNumberFormat="0" applyProtection="0">
      <alignment vertical="center"/>
    </xf>
    <xf numFmtId="4" fontId="34" fillId="39" borderId="18" applyNumberFormat="0" applyProtection="0">
      <alignment horizontal="left" vertical="center" indent="1"/>
    </xf>
    <xf numFmtId="0" fontId="34" fillId="39" borderId="18" applyNumberFormat="0" applyProtection="0">
      <alignment horizontal="left" vertical="top" indent="1"/>
    </xf>
    <xf numFmtId="4" fontId="34" fillId="35" borderId="18" applyNumberFormat="0" applyProtection="0">
      <alignment horizontal="right" vertical="center"/>
    </xf>
    <xf numFmtId="4" fontId="36" fillId="35" borderId="18" applyNumberFormat="0" applyProtection="0">
      <alignment horizontal="right" vertical="center"/>
    </xf>
    <xf numFmtId="4" fontId="34" fillId="37" borderId="18" applyNumberFormat="0" applyProtection="0">
      <alignment horizontal="left" vertical="center" indent="1"/>
    </xf>
    <xf numFmtId="0" fontId="34" fillId="24" borderId="18" applyNumberFormat="0" applyProtection="0">
      <alignment horizontal="left" vertical="top" indent="1"/>
    </xf>
    <xf numFmtId="4" fontId="37" fillId="40" borderId="0" applyNumberFormat="0" applyProtection="0">
      <alignment horizontal="left" vertical="center" indent="1"/>
    </xf>
    <xf numFmtId="4" fontId="38" fillId="35" borderId="18" applyNumberFormat="0" applyProtection="0">
      <alignment horizontal="right" vertical="center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0" fontId="23" fillId="0" borderId="0"/>
    <xf numFmtId="0" fontId="2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41" borderId="2">
      <alignment horizontal="right" vertical="center"/>
    </xf>
    <xf numFmtId="171" fontId="11" fillId="19" borderId="23">
      <alignment horizontal="right" vertical="center"/>
    </xf>
    <xf numFmtId="0" fontId="22" fillId="0" borderId="0"/>
    <xf numFmtId="0" fontId="11" fillId="42" borderId="24" applyNumberFormat="0" applyFont="0" applyAlignment="0" applyProtection="0"/>
    <xf numFmtId="0" fontId="14" fillId="43" borderId="2">
      <alignment wrapText="1"/>
    </xf>
    <xf numFmtId="0" fontId="8" fillId="0" borderId="0"/>
    <xf numFmtId="165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7" fillId="0" borderId="0"/>
    <xf numFmtId="165" fontId="22" fillId="0" borderId="0" applyFont="0" applyFill="0" applyBorder="0" applyAlignment="0" applyProtection="0"/>
    <xf numFmtId="0" fontId="7" fillId="0" borderId="0"/>
    <xf numFmtId="0" fontId="7" fillId="0" borderId="0"/>
    <xf numFmtId="0" fontId="22" fillId="0" borderId="16" applyNumberFormat="0" applyBorder="0" applyAlignment="0">
      <alignment horizontal="left" vertical="center"/>
    </xf>
    <xf numFmtId="169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0" fontId="22" fillId="0" borderId="0"/>
    <xf numFmtId="0" fontId="22" fillId="0" borderId="0"/>
    <xf numFmtId="0" fontId="7" fillId="0" borderId="0"/>
    <xf numFmtId="0" fontId="14" fillId="0" borderId="2">
      <alignment horizontal="left" vertical="top" wrapText="1"/>
    </xf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" fillId="0" borderId="0"/>
    <xf numFmtId="165" fontId="22" fillId="0" borderId="0" applyFont="0" applyFill="0" applyBorder="0" applyAlignment="0" applyProtection="0"/>
    <xf numFmtId="0" fontId="6" fillId="0" borderId="0"/>
    <xf numFmtId="0" fontId="6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" fillId="0" borderId="0"/>
    <xf numFmtId="0" fontId="40" fillId="0" borderId="29" applyNumberFormat="0" applyFill="0" applyAlignment="0" applyProtection="0"/>
    <xf numFmtId="0" fontId="5" fillId="45" borderId="0" applyNumberFormat="0" applyBorder="0" applyAlignment="0" applyProtection="0"/>
  </cellStyleXfs>
  <cellXfs count="197">
    <xf numFmtId="0" fontId="0" fillId="0" borderId="0" xfId="0"/>
    <xf numFmtId="0" fontId="0" fillId="0" borderId="0" xfId="0" applyBorder="1"/>
    <xf numFmtId="0" fontId="14" fillId="0" borderId="2" xfId="1" applyNumberFormat="1" applyFill="1" applyAlignment="1"/>
    <xf numFmtId="0" fontId="14" fillId="0" borderId="2" xfId="1" quotePrefix="1" applyNumberFormat="1" applyFill="1" applyAlignment="1"/>
    <xf numFmtId="0" fontId="14" fillId="0" borderId="2" xfId="20" quotePrefix="1" applyNumberFormat="1" applyAlignment="1"/>
    <xf numFmtId="39" fontId="11" fillId="0" borderId="2" xfId="2" applyNumberFormat="1">
      <alignment horizontal="right" vertical="center"/>
    </xf>
    <xf numFmtId="0" fontId="14" fillId="0" borderId="2" xfId="22" quotePrefix="1" applyNumberFormat="1" applyAlignment="1">
      <alignment horizontal="right" vertical="top" wrapText="1"/>
    </xf>
    <xf numFmtId="0" fontId="14" fillId="0" borderId="2" xfId="20" applyNumberFormat="1" applyAlignment="1"/>
    <xf numFmtId="168" fontId="11" fillId="0" borderId="2" xfId="2" applyNumberFormat="1">
      <alignment horizontal="right" vertical="center"/>
    </xf>
    <xf numFmtId="0" fontId="14" fillId="0" borderId="2" xfId="23" quotePrefix="1" applyNumberFormat="1" applyAlignment="1"/>
    <xf numFmtId="0" fontId="12" fillId="0" borderId="0" xfId="0" applyFont="1"/>
    <xf numFmtId="0" fontId="0" fillId="0" borderId="0" xfId="0" applyAlignment="1">
      <alignment wrapText="1"/>
    </xf>
    <xf numFmtId="172" fontId="22" fillId="0" borderId="0" xfId="60" applyNumberFormat="1" applyFont="1" applyAlignment="1">
      <alignment horizontal="right" vertical="top"/>
    </xf>
    <xf numFmtId="0" fontId="0" fillId="0" borderId="0" xfId="0" applyFill="1"/>
    <xf numFmtId="9" fontId="0" fillId="0" borderId="0" xfId="0" applyNumberFormat="1" applyFill="1"/>
    <xf numFmtId="0" fontId="12" fillId="0" borderId="0" xfId="0" applyFont="1" applyBorder="1"/>
    <xf numFmtId="0" fontId="0" fillId="0" borderId="0" xfId="0"/>
    <xf numFmtId="0" fontId="12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vertical="top"/>
    </xf>
    <xf numFmtId="0" fontId="0" fillId="0" borderId="0" xfId="0" applyProtection="1">
      <protection locked="0"/>
    </xf>
    <xf numFmtId="0" fontId="11" fillId="41" borderId="2" xfId="124" applyProtection="1">
      <alignment horizontal="right" vertical="center"/>
      <protection locked="0"/>
    </xf>
    <xf numFmtId="0" fontId="14" fillId="43" borderId="2" xfId="128" applyProtection="1">
      <alignment wrapText="1"/>
      <protection locked="0"/>
    </xf>
    <xf numFmtId="171" fontId="11" fillId="19" borderId="23" xfId="125" applyProtection="1">
      <alignment horizontal="right" vertical="center"/>
      <protection locked="0"/>
    </xf>
    <xf numFmtId="0" fontId="23" fillId="0" borderId="0" xfId="53" applyProtection="1">
      <protection locked="0"/>
    </xf>
    <xf numFmtId="0" fontId="23" fillId="0" borderId="0" xfId="53" applyFont="1" applyBorder="1" applyProtection="1"/>
    <xf numFmtId="0" fontId="23" fillId="0" borderId="0" xfId="53" applyBorder="1" applyProtection="1"/>
    <xf numFmtId="0" fontId="23" fillId="0" borderId="0" xfId="53" applyProtection="1"/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horizontal="left" vertical="center"/>
    </xf>
    <xf numFmtId="0" fontId="12" fillId="18" borderId="0" xfId="3" applyNumberFormat="1" applyFill="1" applyBorder="1" applyAlignment="1" applyProtection="1">
      <alignment horizontal="left" vertical="center"/>
    </xf>
    <xf numFmtId="0" fontId="23" fillId="18" borderId="0" xfId="3" applyNumberFormat="1" applyFont="1" applyFill="1" applyBorder="1" applyAlignment="1" applyProtection="1">
      <alignment horizontal="left" vertical="center"/>
    </xf>
    <xf numFmtId="0" fontId="28" fillId="18" borderId="0" xfId="3" applyNumberFormat="1" applyFont="1" applyFill="1" applyBorder="1" applyAlignment="1" applyProtection="1">
      <alignment horizontal="left" vertical="center"/>
    </xf>
    <xf numFmtId="0" fontId="23" fillId="0" borderId="0" xfId="53" applyBorder="1" applyAlignment="1" applyProtection="1">
      <alignment horizontal="left" vertical="center"/>
    </xf>
    <xf numFmtId="0" fontId="0" fillId="0" borderId="0" xfId="0" applyBorder="1" applyProtection="1"/>
    <xf numFmtId="0" fontId="23" fillId="0" borderId="0" xfId="53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29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vertical="center"/>
    </xf>
    <xf numFmtId="0" fontId="23" fillId="0" borderId="0" xfId="0" applyFont="1" applyBorder="1" applyAlignment="1" applyProtection="1">
      <alignment horizontal="left" vertical="center"/>
    </xf>
    <xf numFmtId="14" fontId="12" fillId="17" borderId="0" xfId="0" applyNumberFormat="1" applyFont="1" applyFill="1" applyBorder="1" applyAlignment="1" applyProtection="1">
      <alignment horizontal="left" vertical="center"/>
    </xf>
    <xf numFmtId="0" fontId="23" fillId="0" borderId="0" xfId="53" applyFill="1" applyProtection="1"/>
    <xf numFmtId="0" fontId="23" fillId="0" borderId="0" xfId="53" applyBorder="1" applyAlignment="1" applyProtection="1">
      <alignment horizontal="left"/>
    </xf>
    <xf numFmtId="0" fontId="23" fillId="0" borderId="0" xfId="53" applyBorder="1" applyAlignment="1" applyProtection="1">
      <alignment vertical="center"/>
    </xf>
    <xf numFmtId="0" fontId="23" fillId="0" borderId="0" xfId="53" applyFont="1" applyBorder="1" applyAlignment="1" applyProtection="1">
      <alignment vertical="center"/>
    </xf>
    <xf numFmtId="14" fontId="23" fillId="17" borderId="0" xfId="50" applyNumberFormat="1" applyFont="1" applyFill="1" applyBorder="1" applyAlignment="1" applyProtection="1">
      <alignment horizontal="left" vertical="center"/>
    </xf>
    <xf numFmtId="14" fontId="23" fillId="0" borderId="0" xfId="50" applyNumberFormat="1" applyFont="1" applyFill="1" applyBorder="1" applyAlignment="1" applyProtection="1">
      <alignment horizontal="left" vertical="center" wrapText="1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170" fontId="11" fillId="18" borderId="0" xfId="3" applyNumberFormat="1" applyFont="1" applyFill="1" applyBorder="1" applyAlignment="1" applyProtection="1">
      <alignment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vertical="center" wrapText="1"/>
    </xf>
    <xf numFmtId="0" fontId="0" fillId="18" borderId="0" xfId="3" applyNumberFormat="1" applyFont="1" applyFill="1" applyBorder="1" applyAlignment="1" applyProtection="1">
      <alignment vertical="center"/>
    </xf>
    <xf numFmtId="4" fontId="11" fillId="18" borderId="0" xfId="59" applyNumberFormat="1" applyFont="1" applyFill="1" applyBorder="1" applyAlignment="1" applyProtection="1">
      <alignment horizontal="left" vertical="center"/>
    </xf>
    <xf numFmtId="0" fontId="25" fillId="0" borderId="0" xfId="53" applyFont="1" applyBorder="1" applyAlignment="1" applyProtection="1">
      <alignment wrapText="1"/>
    </xf>
    <xf numFmtId="0" fontId="27" fillId="16" borderId="10" xfId="50" applyFont="1" applyFill="1" applyBorder="1" applyAlignment="1" applyProtection="1">
      <alignment horizontal="left" vertical="center"/>
    </xf>
    <xf numFmtId="0" fontId="27" fillId="16" borderId="14" xfId="50" applyFont="1" applyFill="1" applyBorder="1" applyAlignment="1" applyProtection="1">
      <alignment horizontal="left" vertical="center"/>
    </xf>
    <xf numFmtId="0" fontId="23" fillId="0" borderId="0" xfId="50" applyFont="1" applyFill="1" applyBorder="1" applyAlignment="1" applyProtection="1">
      <alignment horizontal="left" vertical="center" wrapText="1"/>
    </xf>
    <xf numFmtId="0" fontId="23" fillId="0" borderId="15" xfId="53" applyFont="1" applyBorder="1" applyProtection="1"/>
    <xf numFmtId="0" fontId="23" fillId="0" borderId="12" xfId="53" applyBorder="1" applyProtection="1"/>
    <xf numFmtId="165" fontId="11" fillId="18" borderId="0" xfId="59" applyFont="1" applyFill="1" applyBorder="1" applyAlignment="1" applyProtection="1">
      <alignment horizontal="right" vertical="center"/>
    </xf>
    <xf numFmtId="0" fontId="26" fillId="18" borderId="0" xfId="3" applyNumberFormat="1" applyFont="1" applyFill="1" applyBorder="1" applyAlignment="1" applyProtection="1">
      <alignment vertical="top" wrapText="1"/>
    </xf>
    <xf numFmtId="0" fontId="14" fillId="0" borderId="27" xfId="1" quotePrefix="1" applyNumberFormat="1" applyFill="1" applyBorder="1" applyAlignment="1" applyProtection="1"/>
    <xf numFmtId="0" fontId="14" fillId="0" borderId="27" xfId="22" quotePrefix="1" applyNumberFormat="1" applyBorder="1" applyAlignment="1" applyProtection="1">
      <alignment horizontal="right" vertical="top" wrapText="1"/>
    </xf>
    <xf numFmtId="0" fontId="14" fillId="42" borderId="28" xfId="127" quotePrefix="1" applyNumberFormat="1" applyFont="1" applyBorder="1" applyAlignment="1" applyProtection="1">
      <alignment horizontal="right" wrapText="1"/>
    </xf>
    <xf numFmtId="0" fontId="14" fillId="42" borderId="28" xfId="127" quotePrefix="1" applyNumberFormat="1" applyFont="1" applyBorder="1" applyAlignment="1" applyProtection="1">
      <alignment wrapText="1"/>
    </xf>
    <xf numFmtId="0" fontId="14" fillId="42" borderId="26" xfId="127" quotePrefix="1" applyNumberFormat="1" applyFont="1" applyBorder="1" applyAlignment="1" applyProtection="1">
      <alignment horizontal="center" vertical="top" wrapText="1"/>
    </xf>
    <xf numFmtId="0" fontId="14" fillId="0" borderId="25" xfId="23" quotePrefix="1" applyNumberFormat="1" applyBorder="1" applyAlignment="1" applyProtection="1">
      <alignment horizontal="center" vertical="top"/>
    </xf>
    <xf numFmtId="0" fontId="14" fillId="0" borderId="25" xfId="23" quotePrefix="1" applyNumberFormat="1" applyBorder="1" applyAlignment="1" applyProtection="1">
      <alignment horizontal="center" vertical="top" wrapText="1"/>
    </xf>
    <xf numFmtId="0" fontId="14" fillId="0" borderId="25" xfId="23" quotePrefix="1" applyNumberFormat="1" applyFill="1" applyBorder="1" applyAlignment="1" applyProtection="1">
      <alignment horizontal="center" vertical="top" wrapText="1"/>
    </xf>
    <xf numFmtId="0" fontId="22" fillId="0" borderId="0" xfId="53" applyFont="1" applyProtection="1"/>
    <xf numFmtId="0" fontId="0" fillId="0" borderId="30" xfId="0" applyFont="1" applyBorder="1"/>
    <xf numFmtId="4" fontId="0" fillId="0" borderId="32" xfId="0" applyNumberFormat="1" applyFont="1" applyBorder="1" applyAlignment="1">
      <alignment horizontal="right"/>
    </xf>
    <xf numFmtId="4" fontId="0" fillId="0" borderId="30" xfId="0" applyNumberFormat="1" applyFont="1" applyBorder="1" applyAlignment="1">
      <alignment horizontal="right"/>
    </xf>
    <xf numFmtId="0" fontId="40" fillId="0" borderId="29" xfId="180" applyFont="1" applyBorder="1"/>
    <xf numFmtId="4" fontId="40" fillId="0" borderId="34" xfId="180" applyNumberFormat="1" applyFont="1" applyBorder="1" applyAlignment="1">
      <alignment horizontal="right"/>
    </xf>
    <xf numFmtId="4" fontId="40" fillId="0" borderId="29" xfId="180" applyNumberFormat="1" applyFont="1" applyBorder="1" applyAlignment="1">
      <alignment horizontal="right"/>
    </xf>
    <xf numFmtId="0" fontId="0" fillId="0" borderId="35" xfId="0" applyFont="1" applyBorder="1"/>
    <xf numFmtId="0" fontId="40" fillId="0" borderId="36" xfId="180" applyFont="1" applyBorder="1"/>
    <xf numFmtId="0" fontId="41" fillId="18" borderId="0" xfId="3" applyNumberFormat="1" applyFont="1" applyFill="1" applyBorder="1" applyAlignment="1" applyProtection="1">
      <alignment horizontal="left" vertical="center"/>
    </xf>
    <xf numFmtId="0" fontId="43" fillId="18" borderId="0" xfId="3" applyNumberFormat="1" applyFont="1" applyFill="1" applyBorder="1" applyAlignment="1" applyProtection="1">
      <alignment horizontal="left" vertical="center"/>
    </xf>
    <xf numFmtId="0" fontId="4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vertical="center"/>
    </xf>
    <xf numFmtId="0" fontId="43" fillId="0" borderId="0" xfId="53" applyFont="1" applyBorder="1" applyAlignment="1" applyProtection="1">
      <alignment horizontal="left" vertical="center"/>
    </xf>
    <xf numFmtId="0" fontId="43" fillId="0" borderId="0" xfId="53" applyFont="1" applyBorder="1" applyProtection="1"/>
    <xf numFmtId="0" fontId="44" fillId="0" borderId="0" xfId="53" applyFont="1" applyBorder="1" applyAlignment="1" applyProtection="1">
      <alignment vertical="center"/>
    </xf>
    <xf numFmtId="0" fontId="4" fillId="0" borderId="0" xfId="0" applyFont="1" applyBorder="1" applyProtection="1"/>
    <xf numFmtId="0" fontId="43" fillId="0" borderId="0" xfId="53" applyFont="1" applyAlignment="1" applyProtection="1">
      <alignment vertical="center"/>
    </xf>
    <xf numFmtId="0" fontId="43" fillId="0" borderId="0" xfId="53" applyFont="1" applyProtection="1"/>
    <xf numFmtId="4" fontId="4" fillId="18" borderId="0" xfId="59" applyNumberFormat="1" applyFont="1" applyFill="1" applyBorder="1" applyAlignment="1" applyProtection="1">
      <alignment vertical="center"/>
    </xf>
    <xf numFmtId="0" fontId="43" fillId="0" borderId="8" xfId="50" applyFont="1" applyFill="1" applyBorder="1" applyAlignment="1" applyProtection="1">
      <alignment horizontal="left" vertical="center"/>
    </xf>
    <xf numFmtId="0" fontId="43" fillId="0" borderId="0" xfId="50" applyFont="1" applyFill="1" applyBorder="1" applyAlignment="1" applyProtection="1">
      <alignment horizontal="left" vertical="center"/>
    </xf>
    <xf numFmtId="0" fontId="43" fillId="0" borderId="8" xfId="50" applyFont="1" applyFill="1" applyBorder="1" applyAlignment="1" applyProtection="1">
      <alignment horizontal="left" vertical="center" wrapText="1"/>
    </xf>
    <xf numFmtId="0" fontId="43" fillId="0" borderId="0" xfId="50" applyFont="1" applyFill="1" applyBorder="1" applyAlignment="1" applyProtection="1">
      <alignment horizontal="left" vertical="center" wrapText="1"/>
    </xf>
    <xf numFmtId="0" fontId="43" fillId="0" borderId="9" xfId="50" applyFont="1" applyFill="1" applyBorder="1" applyAlignment="1" applyProtection="1">
      <alignment horizontal="left" vertical="center" wrapText="1"/>
    </xf>
    <xf numFmtId="0" fontId="43" fillId="44" borderId="8" xfId="50" applyFont="1" applyFill="1" applyBorder="1" applyAlignment="1" applyProtection="1">
      <alignment horizontal="left" vertical="center" wrapText="1"/>
      <protection locked="0"/>
    </xf>
    <xf numFmtId="0" fontId="43" fillId="0" borderId="12" xfId="50" applyFont="1" applyFill="1" applyBorder="1" applyAlignment="1" applyProtection="1">
      <alignment horizontal="left" vertical="center" wrapText="1"/>
    </xf>
    <xf numFmtId="0" fontId="43" fillId="0" borderId="8" xfId="50" applyFont="1" applyBorder="1" applyAlignment="1" applyProtection="1">
      <alignment horizontal="left" vertical="center"/>
    </xf>
    <xf numFmtId="0" fontId="43" fillId="0" borderId="9" xfId="53" applyFont="1" applyBorder="1" applyProtection="1"/>
    <xf numFmtId="0" fontId="43" fillId="44" borderId="0" xfId="53" applyFont="1" applyFill="1" applyProtection="1">
      <protection locked="0"/>
    </xf>
    <xf numFmtId="0" fontId="4" fillId="46" borderId="0" xfId="3" applyNumberFormat="1" applyFont="1" applyFill="1" applyBorder="1" applyAlignment="1" applyProtection="1">
      <alignment vertical="center"/>
      <protection locked="0"/>
    </xf>
    <xf numFmtId="0" fontId="43" fillId="44" borderId="9" xfId="53" applyFont="1" applyFill="1" applyBorder="1" applyProtection="1">
      <protection locked="0"/>
    </xf>
    <xf numFmtId="0" fontId="43" fillId="44" borderId="0" xfId="50" applyFont="1" applyFill="1" applyBorder="1" applyAlignment="1" applyProtection="1">
      <alignment vertical="center" wrapText="1"/>
      <protection locked="0"/>
    </xf>
    <xf numFmtId="0" fontId="43" fillId="44" borderId="9" xfId="50" applyFont="1" applyFill="1" applyBorder="1" applyAlignment="1" applyProtection="1">
      <alignment vertical="center" wrapText="1"/>
      <protection locked="0"/>
    </xf>
    <xf numFmtId="0" fontId="43" fillId="0" borderId="15" xfId="53" applyFont="1" applyBorder="1" applyProtection="1"/>
    <xf numFmtId="0" fontId="43" fillId="0" borderId="12" xfId="53" applyFont="1" applyBorder="1" applyProtection="1"/>
    <xf numFmtId="22" fontId="0" fillId="0" borderId="0" xfId="0" applyNumberFormat="1"/>
    <xf numFmtId="0" fontId="27" fillId="16" borderId="13" xfId="50" applyFont="1" applyFill="1" applyBorder="1" applyAlignment="1" applyProtection="1">
      <alignment horizontal="left" vertical="center"/>
    </xf>
    <xf numFmtId="0" fontId="40" fillId="18" borderId="0" xfId="3" applyNumberFormat="1" applyFont="1" applyFill="1" applyBorder="1" applyAlignment="1" applyProtection="1">
      <alignment vertical="center"/>
    </xf>
    <xf numFmtId="0" fontId="45" fillId="18" borderId="0" xfId="3" applyNumberFormat="1" applyFont="1" applyFill="1" applyBorder="1" applyAlignment="1" applyProtection="1">
      <alignment horizontal="left" vertical="center"/>
    </xf>
    <xf numFmtId="0" fontId="23" fillId="0" borderId="9" xfId="53" applyBorder="1" applyProtection="1"/>
    <xf numFmtId="0" fontId="23" fillId="0" borderId="8" xfId="53" applyBorder="1" applyProtection="1"/>
    <xf numFmtId="0" fontId="46" fillId="0" borderId="0" xfId="53" applyFont="1" applyProtection="1"/>
    <xf numFmtId="4" fontId="4" fillId="18" borderId="0" xfId="59" applyNumberFormat="1" applyFont="1" applyFill="1" applyBorder="1" applyAlignment="1" applyProtection="1">
      <alignment horizontal="left" vertical="center"/>
    </xf>
    <xf numFmtId="0" fontId="27" fillId="16" borderId="10" xfId="50" applyFont="1" applyFill="1" applyBorder="1" applyAlignment="1" applyProtection="1">
      <alignment horizontal="left" vertical="center"/>
      <protection locked="0"/>
    </xf>
    <xf numFmtId="0" fontId="27" fillId="16" borderId="14" xfId="50" applyFont="1" applyFill="1" applyBorder="1" applyAlignment="1" applyProtection="1">
      <alignment horizontal="left" vertical="center"/>
      <protection locked="0"/>
    </xf>
    <xf numFmtId="0" fontId="40" fillId="18" borderId="0" xfId="3" applyNumberFormat="1" applyFont="1" applyFill="1" applyBorder="1" applyAlignment="1" applyProtection="1">
      <alignment horizontal="left" vertical="center"/>
    </xf>
    <xf numFmtId="0" fontId="3" fillId="18" borderId="0" xfId="3" applyNumberFormat="1" applyFont="1" applyFill="1" applyBorder="1" applyAlignment="1" applyProtection="1">
      <alignment vertical="center" wrapText="1"/>
    </xf>
    <xf numFmtId="0" fontId="41" fillId="0" borderId="0" xfId="53" applyFont="1" applyBorder="1" applyAlignment="1" applyProtection="1">
      <alignment horizontal="left" vertical="center"/>
    </xf>
    <xf numFmtId="0" fontId="5" fillId="45" borderId="0" xfId="181"/>
    <xf numFmtId="0" fontId="40" fillId="0" borderId="29" xfId="180"/>
    <xf numFmtId="4" fontId="0" fillId="42" borderId="24" xfId="127" applyNumberFormat="1" applyFont="1" applyAlignment="1">
      <alignment horizontal="right"/>
    </xf>
    <xf numFmtId="4" fontId="5" fillId="42" borderId="24" xfId="127" applyNumberFormat="1" applyFont="1" applyAlignment="1">
      <alignment horizontal="right"/>
    </xf>
    <xf numFmtId="4" fontId="40" fillId="42" borderId="24" xfId="127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5" fillId="45" borderId="0" xfId="181" applyNumberFormat="1" applyAlignment="1">
      <alignment horizontal="right"/>
    </xf>
    <xf numFmtId="4" fontId="40" fillId="0" borderId="29" xfId="180" applyNumberFormat="1" applyAlignment="1">
      <alignment horizontal="right"/>
    </xf>
    <xf numFmtId="0" fontId="43" fillId="44" borderId="8" xfId="50" applyFont="1" applyFill="1" applyBorder="1" applyAlignment="1" applyProtection="1">
      <alignment horizontal="left" vertical="center"/>
      <protection locked="0"/>
    </xf>
    <xf numFmtId="4" fontId="0" fillId="42" borderId="31" xfId="127" applyNumberFormat="1" applyFont="1" applyFill="1" applyBorder="1" applyAlignment="1" applyProtection="1">
      <alignment horizontal="right"/>
      <protection locked="0"/>
    </xf>
    <xf numFmtId="4" fontId="40" fillId="42" borderId="33" xfId="127" applyNumberFormat="1" applyFont="1" applyFill="1" applyBorder="1" applyAlignment="1" applyProtection="1">
      <alignment horizontal="right"/>
      <protection locked="0"/>
    </xf>
    <xf numFmtId="2" fontId="0" fillId="0" borderId="0" xfId="0" applyNumberFormat="1"/>
    <xf numFmtId="0" fontId="43" fillId="44" borderId="9" xfId="53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 wrapText="1"/>
      <protection locked="0"/>
    </xf>
    <xf numFmtId="0" fontId="23" fillId="0" borderId="0" xfId="53" applyBorder="1" applyProtection="1">
      <protection locked="0"/>
    </xf>
    <xf numFmtId="4" fontId="47" fillId="0" borderId="29" xfId="180" applyNumberFormat="1" applyFont="1" applyBorder="1" applyAlignment="1">
      <alignment horizontal="right"/>
    </xf>
    <xf numFmtId="0" fontId="23" fillId="0" borderId="15" xfId="53" applyBorder="1" applyProtection="1">
      <protection locked="0"/>
    </xf>
    <xf numFmtId="0" fontId="23" fillId="0" borderId="12" xfId="53" applyBorder="1" applyProtection="1">
      <protection locked="0"/>
    </xf>
    <xf numFmtId="4" fontId="0" fillId="0" borderId="35" xfId="0" applyNumberFormat="1" applyFont="1" applyBorder="1" applyAlignment="1">
      <alignment horizontal="right"/>
    </xf>
    <xf numFmtId="4" fontId="2" fillId="45" borderId="30" xfId="181" applyNumberFormat="1" applyFont="1" applyFill="1" applyBorder="1" applyAlignment="1">
      <alignment horizontal="right"/>
    </xf>
    <xf numFmtId="0" fontId="1" fillId="45" borderId="35" xfId="181" applyFont="1" applyFill="1" applyBorder="1"/>
    <xf numFmtId="0" fontId="1" fillId="45" borderId="30" xfId="181" applyFont="1" applyFill="1" applyBorder="1"/>
    <xf numFmtId="4" fontId="1" fillId="45" borderId="30" xfId="181" applyNumberFormat="1" applyFont="1" applyFill="1" applyBorder="1" applyAlignment="1">
      <alignment horizontal="right"/>
    </xf>
    <xf numFmtId="4" fontId="1" fillId="45" borderId="32" xfId="181" applyNumberFormat="1" applyFont="1" applyFill="1" applyBorder="1" applyAlignment="1">
      <alignment horizontal="right"/>
    </xf>
    <xf numFmtId="4" fontId="1" fillId="42" borderId="31" xfId="127" applyNumberFormat="1" applyFont="1" applyFill="1" applyBorder="1" applyAlignment="1" applyProtection="1">
      <alignment horizontal="right"/>
      <protection locked="0"/>
    </xf>
    <xf numFmtId="0" fontId="20" fillId="0" borderId="0" xfId="53" applyFont="1" applyProtection="1"/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3" fillId="18" borderId="0" xfId="3" applyNumberFormat="1" applyFont="1" applyFill="1" applyBorder="1" applyAlignment="1" applyProtection="1">
      <alignment horizontal="left" vertical="top" wrapText="1"/>
    </xf>
    <xf numFmtId="14" fontId="43" fillId="0" borderId="0" xfId="50" applyNumberFormat="1" applyFont="1" applyFill="1" applyBorder="1" applyAlignment="1" applyProtection="1">
      <alignment horizontal="left" vertical="center" wrapText="1"/>
    </xf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0" fontId="26" fillId="18" borderId="0" xfId="3" applyNumberFormat="1" applyFont="1" applyFill="1" applyBorder="1" applyAlignment="1" applyProtection="1">
      <alignment horizontal="left" vertical="top" wrapText="1"/>
    </xf>
    <xf numFmtId="0" fontId="43" fillId="44" borderId="0" xfId="57" applyFont="1" applyFill="1" applyBorder="1" applyAlignment="1" applyProtection="1">
      <alignment horizontal="left" vertical="center"/>
      <protection locked="0"/>
    </xf>
    <xf numFmtId="0" fontId="43" fillId="44" borderId="9" xfId="57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43" fillId="44" borderId="0" xfId="53" applyFont="1" applyFill="1" applyAlignment="1" applyProtection="1">
      <alignment horizontal="left"/>
      <protection locked="0"/>
    </xf>
    <xf numFmtId="0" fontId="43" fillId="44" borderId="9" xfId="53" applyFont="1" applyFill="1" applyBorder="1" applyAlignment="1" applyProtection="1">
      <alignment horizontal="left"/>
      <protection locked="0"/>
    </xf>
    <xf numFmtId="0" fontId="43" fillId="44" borderId="0" xfId="50" applyFont="1" applyFill="1" applyBorder="1" applyAlignment="1" applyProtection="1">
      <alignment horizontal="left" vertical="center"/>
      <protection locked="0"/>
    </xf>
    <xf numFmtId="0" fontId="43" fillId="44" borderId="9" xfId="50" applyFont="1" applyFill="1" applyBorder="1" applyAlignment="1" applyProtection="1">
      <alignment horizontal="left" vertical="center"/>
      <protection locked="0"/>
    </xf>
    <xf numFmtId="0" fontId="43" fillId="0" borderId="8" xfId="50" applyFont="1" applyFill="1" applyBorder="1" applyAlignment="1" applyProtection="1">
      <alignment horizontal="left" vertical="top" wrapText="1"/>
    </xf>
    <xf numFmtId="0" fontId="43" fillId="0" borderId="11" xfId="50" applyFont="1" applyFill="1" applyBorder="1" applyAlignment="1" applyProtection="1">
      <alignment horizontal="left" vertical="top" wrapText="1"/>
    </xf>
    <xf numFmtId="0" fontId="43" fillId="0" borderId="0" xfId="50" applyFont="1" applyFill="1" applyBorder="1" applyAlignment="1" applyProtection="1">
      <alignment horizontal="left" vertical="top" wrapText="1"/>
    </xf>
    <xf numFmtId="0" fontId="43" fillId="0" borderId="15" xfId="50" applyFont="1" applyFill="1" applyBorder="1" applyAlignment="1" applyProtection="1">
      <alignment horizontal="left" vertical="top" wrapText="1"/>
    </xf>
    <xf numFmtId="0" fontId="23" fillId="0" borderId="0" xfId="53" applyAlignment="1" applyProtection="1">
      <alignment horizontal="right" vertical="top" wrapText="1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42" fillId="0" borderId="0" xfId="53" applyFont="1" applyBorder="1" applyAlignment="1" applyProtection="1">
      <alignment horizontal="center" vertical="top"/>
    </xf>
    <xf numFmtId="0" fontId="23" fillId="0" borderId="0" xfId="53" applyAlignment="1" applyProtection="1">
      <alignment horizontal="left" vertical="center" wrapText="1"/>
    </xf>
    <xf numFmtId="0" fontId="23" fillId="0" borderId="0" xfId="53" applyAlignment="1" applyProtection="1">
      <alignment horizontal="left" wrapText="1"/>
    </xf>
    <xf numFmtId="0" fontId="4" fillId="18" borderId="0" xfId="3" applyNumberFormat="1" applyFont="1" applyFill="1" applyBorder="1" applyAlignment="1" applyProtection="1">
      <alignment horizontal="left" vertical="center"/>
    </xf>
    <xf numFmtId="49" fontId="47" fillId="17" borderId="0" xfId="50" applyNumberFormat="1" applyFont="1" applyFill="1" applyBorder="1" applyAlignment="1" applyProtection="1">
      <alignment horizontal="left" vertical="center"/>
    </xf>
    <xf numFmtId="49" fontId="45" fillId="17" borderId="0" xfId="50" applyNumberFormat="1" applyFont="1" applyFill="1" applyBorder="1" applyAlignment="1" applyProtection="1">
      <alignment horizontal="left" vertical="center"/>
    </xf>
    <xf numFmtId="49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43" fillId="17" borderId="0" xfId="50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 wrapText="1"/>
    </xf>
    <xf numFmtId="49" fontId="45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17" borderId="0" xfId="50" applyNumberFormat="1" applyFont="1" applyFill="1" applyBorder="1" applyAlignment="1" applyProtection="1">
      <alignment horizontal="left"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43" fillId="44" borderId="10" xfId="50" applyFont="1" applyFill="1" applyBorder="1" applyAlignment="1" applyProtection="1">
      <alignment horizontal="left" vertical="top" wrapText="1"/>
      <protection locked="0"/>
    </xf>
    <xf numFmtId="0" fontId="43" fillId="44" borderId="13" xfId="50" applyFont="1" applyFill="1" applyBorder="1" applyAlignment="1" applyProtection="1">
      <alignment horizontal="left" vertical="top" wrapText="1"/>
      <protection locked="0"/>
    </xf>
    <xf numFmtId="0" fontId="43" fillId="44" borderId="14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left" vertical="top" wrapText="1"/>
      <protection locked="0"/>
    </xf>
    <xf numFmtId="0" fontId="43" fillId="44" borderId="0" xfId="50" applyFont="1" applyFill="1" applyBorder="1" applyAlignment="1" applyProtection="1">
      <alignment horizontal="left" vertical="top" wrapText="1"/>
      <protection locked="0"/>
    </xf>
    <xf numFmtId="0" fontId="43" fillId="44" borderId="9" xfId="50" applyFont="1" applyFill="1" applyBorder="1" applyAlignment="1" applyProtection="1">
      <alignment horizontal="left" vertical="top" wrapText="1"/>
      <protection locked="0"/>
    </xf>
    <xf numFmtId="0" fontId="43" fillId="44" borderId="11" xfId="50" applyFont="1" applyFill="1" applyBorder="1" applyAlignment="1" applyProtection="1">
      <alignment horizontal="left" vertical="top" wrapText="1"/>
      <protection locked="0"/>
    </xf>
    <xf numFmtId="0" fontId="43" fillId="44" borderId="15" xfId="50" applyFont="1" applyFill="1" applyBorder="1" applyAlignment="1" applyProtection="1">
      <alignment horizontal="left" vertical="top" wrapText="1"/>
      <protection locked="0"/>
    </xf>
    <xf numFmtId="0" fontId="43" fillId="44" borderId="12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right" vertical="center"/>
      <protection locked="0"/>
    </xf>
    <xf numFmtId="0" fontId="43" fillId="44" borderId="0" xfId="50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/>
      <protection locked="0"/>
    </xf>
    <xf numFmtId="0" fontId="43" fillId="44" borderId="0" xfId="53" applyFont="1" applyFill="1" applyBorder="1" applyAlignment="1" applyProtection="1">
      <alignment horizontal="left" vertical="center"/>
      <protection locked="0"/>
    </xf>
    <xf numFmtId="0" fontId="43" fillId="44" borderId="9" xfId="53" applyFont="1" applyFill="1" applyBorder="1" applyAlignment="1" applyProtection="1">
      <alignment horizontal="left" vertical="center"/>
      <protection locked="0"/>
    </xf>
  </cellXfs>
  <cellStyles count="182">
    <cellStyle name="20 % - Akzent3" xfId="181" builtinId="38"/>
    <cellStyle name="Bigler" xfId="65"/>
    <cellStyle name="Bigler 2" xfId="144"/>
    <cellStyle name="Datum" xfId="66"/>
    <cellStyle name="Dezimal 2" xfId="107"/>
    <cellStyle name="Dezimal 2 2" xfId="108"/>
    <cellStyle name="Dezimal 2 2 2" xfId="155"/>
    <cellStyle name="Dezimal 2 2 3" xfId="178"/>
    <cellStyle name="Dezimal 2 3" xfId="154"/>
    <cellStyle name="Dezimal 2 4" xfId="177"/>
    <cellStyle name="EingabeBKM" xfId="128"/>
    <cellStyle name="Ergebnis" xfId="180" builtinId="25"/>
    <cellStyle name="Euro" xfId="67"/>
    <cellStyle name="Euro 2" xfId="145"/>
    <cellStyle name="Gruppe" xfId="68"/>
    <cellStyle name="Hyperlink 2" xfId="122"/>
    <cellStyle name="Komma" xfId="59" builtinId="3"/>
    <cellStyle name="Komma 2" xfId="49"/>
    <cellStyle name="Komma 2 2" xfId="130"/>
    <cellStyle name="Komma 2 3" xfId="168"/>
    <cellStyle name="Komma 3" xfId="56"/>
    <cellStyle name="Komma 3 2" xfId="137"/>
    <cellStyle name="Komma 3 3" xfId="170"/>
    <cellStyle name="Komma 4" xfId="62"/>
    <cellStyle name="Komma 4 2" xfId="141"/>
    <cellStyle name="Komma 4 3" xfId="174"/>
    <cellStyle name="Komma 5" xfId="139"/>
    <cellStyle name="Komma 6" xfId="172"/>
    <cellStyle name="Leistung" xfId="125"/>
    <cellStyle name="Link" xfId="57" builtinId="8"/>
    <cellStyle name="Link 2" xfId="121"/>
    <cellStyle name="Normale 2" xfId="50"/>
    <cellStyle name="Normale 2 2" xfId="52"/>
    <cellStyle name="Normale 2 2 2" xfId="133"/>
    <cellStyle name="Normale 2 3" xfId="131"/>
    <cellStyle name="Notiz" xfId="127" builtinId="10"/>
    <cellStyle name="Prozent" xfId="60" builtinId="5"/>
    <cellStyle name="Prozent 2" xfId="55"/>
    <cellStyle name="Prozent 2 2" xfId="136"/>
    <cellStyle name="SAPBEXaggData" xfId="69"/>
    <cellStyle name="SAPBEXaggDataEmph" xfId="70"/>
    <cellStyle name="SAPBEXaggItem" xfId="71"/>
    <cellStyle name="SAPBEXaggItemX" xfId="72"/>
    <cellStyle name="SAPBEXchaText" xfId="73"/>
    <cellStyle name="SAPBEXexcBad7" xfId="74"/>
    <cellStyle name="SAPBEXexcBad8" xfId="75"/>
    <cellStyle name="SAPBEXexcBad9" xfId="76"/>
    <cellStyle name="SAPBEXexcCritical4" xfId="77"/>
    <cellStyle name="SAPBEXexcCritical5" xfId="78"/>
    <cellStyle name="SAPBEXexcCritical6" xfId="79"/>
    <cellStyle name="SAPBEXexcGood1" xfId="80"/>
    <cellStyle name="SAPBEXexcGood2" xfId="81"/>
    <cellStyle name="SAPBEXexcGood3" xfId="82"/>
    <cellStyle name="SAPBEXfilterDrill" xfId="83"/>
    <cellStyle name="SAPBEXfilterItem" xfId="84"/>
    <cellStyle name="SAPBEXfilterText" xfId="85"/>
    <cellStyle name="SAPBEXformats" xfId="86"/>
    <cellStyle name="SAPBEXheaderItem" xfId="87"/>
    <cellStyle name="SAPBEXheaderItem 2" xfId="109"/>
    <cellStyle name="SAPBEXheaderText" xfId="88"/>
    <cellStyle name="SAPBEXheaderText 2" xfId="110"/>
    <cellStyle name="SAPBEXHLevel0" xfId="89"/>
    <cellStyle name="SAPBEXHLevel0 2" xfId="111"/>
    <cellStyle name="SAPBEXHLevel0 2 2" xfId="156"/>
    <cellStyle name="SAPBEXHLevel0 3" xfId="146"/>
    <cellStyle name="SAPBEXHLevel0X" xfId="90"/>
    <cellStyle name="SAPBEXHLevel0X 2" xfId="112"/>
    <cellStyle name="SAPBEXHLevel0X 2 2" xfId="157"/>
    <cellStyle name="SAPBEXHLevel0X 3" xfId="147"/>
    <cellStyle name="SAPBEXHLevel1" xfId="91"/>
    <cellStyle name="SAPBEXHLevel1 2" xfId="113"/>
    <cellStyle name="SAPBEXHLevel1 2 2" xfId="158"/>
    <cellStyle name="SAPBEXHLevel1 3" xfId="148"/>
    <cellStyle name="SAPBEXHLevel1X" xfId="92"/>
    <cellStyle name="SAPBEXHLevel1X 2" xfId="114"/>
    <cellStyle name="SAPBEXHLevel1X 2 2" xfId="159"/>
    <cellStyle name="SAPBEXHLevel1X 3" xfId="149"/>
    <cellStyle name="SAPBEXHLevel2" xfId="93"/>
    <cellStyle name="SAPBEXHLevel2 2" xfId="115"/>
    <cellStyle name="SAPBEXHLevel2 2 2" xfId="160"/>
    <cellStyle name="SAPBEXHLevel2 3" xfId="150"/>
    <cellStyle name="SAPBEXHLevel2X" xfId="94"/>
    <cellStyle name="SAPBEXHLevel2X 2" xfId="116"/>
    <cellStyle name="SAPBEXHLevel2X 2 2" xfId="161"/>
    <cellStyle name="SAPBEXHLevel2X 3" xfId="151"/>
    <cellStyle name="SAPBEXHLevel3" xfId="95"/>
    <cellStyle name="SAPBEXHLevel3 2" xfId="117"/>
    <cellStyle name="SAPBEXHLevel3 2 2" xfId="162"/>
    <cellStyle name="SAPBEXHLevel3 3" xfId="152"/>
    <cellStyle name="SAPBEXHLevel3X" xfId="96"/>
    <cellStyle name="SAPBEXHLevel3X 2" xfId="118"/>
    <cellStyle name="SAPBEXHLevel3X 2 2" xfId="163"/>
    <cellStyle name="SAPBEXHLevel3X 3" xfId="153"/>
    <cellStyle name="SAPBEXinputData" xfId="119"/>
    <cellStyle name="SAPBEXinputData 2" xfId="164"/>
    <cellStyle name="SAPBEXresData" xfId="97"/>
    <cellStyle name="SAPBEXresDataEmph" xfId="98"/>
    <cellStyle name="SAPBEXresItem" xfId="99"/>
    <cellStyle name="SAPBEXresItemX" xfId="100"/>
    <cellStyle name="SAPBEXstdData" xfId="101"/>
    <cellStyle name="SAPBEXstdDataEmph" xfId="102"/>
    <cellStyle name="SAPBEXstdItem" xfId="103"/>
    <cellStyle name="SAPBEXstdItemX" xfId="104"/>
    <cellStyle name="SAPBEXtitle" xfId="105"/>
    <cellStyle name="SAPBEXundefined" xfId="106"/>
    <cellStyle name="SAPBorder" xfId="19"/>
    <cellStyle name="SAPDataCell" xfId="2"/>
    <cellStyle name="SAPDataRemoved" xfId="45"/>
    <cellStyle name="SAPDataTotalCell" xfId="3"/>
    <cellStyle name="SAPDimensionCell" xfId="1"/>
    <cellStyle name="SAPEditableDataCell" xfId="4"/>
    <cellStyle name="SAPEditableDataTotalCell" xfId="7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rror" xfId="46"/>
    <cellStyle name="SAPExceptionLevel1" xfId="10"/>
    <cellStyle name="SAPExceptionLevel2" xfId="11"/>
    <cellStyle name="SAPExceptionLevel3" xfId="12"/>
    <cellStyle name="SAPExceptionLevel4" xfId="13"/>
    <cellStyle name="SAPExceptionLevel5" xfId="14"/>
    <cellStyle name="SAPExceptionLevel6" xfId="15"/>
    <cellStyle name="SAPExceptionLevel7" xfId="16"/>
    <cellStyle name="SAPExceptionLevel8" xfId="17"/>
    <cellStyle name="SAPExceptionLevel9" xfId="18"/>
    <cellStyle name="SAPGroupingFillCell" xfId="44"/>
    <cellStyle name="SAPHierarchyCell" xfId="37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HierarchyCell5" xfId="38"/>
    <cellStyle name="SAPHierarchyCell6" xfId="39"/>
    <cellStyle name="SAPHierarchyCell7" xfId="40"/>
    <cellStyle name="SAPHierarchyCell8" xfId="42"/>
    <cellStyle name="SAPHierarchyCell9" xfId="43"/>
    <cellStyle name="SAPHierarchyOddCell" xfId="41"/>
    <cellStyle name="SAPLockedDataCell" xfId="6"/>
    <cellStyle name="SAPLockedDataTotalCell" xfId="9"/>
    <cellStyle name="SAPMemberCell" xfId="20"/>
    <cellStyle name="SAPMemberCellX" xfId="22"/>
    <cellStyle name="SAPMemberTotalCell" xfId="21"/>
    <cellStyle name="SAPMemberTotalCellX" xfId="36"/>
    <cellStyle name="SAPMessageText" xfId="47"/>
    <cellStyle name="SAPReadonlyDataCell" xfId="5"/>
    <cellStyle name="SAPReadonlyDataTotalCell" xfId="8"/>
    <cellStyle name="Spaltenkopf" xfId="167"/>
    <cellStyle name="Standard" xfId="0" builtinId="0" customBuiltin="1"/>
    <cellStyle name="Standard 2" xfId="51"/>
    <cellStyle name="Standard 2 2" xfId="53"/>
    <cellStyle name="Standard 2 2 2" xfId="120"/>
    <cellStyle name="Standard 2 2 2 2" xfId="165"/>
    <cellStyle name="Standard 2 2 3" xfId="134"/>
    <cellStyle name="Standard 2 3" xfId="132"/>
    <cellStyle name="Standard 3" xfId="48"/>
    <cellStyle name="Standard 3 2" xfId="64"/>
    <cellStyle name="Standard 3 2 2" xfId="143"/>
    <cellStyle name="Standard 3 2 3" xfId="176"/>
    <cellStyle name="Standard 4" xfId="61"/>
    <cellStyle name="Standard 4 2" xfId="123"/>
    <cellStyle name="Standard 4 2 2" xfId="166"/>
    <cellStyle name="Standard 4 2 3" xfId="179"/>
    <cellStyle name="Standard 4 3" xfId="140"/>
    <cellStyle name="Standard 4 4" xfId="173"/>
    <cellStyle name="Standard 5" xfId="63"/>
    <cellStyle name="Standard 5 2" xfId="142"/>
    <cellStyle name="Standard 5 3" xfId="175"/>
    <cellStyle name="Standard 6" xfId="126"/>
    <cellStyle name="Standard 7" xfId="129"/>
    <cellStyle name="test" xfId="124"/>
    <cellStyle name="Währung 2" xfId="54"/>
    <cellStyle name="Währung 2 2" xfId="135"/>
    <cellStyle name="Währung 2 3" xfId="169"/>
    <cellStyle name="Währung 3" xfId="58"/>
    <cellStyle name="Währung 3 2" xfId="138"/>
    <cellStyle name="Währung 3 3" xfId="171"/>
  </cellStyles>
  <dxfs count="17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border outline="0">
        <right style="thin">
          <color rgb="FFB2B2B2"/>
        </right>
      </border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38100</xdr:rowOff>
    </xdr:from>
    <xdr:to>
      <xdr:col>7</xdr:col>
      <xdr:colOff>738085</xdr:colOff>
      <xdr:row>55</xdr:row>
      <xdr:rowOff>42772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8100"/>
          <a:ext cx="6053034" cy="8910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52</xdr:row>
          <xdr:rowOff>47625</xdr:rowOff>
        </xdr:from>
        <xdr:to>
          <xdr:col>14</xdr:col>
          <xdr:colOff>314325</xdr:colOff>
          <xdr:row>52</xdr:row>
          <xdr:rowOff>304800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ExterneDaten_1" backgroundRefresh="0" connectionId="3" autoFormatId="16" applyNumberFormats="0" applyBorderFormats="0" applyFontFormats="1" applyPatternFormats="1" applyAlignmentFormats="0" applyWidthHeightFormats="0">
  <queryTableRefresh nextId="3">
    <queryTableFields count="2">
      <queryTableField id="1" name="WGCUEBERS" tableColumnId="3"/>
      <queryTableField id="2" name="WGCUEBERS_T" tableColumnId="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2.xml><?xml version="1.0" encoding="utf-8"?>
<queryTable xmlns="http://schemas.openxmlformats.org/spreadsheetml/2006/main" name="ExterneDaten_1" headers="0" backgroundRefresh="0" connectionId="1" autoFormatId="16" applyNumberFormats="0" applyBorderFormats="0" applyFontFormats="1" applyPatternFormats="1" applyAlignmentFormats="0" applyWidthHeightFormats="0">
  <queryTableRefresh headersInLastRefresh="0" nextId="25" unboundColumnsRight="2">
    <queryTableFields count="22">
      <queryTableField id="1" name="WGCBKMPOS" tableColumnId="13"/>
      <queryTableField id="2" name="WGCWBSELM" tableColumnId="14"/>
      <queryTableField id="3" name="WGCWBSELM_T" tableColumnId="15"/>
      <queryTableField id="4" name="WGCEXIONR" tableColumnId="16"/>
      <queryTableField id="5" name="WGCEXIONR_T" tableColumnId="17"/>
      <queryTableField id="7" name="A0MATERIAL" tableColumnId="19"/>
      <queryTableField id="8" name="A0MATERIAL_T" tableColumnId="20"/>
      <queryTableField id="14" dataBound="0" tableColumnId="25"/>
      <queryTableField id="9" name="EL3VSQZXYB50PMD29M49SA8XX" tableColumnId="21"/>
      <queryTableField id="17" dataBound="0" tableColumnId="28"/>
      <queryTableField id="16" dataBound="0" tableColumnId="27"/>
      <queryTableField id="15" dataBound="0" tableColumnId="26"/>
      <queryTableField id="12" name="EL3VSQZXYB50PMD29M49SBAV9" tableColumnId="24"/>
      <queryTableField id="18" dataBound="0" tableColumnId="29"/>
      <queryTableField id="10" name="EL3VSQZXYB50PMD29M49SAY85" tableColumnId="22"/>
      <queryTableField id="19" dataBound="0" tableColumnId="30"/>
      <queryTableField id="11" name="EL3VSQZXYB50PMD29M49SBNID" tableColumnId="23"/>
      <queryTableField id="20" dataBound="0" tableColumnId="31"/>
      <queryTableField id="21" dataBound="0" tableColumnId="32"/>
      <queryTableField id="6" name="WGCEXIONR_WGCINVOBJ" tableColumnId="18"/>
      <queryTableField id="23" dataBound="0" tableColumnId="33"/>
      <queryTableField id="24" dataBound="0" tableColumnId="3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3.xml><?xml version="1.0" encoding="utf-8"?>
<queryTable xmlns="http://schemas.openxmlformats.org/spreadsheetml/2006/main" name="ExterneDaten_1" backgroundRefresh="0" connectionId="2" autoFormatId="16" applyNumberFormats="0" applyBorderFormats="0" applyFontFormats="1" applyPatternFormats="1" applyAlignmentFormats="0" applyWidthHeightFormats="0">
  <queryTableRefresh nextId="81">
    <queryTableFields count="80">
      <queryTableField id="1" name="WGCBKMVRT" tableColumnId="81"/>
      <queryTableField id="2" name="WGCBKMVRT_T" tableColumnId="82"/>
      <queryTableField id="3" name="WGCBKMVRT_TVCBEGDA" tableColumnId="83"/>
      <queryTableField id="4" name="WGCBKMVRT_TVCENDDA" tableColumnId="84"/>
      <queryTableField id="5" name="WGCBKMVRT_TVCFIINFO" tableColumnId="85"/>
      <queryTableField id="6" name="WGCBKMVRT_TVCZTERM" tableColumnId="86"/>
      <queryTableField id="7" name="WGCBKMVRT_TVCZUSVE_T" tableColumnId="87"/>
      <queryTableField id="8" name="WGCBKMVRT_0VENDOR" tableColumnId="88"/>
      <queryTableField id="9" name="WGCBKMVRT_0VENDOR_T" tableColumnId="89"/>
      <queryTableField id="10" name="WGCBKMVRT_TVCRECSTL" tableColumnId="90"/>
      <queryTableField id="11" name="WGCBKMVRT_TVCRECSTL_T" tableColumnId="91"/>
      <queryTableField id="12" name="WGCBKMVRT_TVCSUBOB1" tableColumnId="92"/>
      <queryTableField id="13" name="WGCBKMVRT_TVCSUBOB1_T" tableColumnId="93"/>
      <queryTableField id="14" name="WGCBKMVRT_TVCBHU" tableColumnId="94"/>
      <queryTableField id="15" name="WGCBKMVRT_TVCBHU_T" tableColumnId="95"/>
      <queryTableField id="16" name="WGCBKMVRT_TVCOERTBL" tableColumnId="96"/>
      <queryTableField id="17" name="WGCBKMVRT_TVCOERTBL_T" tableColumnId="97"/>
      <queryTableField id="18" name="WGCBKMVRT_JECZAHLB" tableColumnId="98"/>
      <queryTableField id="19" name="WGCBKMVRT_JECZAHLB_T" tableColumnId="99"/>
      <queryTableField id="20" name="WGCBKMVRT_TVCCONIE" tableColumnId="100"/>
      <queryTableField id="21" name="WGCBKMVRT_TVCPROLEI" tableColumnId="101"/>
      <queryTableField id="22" name="WGCBKMVRT_TVCPROLEI_T" tableColumnId="102"/>
      <queryTableField id="23" name="WGCBKMVRT_TVCSTPRLE" tableColumnId="103"/>
      <queryTableField id="24" name="WGCBKMVRT_TVCSTPRLE_T" tableColumnId="104"/>
      <queryTableField id="25" name="WGCBKMVRT_TVCVEABS" tableColumnId="105"/>
      <queryTableField id="26" name="WGCBKMVRT_TVCVERAU" tableColumnId="106"/>
      <queryTableField id="27" name="WGCBKMVRT_TVCVESTA" tableColumnId="107"/>
      <queryTableField id="28" name="WGCBKMVRT_TVCVESTA_T" tableColumnId="108"/>
      <queryTableField id="29" name="WGCBKMVRT_TVCVESTJ" tableColumnId="109"/>
      <queryTableField id="30" name="WGCBKMVRT_TVCVESTJ_T" tableColumnId="110"/>
      <queryTableField id="31" name="WGCBKMVRT_TVCORGOB2" tableColumnId="111"/>
      <queryTableField id="32" name="WGCBKMVRT_TVCVEGR1" tableColumnId="112"/>
      <queryTableField id="33" name="WGCBKMVRT_TVCVEGR2" tableColumnId="113"/>
      <queryTableField id="34" name="WGCBKMVRT_TVCALTV" tableColumnId="114"/>
      <queryTableField id="35" name="WGCBKMVRT_WGCVMSWRT" tableColumnId="115"/>
      <queryTableField id="36" name="WGCBKMVRT_WGCVMSWRT_T" tableColumnId="116"/>
      <queryTableField id="37" name="WGCBKMVRT_WGCTEUBER_T" tableColumnId="117"/>
      <queryTableField id="38" name="WGCBKMVRT_WGKZPRZ1" tableColumnId="118"/>
      <queryTableField id="39" name="WGCBKMVRT_WGKZPRZ2" tableColumnId="119"/>
      <queryTableField id="40" name="WGCBKMPOS" tableColumnId="120"/>
      <queryTableField id="41" name="WGCWBSELM" tableColumnId="121"/>
      <queryTableField id="42" name="WGCPROJCT" tableColumnId="122"/>
      <queryTableField id="43" name="WGCPROJCT_T" tableColumnId="123"/>
      <queryTableField id="44" name="WGCPROJCT_WGCPRLEIT_T" tableColumnId="124"/>
      <queryTableField id="45" name="WGCPROJCT__WGCPRLEIT" tableColumnId="125"/>
      <queryTableField id="46" name="WGCPROJCT__WGCPRLEIT_C1CVNAM" tableColumnId="126"/>
      <queryTableField id="47" name="WGCPROJCT__WGCPRLEIT_C1CNNAM" tableColumnId="127"/>
      <queryTableField id="48" name="WGCBKMVRT__TVCZUSVE" tableColumnId="128"/>
      <queryTableField id="49" name="WGCBKMVRT__TVCBHU" tableColumnId="129"/>
      <queryTableField id="50" name="WGCBKMVRT__TVCBHU_T" tableColumnId="130"/>
      <queryTableField id="51" name="WGCBKMVRT__TVCOERTBL" tableColumnId="131"/>
      <queryTableField id="52" name="WGCBKMVRT__TVCOERTBL_T" tableColumnId="132"/>
      <queryTableField id="53" name="WGCBKMVRT__TVCPROLEI" tableColumnId="133"/>
      <queryTableField id="54" name="WGCBKMVRT__TVCPROLEI_T" tableColumnId="134"/>
      <queryTableField id="55" name="WGCBKMVRT__TVCRECSTL" tableColumnId="135"/>
      <queryTableField id="56" name="WGCBKMVRT__TVCRECSTL_T" tableColumnId="136"/>
      <queryTableField id="57" name="WGCBKMVRT__TVCSTPRLE" tableColumnId="137"/>
      <queryTableField id="58" name="WGCBKMVRT__TVCSTPRLE_T" tableColumnId="138"/>
      <queryTableField id="59" name="WGCFILIAL_T" tableColumnId="139"/>
      <queryTableField id="60" name="TVCCONTID" tableColumnId="140"/>
      <queryTableField id="61" name="A0BPARTNER_T" tableColumnId="141"/>
      <queryTableField id="62" name="TVCANSPR" tableColumnId="142"/>
      <queryTableField id="63" name="EL3VSQZXYB50PMD1ROHOH0XMH" tableColumnId="143"/>
      <queryTableField id="64" name="EL3VSQZXYB50PMD1ROHOH0XMH_F" tableColumnId="144"/>
      <queryTableField id="65" name="EL3VSQZXYB50PMD1ROHOH0XMH_E" tableColumnId="145"/>
      <queryTableField id="66" name="EL3VSQZXYB50PMF3PE0TTASEM" tableColumnId="146"/>
      <queryTableField id="67" name="EL3VSQZXYB50PMF3PE0TTASEM_F" tableColumnId="147"/>
      <queryTableField id="68" name="EL3VSQZXYB50PMF3PE0TTASEM_E" tableColumnId="148"/>
      <queryTableField id="69" name="EL3VSQZXYB50PMD1ROHOH1MWP" tableColumnId="149"/>
      <queryTableField id="70" name="EL3VSQZXYB50PMD1ROHOH1MWP_F" tableColumnId="150"/>
      <queryTableField id="71" name="EL3VSQZXYB50PMD1ROHOH1MWP_E" tableColumnId="151"/>
      <queryTableField id="72" name="VV_EXKL" tableColumnId="152"/>
      <queryTableField id="73" name="EL3VSQZXYB50PMD1ROHOH1T89" tableColumnId="153"/>
      <queryTableField id="74" name="EL3VSQZXYB50PMD1ROHOH1T89_F" tableColumnId="154"/>
      <queryTableField id="75" name="EL3VSQZXYB50PMD1ROHOH1T89_E" tableColumnId="155"/>
      <queryTableField id="76" name="EL3VSQZXYB50PMD1ROHOH1ZJT" tableColumnId="156"/>
      <queryTableField id="77" name="EL3VSQZXYB50PMD1ROHOH1ZJT_F" tableColumnId="157"/>
      <queryTableField id="78" name="EL3VSQZXYB50PMD1ROHOH25VD" tableColumnId="158"/>
      <queryTableField id="79" name="EL3VSQZXYB50PMD1ROHOH25VD_F" tableColumnId="159"/>
      <queryTableField id="80" name="EL3VSQZXYB50PMD1ROHOH25VD_E" tableColumnId="160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OData_TranslationData_14:55:37" displayName="OData_TranslationData_14_55_37" ref="A1:B1094" tableType="queryTable" totalsRowShown="0">
  <autoFilter ref="A1:B1094"/>
  <tableColumns count="2">
    <tableColumn id="3" uniqueName="3" name="WGCUEBERS" queryTableFieldId="1"/>
    <tableColumn id="4" uniqueName="4" name="WGCUEBERS_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Mais_Oui_Odata_14:55:20" displayName="Mais_Oui_Odata_14_55_20" ref="A2:V5" tableType="queryTable" headerRowCount="0" totalsRowShown="0">
  <tableColumns count="22">
    <tableColumn id="13" uniqueName="13" name="WGCBKMPOS" queryTableFieldId="1"/>
    <tableColumn id="14" uniqueName="14" name="WGCWBSELM" queryTableFieldId="2"/>
    <tableColumn id="15" uniqueName="15" name="WGCWBSELM_T" queryTableFieldId="3"/>
    <tableColumn id="16" uniqueName="16" name="WGCEXIONR" queryTableFieldId="4"/>
    <tableColumn id="17" uniqueName="17" name="WGCEXIONR_T" queryTableFieldId="5"/>
    <tableColumn id="19" uniqueName="19" name="A0MATERIAL" queryTableFieldId="7"/>
    <tableColumn id="20" uniqueName="20" name="A0MATERIAL_T" queryTableFieldId="8" dataDxfId="15"/>
    <tableColumn id="25" uniqueName="25" name="Spalte1" queryTableFieldId="14" dataDxfId="14" dataCellStyle="Notiz"/>
    <tableColumn id="21" uniqueName="21" name="EL3VSQZXYB50PMD29M49SA8XX" queryTableFieldId="9" dataDxfId="13" dataCellStyle="20 % - Akzent3"/>
    <tableColumn id="28" uniqueName="28" name="Spalte4" queryTableFieldId="17" dataDxfId="12" dataCellStyle="20 % - Akzent3">
      <calculatedColumnFormula>IF(AND(ISERROR(SEARCH({"Teuerung","Renchérissement","Rincaro"},G2)),NOT(IFERROR(Rechnungsart,"")="TE")),ROUND(H2-(H2*IFERROR(VALUE(I2),VALUE(SUBSTITUTE(I2,".",","))))%,2),ROUND(H2,2))</calculatedColumnFormula>
    </tableColumn>
    <tableColumn id="27" uniqueName="27" name="Spalte3" queryTableFieldId="16" dataDxfId="11" dataCellStyle="Notiz"/>
    <tableColumn id="26" uniqueName="26" name="Spalte2" queryTableFieldId="15" dataDxfId="10" dataCellStyle="20 % - Akzent3">
      <calculatedColumnFormula>ROUND(J2+K2,2)</calculatedColumnFormula>
    </tableColumn>
    <tableColumn id="24" uniqueName="24" name="EL3VSQZXYB50PMD29M49SBAV9" queryTableFieldId="12" dataDxfId="9" dataCellStyle="20 % - Akzent3"/>
    <tableColumn id="29" uniqueName="29" name="EL3VSQZXYB50PMD29M49SBAV10" queryTableFieldId="18" dataDxfId="8" dataCellStyle="Notiz">
      <calculatedColumnFormula>IF(Rückbehalt,ROUND(L2*IFERROR(VALUE(M2),VALUE(SUBSTITUTE(M2,".",",")))%,2),0)</calculatedColumnFormula>
    </tableColumn>
    <tableColumn id="22" uniqueName="22" name="EL3VSQZXYB50PMD29M49SAY85" queryTableFieldId="10" dataDxfId="7" dataCellStyle="Notiz"/>
    <tableColumn id="30" uniqueName="30" name="EL3VSQZXYB50PMD29M49SAY86" queryTableFieldId="19" dataDxfId="6" dataCellStyle="20 % - Akzent3">
      <calculatedColumnFormula>ROUND(IF(Rückbehalt,(IF(IFERROR(Schlussrechnung="JA",FALSE),L2+N2,L2-N2)),L2)*(100+IFERROR(VALUE(O2),VALUE(SUBSTITUTE(O2,".",","))))%,2)</calculatedColumnFormula>
    </tableColumn>
    <tableColumn id="23" uniqueName="23" name="EL3VSQZXYB50PMD29M49SBNID" queryTableFieldId="11" dataDxfId="5" dataCellStyle="20 % - Akzent3"/>
    <tableColumn id="31" uniqueName="31" name="Spalte5" queryTableFieldId="20" dataDxfId="4" dataCellStyle="20 % - Akzent3">
      <calculatedColumnFormula>ROUND(P2*IFERROR(VALUE(Q2),VALUE(SUBSTITUTE(Q2,".",",")))%,2)</calculatedColumnFormula>
    </tableColumn>
    <tableColumn id="32" uniqueName="32" name="Spalte6" queryTableFieldId="21" dataDxfId="3" dataCellStyle="20 % - Akzent3">
      <calculatedColumnFormula>ROUND(P2-R2,2)</calculatedColumnFormula>
    </tableColumn>
    <tableColumn id="18" uniqueName="18" name="WGCEXIONR_WGCINVOBJ" queryTableFieldId="6" dataDxfId="2" dataCellStyle="20 % - Akzent3"/>
    <tableColumn id="33" uniqueName="33" name="Spalte7" queryTableFieldId="23" dataDxfId="1" dataCellStyle="20 % - Akzent3">
      <calculatedColumnFormula>ROUND(L2+(L2*O2)/100,2)</calculatedColumnFormula>
    </tableColumn>
    <tableColumn id="34" uniqueName="34" name="Spalte8" queryTableFieldId="24" dataDxfId="0" dataCellStyle="20 % - Akzent3">
      <calculatedColumnFormula>IF(IFERROR(Schlussrechnung="JA",FALSE),P2-U2, U2-P2)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OData_MasterData_14:55:30" displayName="OData_MasterData_14_55_30" ref="A1:CB2" tableType="queryTable" totalsRowShown="0">
  <autoFilter ref="A1:CB2"/>
  <tableColumns count="80">
    <tableColumn id="81" uniqueName="81" name="WGCBKMVRT" queryTableFieldId="1"/>
    <tableColumn id="82" uniqueName="82" name="WGCBKMVRT_T" queryTableFieldId="2"/>
    <tableColumn id="83" uniqueName="83" name="WGCBKMVRT_TVCBEGDA" queryTableFieldId="3"/>
    <tableColumn id="84" uniqueName="84" name="WGCBKMVRT_TVCENDDA" queryTableFieldId="4"/>
    <tableColumn id="85" uniqueName="85" name="WGCBKMVRT_TVCFIINFO" queryTableFieldId="5"/>
    <tableColumn id="86" uniqueName="86" name="WGCBKMVRT_TVCZTERM" queryTableFieldId="6"/>
    <tableColumn id="87" uniqueName="87" name="WGCBKMVRT_TVCZUSVE_T" queryTableFieldId="7"/>
    <tableColumn id="88" uniqueName="88" name="WGCBKMVRT_0VENDOR" queryTableFieldId="8"/>
    <tableColumn id="89" uniqueName="89" name="WGCBKMVRT_0VENDOR_T" queryTableFieldId="9"/>
    <tableColumn id="90" uniqueName="90" name="WGCBKMVRT_TVCRECSTL" queryTableFieldId="10"/>
    <tableColumn id="91" uniqueName="91" name="WGCBKMVRT_TVCRECSTL_T" queryTableFieldId="11"/>
    <tableColumn id="92" uniqueName="92" name="WGCBKMVRT_TVCSUBOB1" queryTableFieldId="12"/>
    <tableColumn id="93" uniqueName="93" name="WGCBKMVRT_TVCSUBOB1_T" queryTableFieldId="13"/>
    <tableColumn id="94" uniqueName="94" name="WGCBKMVRT_TVCBHU" queryTableFieldId="14"/>
    <tableColumn id="95" uniqueName="95" name="WGCBKMVRT_TVCBHU_T" queryTableFieldId="15"/>
    <tableColumn id="96" uniqueName="96" name="WGCBKMVRT_TVCOERTBL" queryTableFieldId="16"/>
    <tableColumn id="97" uniqueName="97" name="WGCBKMVRT_TVCOERTBL_T" queryTableFieldId="17"/>
    <tableColumn id="98" uniqueName="98" name="WGCBKMVRT_JECZAHLB" queryTableFieldId="18"/>
    <tableColumn id="99" uniqueName="99" name="WGCBKMVRT_JECZAHLB_T" queryTableFieldId="19"/>
    <tableColumn id="100" uniqueName="100" name="WGCBKMVRT_TVCCONIE" queryTableFieldId="20"/>
    <tableColumn id="101" uniqueName="101" name="WGCBKMVRT_TVCPROLEI" queryTableFieldId="21"/>
    <tableColumn id="102" uniqueName="102" name="WGCBKMVRT_TVCPROLEI_T" queryTableFieldId="22"/>
    <tableColumn id="103" uniqueName="103" name="WGCBKMVRT_TVCSTPRLE" queryTableFieldId="23"/>
    <tableColumn id="104" uniqueName="104" name="WGCBKMVRT_TVCSTPRLE_T" queryTableFieldId="24"/>
    <tableColumn id="105" uniqueName="105" name="WGCBKMVRT_TVCVEABS" queryTableFieldId="25"/>
    <tableColumn id="106" uniqueName="106" name="WGCBKMVRT_TVCVERAU" queryTableFieldId="26"/>
    <tableColumn id="107" uniqueName="107" name="WGCBKMVRT_TVCVESTA" queryTableFieldId="27"/>
    <tableColumn id="108" uniqueName="108" name="WGCBKMVRT_TVCVESTA_T" queryTableFieldId="28"/>
    <tableColumn id="109" uniqueName="109" name="WGCBKMVRT_TVCVESTJ" queryTableFieldId="29"/>
    <tableColumn id="110" uniqueName="110" name="WGCBKMVRT_TVCVESTJ_T" queryTableFieldId="30"/>
    <tableColumn id="111" uniqueName="111" name="WGCBKMVRT_TVCORGOB2" queryTableFieldId="31"/>
    <tableColumn id="112" uniqueName="112" name="WGCBKMVRT_TVCVEGR1" queryTableFieldId="32"/>
    <tableColumn id="113" uniqueName="113" name="WGCBKMVRT_TVCVEGR2" queryTableFieldId="33"/>
    <tableColumn id="114" uniqueName="114" name="WGCBKMVRT_TVCALTV" queryTableFieldId="34"/>
    <tableColumn id="115" uniqueName="115" name="WGCBKMVRT_WGCVMSWRT" queryTableFieldId="35"/>
    <tableColumn id="116" uniqueName="116" name="WGCBKMVRT_WGCVMSWRT_T" queryTableFieldId="36"/>
    <tableColumn id="117" uniqueName="117" name="WGCBKMVRT_WGCTEUBER_T" queryTableFieldId="37"/>
    <tableColumn id="118" uniqueName="118" name="WGCBKMVRT_WGKZPRZ1" queryTableFieldId="38"/>
    <tableColumn id="119" uniqueName="119" name="WGCBKMVRT_WGKZPRZ2" queryTableFieldId="39"/>
    <tableColumn id="120" uniqueName="120" name="WGCBKMPOS" queryTableFieldId="40"/>
    <tableColumn id="121" uniqueName="121" name="WGCWBSELM" queryTableFieldId="41"/>
    <tableColumn id="122" uniqueName="122" name="WGCPROJCT" queryTableFieldId="42"/>
    <tableColumn id="123" uniqueName="123" name="WGCPROJCT_T" queryTableFieldId="43"/>
    <tableColumn id="124" uniqueName="124" name="WGCPROJCT_WGCPRLEIT_T" queryTableFieldId="44"/>
    <tableColumn id="125" uniqueName="125" name="WGCPROJCT__WGCPRLEIT" queryTableFieldId="45"/>
    <tableColumn id="126" uniqueName="126" name="WGCPROJCT__WGCPRLEIT_C1CVNAM" queryTableFieldId="46"/>
    <tableColumn id="127" uniqueName="127" name="WGCPROJCT__WGCPRLEIT_C1CNNAM" queryTableFieldId="47"/>
    <tableColumn id="128" uniqueName="128" name="WGCBKMVRT__TVCZUSVE" queryTableFieldId="48"/>
    <tableColumn id="129" uniqueName="129" name="WGCBKMVRT__TVCBHU" queryTableFieldId="49"/>
    <tableColumn id="130" uniqueName="130" name="WGCBKMVRT__TVCBHU_T" queryTableFieldId="50"/>
    <tableColumn id="131" uniqueName="131" name="WGCBKMVRT__TVCOERTBL" queryTableFieldId="51"/>
    <tableColumn id="132" uniqueName="132" name="WGCBKMVRT__TVCOERTBL_T" queryTableFieldId="52"/>
    <tableColumn id="133" uniqueName="133" name="WGCBKMVRT__TVCPROLEI" queryTableFieldId="53"/>
    <tableColumn id="134" uniqueName="134" name="WGCBKMVRT__TVCPROLEI_T" queryTableFieldId="54"/>
    <tableColumn id="135" uniqueName="135" name="WGCBKMVRT__TVCRECSTL" queryTableFieldId="55"/>
    <tableColumn id="136" uniqueName="136" name="WGCBKMVRT__TVCRECSTL_T" queryTableFieldId="56"/>
    <tableColumn id="137" uniqueName="137" name="WGCBKMVRT__TVCSTPRLE" queryTableFieldId="57"/>
    <tableColumn id="138" uniqueName="138" name="WGCBKMVRT__TVCSTPRLE_T" queryTableFieldId="58"/>
    <tableColumn id="139" uniqueName="139" name="WGCFILIAL_T" queryTableFieldId="59"/>
    <tableColumn id="140" uniqueName="140" name="TVCCONTID" queryTableFieldId="60"/>
    <tableColumn id="141" uniqueName="141" name="A0BPARTNER_T" queryTableFieldId="61"/>
    <tableColumn id="142" uniqueName="142" name="TVCANSPR" queryTableFieldId="62"/>
    <tableColumn id="143" uniqueName="143" name="EL3VSQZXYB50PMD1ROHOH0XMH" queryTableFieldId="63"/>
    <tableColumn id="144" uniqueName="144" name="EL3VSQZXYB50PMD1ROHOH0XMH_F" queryTableFieldId="64"/>
    <tableColumn id="145" uniqueName="145" name="EL3VSQZXYB50PMD1ROHOH0XMH_E" queryTableFieldId="65"/>
    <tableColumn id="146" uniqueName="146" name="EL3VSQZXYB50PMF3PE0TTASEM" queryTableFieldId="66"/>
    <tableColumn id="147" uniqueName="147" name="EL3VSQZXYB50PMF3PE0TTASEM_F" queryTableFieldId="67"/>
    <tableColumn id="148" uniqueName="148" name="EL3VSQZXYB50PMF3PE0TTASEM_E" queryTableFieldId="68"/>
    <tableColumn id="149" uniqueName="149" name="EL3VSQZXYB50PMD1ROHOH1MWP" queryTableFieldId="69"/>
    <tableColumn id="150" uniqueName="150" name="EL3VSQZXYB50PMD1ROHOH1MWP_F" queryTableFieldId="70"/>
    <tableColumn id="151" uniqueName="151" name="EL3VSQZXYB50PMD1ROHOH1MWP_E" queryTableFieldId="71"/>
    <tableColumn id="152" uniqueName="152" name="VV_EXKL" queryTableFieldId="72"/>
    <tableColumn id="153" uniqueName="153" name="EL3VSQZXYB50PMD1ROHOH1T89" queryTableFieldId="73"/>
    <tableColumn id="154" uniqueName="154" name="EL3VSQZXYB50PMD1ROHOH1T89_F" queryTableFieldId="74"/>
    <tableColumn id="155" uniqueName="155" name="EL3VSQZXYB50PMD1ROHOH1T89_E" queryTableFieldId="75"/>
    <tableColumn id="156" uniqueName="156" name="EL3VSQZXYB50PMD1ROHOH1ZJT" queryTableFieldId="76"/>
    <tableColumn id="157" uniqueName="157" name="EL3VSQZXYB50PMD1ROHOH1ZJT_F" queryTableFieldId="77"/>
    <tableColumn id="158" uniqueName="158" name="EL3VSQZXYB50PMD1ROHOH25VD" queryTableFieldId="78"/>
    <tableColumn id="159" uniqueName="159" name="EL3VSQZXYB50PMD1ROHOH25VD_F" queryTableFieldId="79"/>
    <tableColumn id="160" uniqueName="160" name="EL3VSQZXYB50PMD1ROHOH25VD_E" queryTableField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und Farbpalett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8D8D8"/>
      </a:accent1>
      <a:accent2>
        <a:srgbClr val="3366CC"/>
      </a:accent2>
      <a:accent3>
        <a:srgbClr val="7F7F7F"/>
      </a:accent3>
      <a:accent4>
        <a:srgbClr val="D5E0F5"/>
      </a:accent4>
      <a:accent5>
        <a:srgbClr val="E60000"/>
      </a:accent5>
      <a:accent6>
        <a:srgbClr val="00C800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customProperty" Target="../customProperty6.bin"/><Relationship Id="rId7" Type="http://schemas.openxmlformats.org/officeDocument/2006/relationships/vmlDrawing" Target="../drawings/vmlDrawing2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_Obsolet"/>
  <dimension ref="A1:A4"/>
  <sheetViews>
    <sheetView workbookViewId="0">
      <selection activeCell="A4" sqref="A4"/>
    </sheetView>
  </sheetViews>
  <sheetFormatPr baseColWidth="10" defaultColWidth="11.42578125" defaultRowHeight="12.75"/>
  <sheetData>
    <row r="1" spans="1:1">
      <c r="A1" s="22">
        <v>3</v>
      </c>
    </row>
    <row r="2" spans="1:1">
      <c r="A2" s="23" t="s">
        <v>20</v>
      </c>
    </row>
    <row r="3" spans="1:1" ht="25.5">
      <c r="A3" s="24" t="s">
        <v>33</v>
      </c>
    </row>
    <row r="4" spans="1:1">
      <c r="A4" s="25" t="s">
        <v>4</v>
      </c>
    </row>
  </sheetData>
  <sheetProtection algorithmName="SHA-512" hashValue="eBNLW4/alvm7g22lJXqVhtTCgvJH6E8XN4JaDkSFYwBN42ZHcZuRr1JKjGi8EAKN92z4sjEYoChLCCLQyyXJuw==" saltValue="AByKgZJuwTBroOVtjx4tFA==" spinCount="100000" sheet="1" objects="1" scenarios="1"/>
  <pageMargins left="0.7" right="0.7" top="0.78740157499999996" bottom="0.78740157499999996" header="0.3" footer="0.3"/>
  <customProperties>
    <customPr name="_pios_id" r:id="rId1"/>
    <customPr name="serializedData2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_Obsolet"/>
  <dimension ref="A1"/>
  <sheetViews>
    <sheetView view="pageBreakPreview" topLeftCell="A4" zoomScaleNormal="100" zoomScaleSheetLayoutView="100" workbookViewId="0">
      <selection activeCell="F19" sqref="F19"/>
    </sheetView>
  </sheetViews>
  <sheetFormatPr baseColWidth="10" defaultColWidth="11.42578125" defaultRowHeight="12.75"/>
  <sheetData>
    <row r="1" spans="1:1">
      <c r="A1" s="22"/>
    </row>
  </sheetData>
  <sheetProtection algorithmName="SHA-512" hashValue="5gfXFQZFEfIfyLYXq8LEOYW/EskLkAakV4QtQqNp+X7krGiNBo01juTUg7BxptOUn/UvQ3fUNJb5oDEliDnsqA==" saltValue="dX6cQXsb6jPpfzbV+sXZvQ==" spinCount="100000" sheet="1" objects="1" scenarios="1"/>
  <pageMargins left="0.25" right="0.25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SV61"/>
  <sheetViews>
    <sheetView workbookViewId="0">
      <selection activeCell="D16" sqref="D16"/>
    </sheetView>
  </sheetViews>
  <sheetFormatPr baseColWidth="10" defaultRowHeight="12.75"/>
  <cols>
    <col min="1" max="1" width="16" bestFit="1" customWidth="1"/>
    <col min="2" max="2" width="16.140625" customWidth="1"/>
    <col min="3" max="3" width="15.7109375" style="16" bestFit="1" customWidth="1"/>
    <col min="4" max="4" width="35.7109375" style="16" bestFit="1" customWidth="1"/>
    <col min="5" max="5" width="27.140625" style="16" bestFit="1" customWidth="1"/>
    <col min="6" max="6" width="27" style="16" bestFit="1" customWidth="1"/>
    <col min="7" max="8" width="26.85546875" style="16" bestFit="1" customWidth="1"/>
    <col min="9" max="9" width="29" style="16" bestFit="1" customWidth="1"/>
    <col min="10" max="10" width="25.7109375" style="16" bestFit="1" customWidth="1"/>
    <col min="11" max="11" width="27.85546875" style="16" bestFit="1" customWidth="1"/>
    <col min="12" max="12" width="28" style="16" bestFit="1" customWidth="1"/>
    <col min="13" max="13" width="30.28515625" style="16" bestFit="1" customWidth="1"/>
    <col min="14" max="14" width="28.28515625" style="16" bestFit="1" customWidth="1"/>
    <col min="15" max="15" width="30.5703125" style="16" bestFit="1" customWidth="1"/>
    <col min="16" max="16" width="24.5703125" style="16" bestFit="1" customWidth="1"/>
    <col min="17" max="17" width="26.7109375" style="16" bestFit="1" customWidth="1"/>
    <col min="18" max="18" width="28.140625" style="16" bestFit="1" customWidth="1"/>
    <col min="19" max="19" width="30.42578125" style="16" bestFit="1" customWidth="1"/>
    <col min="20" max="20" width="26.42578125" style="16" bestFit="1" customWidth="1"/>
    <col min="21" max="21" width="28.7109375" style="16" bestFit="1" customWidth="1"/>
    <col min="22" max="22" width="26.42578125" style="16" bestFit="1" customWidth="1"/>
    <col min="23" max="23" width="27.5703125" style="16" bestFit="1" customWidth="1"/>
    <col min="24" max="24" width="29.85546875" style="16" bestFit="1" customWidth="1"/>
    <col min="25" max="25" width="28" style="16" bestFit="1" customWidth="1"/>
    <col min="26" max="26" width="30.28515625" style="16" bestFit="1" customWidth="1"/>
    <col min="27" max="28" width="27" style="16" bestFit="1" customWidth="1"/>
    <col min="29" max="29" width="26.85546875" style="16" bestFit="1" customWidth="1"/>
    <col min="30" max="30" width="29.140625" style="16" bestFit="1" customWidth="1"/>
    <col min="31" max="31" width="26.5703125" style="16" bestFit="1" customWidth="1"/>
    <col min="32" max="32" width="28.85546875" style="16" bestFit="1" customWidth="1"/>
    <col min="33" max="33" width="28.7109375" style="16" bestFit="1" customWidth="1"/>
    <col min="34" max="35" width="26.85546875" style="16" bestFit="1" customWidth="1"/>
    <col min="36" max="36" width="25.5703125" style="16" bestFit="1" customWidth="1"/>
    <col min="37" max="37" width="30.140625" style="16" bestFit="1" customWidth="1"/>
    <col min="38" max="38" width="32.28515625" style="16" bestFit="1" customWidth="1"/>
    <col min="39" max="39" width="31.140625" style="16" bestFit="1" customWidth="1"/>
    <col min="40" max="41" width="27.140625" style="16" bestFit="1" customWidth="1"/>
    <col min="42" max="42" width="15.28515625" style="16" bestFit="1" customWidth="1"/>
    <col min="43" max="43" width="37.85546875" style="16" bestFit="1" customWidth="1"/>
    <col min="44" max="44" width="30" style="16" bestFit="1" customWidth="1"/>
    <col min="45" max="45" width="28.85546875" style="16" bestFit="1" customWidth="1"/>
    <col min="46" max="47" width="39.140625" style="16" bestFit="1" customWidth="1"/>
    <col min="48" max="48" width="27.7109375" style="16" bestFit="1" customWidth="1"/>
    <col min="49" max="49" width="25.5703125" style="16" bestFit="1" customWidth="1"/>
    <col min="50" max="50" width="27.7109375" style="16" bestFit="1" customWidth="1"/>
    <col min="51" max="51" width="29.28515625" style="16" bestFit="1" customWidth="1"/>
    <col min="52" max="52" width="31.42578125" style="16" bestFit="1" customWidth="1"/>
    <col min="53" max="53" width="28.7109375" style="16" bestFit="1" customWidth="1"/>
    <col min="54" max="54" width="30.85546875" style="16" bestFit="1" customWidth="1"/>
    <col min="55" max="55" width="29.140625" style="16" bestFit="1" customWidth="1"/>
    <col min="56" max="56" width="31.28515625" style="16" bestFit="1" customWidth="1"/>
    <col min="57" max="57" width="29.140625" style="16" bestFit="1" customWidth="1"/>
    <col min="58" max="58" width="31.28515625" style="16" bestFit="1" customWidth="1"/>
    <col min="59" max="59" width="15.85546875" style="16" bestFit="1" customWidth="1"/>
    <col min="60" max="60" width="14" style="16" bestFit="1" customWidth="1"/>
    <col min="61" max="61" width="17.7109375" style="16" bestFit="1" customWidth="1"/>
    <col min="62" max="62" width="13.42578125" style="16" bestFit="1" customWidth="1"/>
    <col min="63" max="63" width="34.85546875" style="16" bestFit="1" customWidth="1"/>
    <col min="64" max="65" width="37" style="16" bestFit="1" customWidth="1"/>
    <col min="66" max="66" width="33.85546875" style="16" bestFit="1" customWidth="1"/>
    <col min="67" max="68" width="36" style="16" bestFit="1" customWidth="1"/>
    <col min="69" max="69" width="35.42578125" style="16" bestFit="1" customWidth="1"/>
    <col min="70" max="71" width="37.5703125" style="16" bestFit="1" customWidth="1"/>
    <col min="72" max="72" width="11.7109375" style="16" bestFit="1" customWidth="1"/>
    <col min="73" max="73" width="33.85546875" style="16" bestFit="1" customWidth="1"/>
    <col min="74" max="75" width="36" style="16" bestFit="1" customWidth="1"/>
    <col min="76" max="76" width="33.85546875" style="16" bestFit="1" customWidth="1"/>
    <col min="77" max="77" width="36" style="16" bestFit="1" customWidth="1"/>
    <col min="78" max="78" width="34.28515625" style="16" bestFit="1" customWidth="1"/>
    <col min="79" max="80" width="36.42578125" style="16" bestFit="1" customWidth="1"/>
    <col min="81" max="81" width="18.42578125" style="16" bestFit="1" customWidth="1"/>
    <col min="82" max="82" width="14.85546875" style="16" bestFit="1" customWidth="1"/>
    <col min="83" max="83" width="24.5703125" style="16" bestFit="1" customWidth="1"/>
    <col min="84" max="84" width="27.5703125" style="16" bestFit="1" customWidth="1"/>
    <col min="85" max="85" width="15" style="16" bestFit="1" customWidth="1"/>
    <col min="86" max="86" width="17.5703125" style="16" bestFit="1" customWidth="1"/>
    <col min="87" max="87" width="33.5703125" style="16" bestFit="1" customWidth="1"/>
    <col min="88" max="89" width="33.140625" style="16" bestFit="1" customWidth="1"/>
    <col min="90" max="90" width="33.5703125" style="16" bestFit="1" customWidth="1"/>
    <col min="91" max="91" width="15.7109375" style="16" bestFit="1" customWidth="1"/>
    <col min="92" max="92" width="17.85546875" style="16" bestFit="1" customWidth="1"/>
    <col min="93" max="93" width="27.140625" style="16" bestFit="1" customWidth="1"/>
    <col min="94" max="94" width="27" style="16" bestFit="1" customWidth="1"/>
    <col min="95" max="96" width="26.85546875" style="16" bestFit="1" customWidth="1"/>
    <col min="97" max="97" width="29" style="16" bestFit="1" customWidth="1"/>
    <col min="98" max="98" width="25.7109375" style="16" bestFit="1" customWidth="1"/>
    <col min="99" max="99" width="27.85546875" style="16" bestFit="1" customWidth="1"/>
    <col min="100" max="100" width="28" style="16" bestFit="1" customWidth="1"/>
    <col min="101" max="101" width="30.28515625" style="16" bestFit="1" customWidth="1"/>
    <col min="102" max="102" width="28.28515625" style="16" bestFit="1" customWidth="1"/>
    <col min="103" max="103" width="30.5703125" style="16" bestFit="1" customWidth="1"/>
    <col min="104" max="104" width="24.5703125" style="16" bestFit="1" customWidth="1"/>
    <col min="105" max="105" width="26.7109375" style="16" bestFit="1" customWidth="1"/>
    <col min="106" max="106" width="28.140625" style="16" bestFit="1" customWidth="1"/>
    <col min="107" max="107" width="30.42578125" style="16" bestFit="1" customWidth="1"/>
    <col min="108" max="108" width="26.42578125" style="16" bestFit="1" customWidth="1"/>
    <col min="109" max="109" width="28.7109375" style="16" bestFit="1" customWidth="1"/>
    <col min="110" max="110" width="26.42578125" style="16" bestFit="1" customWidth="1"/>
    <col min="111" max="111" width="27.5703125" style="16" bestFit="1" customWidth="1"/>
    <col min="112" max="112" width="29.85546875" style="16" bestFit="1" customWidth="1"/>
    <col min="113" max="113" width="28" style="16" bestFit="1" customWidth="1"/>
    <col min="114" max="114" width="30.28515625" style="16" bestFit="1" customWidth="1"/>
    <col min="115" max="116" width="27" style="16" bestFit="1" customWidth="1"/>
    <col min="117" max="117" width="26.85546875" style="16" bestFit="1" customWidth="1"/>
    <col min="118" max="118" width="29.140625" style="16" bestFit="1" customWidth="1"/>
    <col min="119" max="119" width="26.5703125" style="16" bestFit="1" customWidth="1"/>
    <col min="120" max="120" width="28.85546875" style="16" bestFit="1" customWidth="1"/>
    <col min="121" max="121" width="28.7109375" style="16" bestFit="1" customWidth="1"/>
    <col min="122" max="123" width="26.85546875" style="16" bestFit="1" customWidth="1"/>
    <col min="124" max="124" width="25.5703125" style="16" bestFit="1" customWidth="1"/>
    <col min="125" max="125" width="30.140625" style="16" bestFit="1" customWidth="1"/>
    <col min="126" max="126" width="32.28515625" style="16" bestFit="1" customWidth="1"/>
    <col min="127" max="127" width="31.140625" style="16" bestFit="1" customWidth="1"/>
    <col min="128" max="129" width="27.140625" style="16" bestFit="1" customWidth="1"/>
    <col min="130" max="130" width="15.28515625" style="16" bestFit="1" customWidth="1"/>
    <col min="131" max="131" width="21" style="16" bestFit="1" customWidth="1"/>
    <col min="132" max="132" width="30" style="16" bestFit="1" customWidth="1"/>
    <col min="133" max="133" width="28.85546875" style="16" bestFit="1" customWidth="1"/>
    <col min="134" max="135" width="39.140625" style="16" bestFit="1" customWidth="1"/>
    <col min="136" max="136" width="27.7109375" style="16" bestFit="1" customWidth="1"/>
    <col min="137" max="137" width="25.5703125" style="16" bestFit="1" customWidth="1"/>
    <col min="138" max="138" width="27.7109375" style="16" bestFit="1" customWidth="1"/>
    <col min="139" max="139" width="29.28515625" style="16" bestFit="1" customWidth="1"/>
    <col min="140" max="140" width="31.42578125" style="16" bestFit="1" customWidth="1"/>
    <col min="141" max="141" width="28.7109375" style="16" bestFit="1" customWidth="1"/>
    <col min="142" max="142" width="30.85546875" style="16" bestFit="1" customWidth="1"/>
    <col min="143" max="143" width="29.140625" style="16" bestFit="1" customWidth="1"/>
    <col min="144" max="144" width="31.28515625" style="16" bestFit="1" customWidth="1"/>
    <col min="145" max="145" width="29.140625" style="16" bestFit="1" customWidth="1"/>
    <col min="146" max="146" width="31.28515625" style="16" bestFit="1" customWidth="1"/>
    <col min="147" max="147" width="15.85546875" style="16" bestFit="1" customWidth="1"/>
    <col min="148" max="148" width="14" style="16" bestFit="1" customWidth="1"/>
    <col min="149" max="149" width="17.7109375" style="16" bestFit="1" customWidth="1"/>
    <col min="150" max="150" width="13.42578125" style="16" bestFit="1" customWidth="1"/>
    <col min="151" max="151" width="34.85546875" style="16" bestFit="1" customWidth="1"/>
    <col min="152" max="153" width="37" style="16" bestFit="1" customWidth="1"/>
    <col min="154" max="154" width="33.85546875" style="16" bestFit="1" customWidth="1"/>
    <col min="155" max="156" width="36" style="16" bestFit="1" customWidth="1"/>
    <col min="157" max="157" width="35.42578125" style="16" bestFit="1" customWidth="1"/>
    <col min="158" max="159" width="37.5703125" style="16" bestFit="1" customWidth="1"/>
    <col min="160" max="160" width="12.5703125" style="16" bestFit="1" customWidth="1"/>
    <col min="161" max="161" width="33.85546875" style="16" bestFit="1" customWidth="1"/>
    <col min="162" max="163" width="36" style="16" bestFit="1" customWidth="1"/>
    <col min="164" max="164" width="33.85546875" style="16" bestFit="1" customWidth="1"/>
    <col min="165" max="165" width="36" style="16" bestFit="1" customWidth="1"/>
    <col min="166" max="166" width="34.28515625" style="16" bestFit="1" customWidth="1"/>
    <col min="167" max="168" width="36.42578125" style="16" bestFit="1" customWidth="1"/>
    <col min="169" max="169" width="27.85546875" style="16" bestFit="1" customWidth="1"/>
    <col min="170" max="170" width="14.85546875" style="16" bestFit="1" customWidth="1"/>
    <col min="171" max="171" width="38" style="16" bestFit="1" customWidth="1"/>
    <col min="172" max="172" width="27.5703125" style="16" bestFit="1" customWidth="1"/>
    <col min="173" max="173" width="15" style="16" bestFit="1" customWidth="1"/>
    <col min="174" max="174" width="23.5703125" style="16" bestFit="1" customWidth="1"/>
    <col min="175" max="175" width="33.5703125" style="16" bestFit="1" customWidth="1"/>
    <col min="176" max="177" width="33.140625" style="16" bestFit="1" customWidth="1"/>
    <col min="178" max="178" width="33.5703125" style="16" bestFit="1" customWidth="1"/>
    <col min="179" max="179" width="15.7109375" style="16" bestFit="1" customWidth="1"/>
    <col min="180" max="180" width="17.85546875" style="16" bestFit="1" customWidth="1"/>
    <col min="181" max="181" width="27.140625" style="16" bestFit="1" customWidth="1"/>
    <col min="182" max="182" width="27" style="16" bestFit="1" customWidth="1"/>
    <col min="183" max="184" width="26.85546875" style="16" bestFit="1" customWidth="1"/>
    <col min="185" max="185" width="29" style="16" bestFit="1" customWidth="1"/>
    <col min="186" max="186" width="25.7109375" style="16" bestFit="1" customWidth="1"/>
    <col min="187" max="187" width="27.85546875" style="16" bestFit="1" customWidth="1"/>
    <col min="188" max="188" width="28" style="16" bestFit="1" customWidth="1"/>
    <col min="189" max="189" width="30.28515625" style="16" bestFit="1" customWidth="1"/>
    <col min="190" max="190" width="28.28515625" style="16" bestFit="1" customWidth="1"/>
    <col min="191" max="191" width="30.5703125" style="16" bestFit="1" customWidth="1"/>
    <col min="192" max="192" width="24.5703125" style="16" bestFit="1" customWidth="1"/>
    <col min="193" max="193" width="26.7109375" style="16" bestFit="1" customWidth="1"/>
    <col min="194" max="194" width="28.140625" style="16" bestFit="1" customWidth="1"/>
    <col min="195" max="195" width="30.42578125" style="16" bestFit="1" customWidth="1"/>
    <col min="196" max="196" width="26.42578125" style="16" bestFit="1" customWidth="1"/>
    <col min="197" max="197" width="28.7109375" style="16" bestFit="1" customWidth="1"/>
    <col min="198" max="198" width="26.42578125" style="16" bestFit="1" customWidth="1"/>
    <col min="199" max="199" width="27.5703125" style="16" bestFit="1" customWidth="1"/>
    <col min="200" max="200" width="29.85546875" style="16" bestFit="1" customWidth="1"/>
    <col min="201" max="201" width="28" style="16" bestFit="1" customWidth="1"/>
    <col min="202" max="202" width="30.28515625" style="16" bestFit="1" customWidth="1"/>
    <col min="203" max="204" width="27" style="16" bestFit="1" customWidth="1"/>
    <col min="205" max="205" width="26.85546875" style="16" bestFit="1" customWidth="1"/>
    <col min="206" max="206" width="29.140625" style="16" bestFit="1" customWidth="1"/>
    <col min="207" max="207" width="26.5703125" style="16" bestFit="1" customWidth="1"/>
    <col min="208" max="208" width="28.85546875" style="16" bestFit="1" customWidth="1"/>
    <col min="209" max="209" width="28.7109375" style="16" bestFit="1" customWidth="1"/>
    <col min="210" max="211" width="26.85546875" style="16" bestFit="1" customWidth="1"/>
    <col min="212" max="212" width="25.5703125" style="16" bestFit="1" customWidth="1"/>
    <col min="213" max="213" width="30.140625" style="16" bestFit="1" customWidth="1"/>
    <col min="214" max="214" width="32.28515625" style="16" bestFit="1" customWidth="1"/>
    <col min="215" max="215" width="31.140625" style="16" bestFit="1" customWidth="1"/>
    <col min="216" max="217" width="27.140625" style="16" bestFit="1" customWidth="1"/>
    <col min="218" max="218" width="15.28515625" style="16" bestFit="1" customWidth="1"/>
    <col min="219" max="219" width="21" style="16" bestFit="1" customWidth="1"/>
    <col min="220" max="220" width="30" style="16" bestFit="1" customWidth="1"/>
    <col min="221" max="221" width="28.85546875" style="16" bestFit="1" customWidth="1"/>
    <col min="222" max="223" width="39.140625" style="16" bestFit="1" customWidth="1"/>
    <col min="224" max="224" width="27.7109375" style="16" bestFit="1" customWidth="1"/>
    <col min="225" max="225" width="25.5703125" style="16" bestFit="1" customWidth="1"/>
    <col min="226" max="226" width="27.7109375" style="16" bestFit="1" customWidth="1"/>
    <col min="227" max="227" width="29.28515625" style="16" bestFit="1" customWidth="1"/>
    <col min="228" max="228" width="31.42578125" style="16" bestFit="1" customWidth="1"/>
    <col min="229" max="229" width="28.7109375" style="16" bestFit="1" customWidth="1"/>
    <col min="230" max="230" width="30.85546875" style="16" bestFit="1" customWidth="1"/>
    <col min="231" max="231" width="29.140625" style="16" bestFit="1" customWidth="1"/>
    <col min="232" max="232" width="31.28515625" style="16" bestFit="1" customWidth="1"/>
    <col min="233" max="233" width="29.140625" style="16" bestFit="1" customWidth="1"/>
    <col min="234" max="234" width="31.28515625" style="16" bestFit="1" customWidth="1"/>
    <col min="235" max="235" width="15.85546875" style="16" bestFit="1" customWidth="1"/>
    <col min="236" max="236" width="14" style="16" bestFit="1" customWidth="1"/>
    <col min="237" max="237" width="17.7109375" style="16" bestFit="1" customWidth="1"/>
    <col min="238" max="238" width="13.42578125" style="16" bestFit="1" customWidth="1"/>
    <col min="239" max="239" width="34.85546875" style="16" bestFit="1" customWidth="1"/>
    <col min="240" max="241" width="37" style="16" bestFit="1" customWidth="1"/>
    <col min="242" max="242" width="33.85546875" style="16" bestFit="1" customWidth="1"/>
    <col min="243" max="244" width="36" style="16" bestFit="1" customWidth="1"/>
    <col min="245" max="245" width="35.42578125" style="16" bestFit="1" customWidth="1"/>
    <col min="246" max="247" width="37.5703125" style="16" bestFit="1" customWidth="1"/>
    <col min="248" max="248" width="12.5703125" style="16" bestFit="1" customWidth="1"/>
    <col min="249" max="249" width="33.85546875" style="16" bestFit="1" customWidth="1"/>
    <col min="250" max="251" width="36" style="16" bestFit="1" customWidth="1"/>
    <col min="252" max="252" width="33.85546875" style="16" bestFit="1" customWidth="1"/>
    <col min="253" max="253" width="36" style="16" bestFit="1" customWidth="1"/>
    <col min="254" max="254" width="34.28515625" style="16" bestFit="1" customWidth="1"/>
    <col min="255" max="256" width="36.42578125" style="16" bestFit="1" customWidth="1"/>
    <col min="257" max="257" width="27.85546875" style="16" bestFit="1" customWidth="1"/>
    <col min="258" max="258" width="14.85546875" style="16" bestFit="1" customWidth="1"/>
    <col min="259" max="259" width="38" style="16" bestFit="1" customWidth="1"/>
    <col min="260" max="260" width="27.5703125" style="16" bestFit="1" customWidth="1"/>
    <col min="261" max="261" width="15" style="16" bestFit="1" customWidth="1"/>
    <col min="262" max="262" width="23.5703125" style="16" bestFit="1" customWidth="1"/>
    <col min="263" max="263" width="33.5703125" style="16" bestFit="1" customWidth="1"/>
    <col min="264" max="265" width="33.140625" style="16" bestFit="1" customWidth="1"/>
    <col min="266" max="266" width="33.5703125" style="16" bestFit="1" customWidth="1"/>
    <col min="267" max="267" width="15.7109375" style="16" bestFit="1" customWidth="1"/>
    <col min="268" max="268" width="38.42578125" style="16" bestFit="1" customWidth="1"/>
    <col min="269" max="269" width="27.140625" style="16" bestFit="1" customWidth="1"/>
    <col min="270" max="270" width="27" style="16" bestFit="1" customWidth="1"/>
    <col min="271" max="272" width="26.85546875" style="16" bestFit="1" customWidth="1"/>
    <col min="273" max="273" width="29" style="16" bestFit="1" customWidth="1"/>
    <col min="274" max="274" width="25.7109375" style="16" bestFit="1" customWidth="1"/>
    <col min="275" max="275" width="27.85546875" style="16" bestFit="1" customWidth="1"/>
    <col min="276" max="276" width="28" style="16" bestFit="1" customWidth="1"/>
    <col min="277" max="277" width="30.28515625" style="16" bestFit="1" customWidth="1"/>
    <col min="278" max="278" width="28.28515625" style="16" bestFit="1" customWidth="1"/>
    <col min="279" max="279" width="30.5703125" style="16" bestFit="1" customWidth="1"/>
    <col min="280" max="280" width="24.5703125" style="16" bestFit="1" customWidth="1"/>
    <col min="281" max="281" width="26.7109375" style="16" bestFit="1" customWidth="1"/>
    <col min="282" max="282" width="28.140625" style="16" bestFit="1" customWidth="1"/>
    <col min="283" max="283" width="30.42578125" style="16" bestFit="1" customWidth="1"/>
    <col min="284" max="284" width="26.42578125" style="16" bestFit="1" customWidth="1"/>
    <col min="285" max="285" width="28.7109375" style="16" bestFit="1" customWidth="1"/>
    <col min="286" max="286" width="26.42578125" style="16" bestFit="1" customWidth="1"/>
    <col min="287" max="287" width="27.5703125" style="16" bestFit="1" customWidth="1"/>
    <col min="288" max="288" width="29.85546875" style="16" bestFit="1" customWidth="1"/>
    <col min="289" max="289" width="28" style="16" bestFit="1" customWidth="1"/>
    <col min="290" max="290" width="30.28515625" style="16" bestFit="1" customWidth="1"/>
    <col min="291" max="292" width="27" style="16" bestFit="1" customWidth="1"/>
    <col min="293" max="293" width="26.85546875" style="16" bestFit="1" customWidth="1"/>
    <col min="294" max="294" width="29.140625" style="16" bestFit="1" customWidth="1"/>
    <col min="295" max="295" width="26.5703125" style="16" bestFit="1" customWidth="1"/>
    <col min="296" max="296" width="28.85546875" style="16" bestFit="1" customWidth="1"/>
    <col min="297" max="297" width="28.7109375" style="16" bestFit="1" customWidth="1"/>
    <col min="298" max="299" width="26.85546875" style="16" bestFit="1" customWidth="1"/>
    <col min="300" max="300" width="25.5703125" style="16" bestFit="1" customWidth="1"/>
    <col min="301" max="301" width="30.140625" style="16" bestFit="1" customWidth="1"/>
    <col min="302" max="302" width="32.28515625" style="16" bestFit="1" customWidth="1"/>
    <col min="303" max="303" width="31.140625" style="16" bestFit="1" customWidth="1"/>
    <col min="304" max="305" width="27.140625" style="16" bestFit="1" customWidth="1"/>
    <col min="306" max="306" width="15.28515625" style="16" bestFit="1" customWidth="1"/>
    <col min="307" max="307" width="36.7109375" style="16" bestFit="1" customWidth="1"/>
    <col min="308" max="308" width="30" style="16" bestFit="1" customWidth="1"/>
    <col min="309" max="309" width="28.85546875" style="16" bestFit="1" customWidth="1"/>
    <col min="310" max="311" width="39.140625" style="16" bestFit="1" customWidth="1"/>
    <col min="312" max="312" width="27.7109375" style="16" bestFit="1" customWidth="1"/>
    <col min="313" max="313" width="25.5703125" style="16" bestFit="1" customWidth="1"/>
    <col min="314" max="314" width="27.7109375" style="16" bestFit="1" customWidth="1"/>
    <col min="315" max="315" width="29.28515625" style="16" bestFit="1" customWidth="1"/>
    <col min="316" max="316" width="31.42578125" style="16" bestFit="1" customWidth="1"/>
    <col min="317" max="317" width="28.7109375" style="16" bestFit="1" customWidth="1"/>
    <col min="318" max="318" width="30.85546875" style="16" bestFit="1" customWidth="1"/>
    <col min="319" max="319" width="29.140625" style="16" bestFit="1" customWidth="1"/>
    <col min="320" max="320" width="31.28515625" style="16" bestFit="1" customWidth="1"/>
    <col min="321" max="321" width="29.140625" style="16" bestFit="1" customWidth="1"/>
    <col min="322" max="322" width="31.28515625" style="16" bestFit="1" customWidth="1"/>
    <col min="323" max="323" width="15.85546875" style="16" bestFit="1" customWidth="1"/>
    <col min="324" max="324" width="14" style="16" bestFit="1" customWidth="1"/>
    <col min="325" max="325" width="17.7109375" style="16" bestFit="1" customWidth="1"/>
    <col min="326" max="326" width="13.42578125" style="16" bestFit="1" customWidth="1"/>
    <col min="327" max="327" width="34.85546875" style="16" bestFit="1" customWidth="1"/>
    <col min="328" max="329" width="37" style="16" bestFit="1" customWidth="1"/>
    <col min="330" max="330" width="33.85546875" style="16" bestFit="1" customWidth="1"/>
    <col min="331" max="332" width="36" style="16" bestFit="1" customWidth="1"/>
    <col min="333" max="333" width="35.42578125" style="16" bestFit="1" customWidth="1"/>
    <col min="334" max="335" width="37.5703125" style="16" bestFit="1" customWidth="1"/>
    <col min="336" max="336" width="11.7109375" style="16" bestFit="1" customWidth="1"/>
    <col min="337" max="337" width="33.85546875" style="16" bestFit="1" customWidth="1"/>
    <col min="338" max="339" width="36" style="16" bestFit="1" customWidth="1"/>
    <col min="340" max="340" width="33.85546875" style="16" bestFit="1" customWidth="1"/>
    <col min="341" max="341" width="36" style="16" bestFit="1" customWidth="1"/>
    <col min="342" max="342" width="34.28515625" style="16" bestFit="1" customWidth="1"/>
    <col min="343" max="344" width="36.42578125" style="16" bestFit="1" customWidth="1"/>
    <col min="345" max="345" width="18.42578125" style="16" bestFit="1" customWidth="1"/>
    <col min="346" max="346" width="14.85546875" style="16" bestFit="1" customWidth="1"/>
    <col min="347" max="347" width="34.7109375" style="16" bestFit="1" customWidth="1"/>
    <col min="348" max="348" width="27.5703125" style="16" bestFit="1" customWidth="1"/>
    <col min="349" max="349" width="15" style="16" bestFit="1" customWidth="1"/>
    <col min="350" max="350" width="17.140625" style="16" bestFit="1" customWidth="1"/>
    <col min="351" max="351" width="33.5703125" style="16" bestFit="1" customWidth="1"/>
    <col min="352" max="353" width="33.140625" style="16" bestFit="1" customWidth="1"/>
    <col min="354" max="354" width="33.5703125" style="16" bestFit="1" customWidth="1"/>
    <col min="355" max="355" width="15.7109375" style="16" bestFit="1" customWidth="1"/>
    <col min="356" max="356" width="38.42578125" style="16" bestFit="1" customWidth="1"/>
    <col min="357" max="357" width="27.140625" style="16" bestFit="1" customWidth="1"/>
    <col min="358" max="358" width="27" style="16" bestFit="1" customWidth="1"/>
    <col min="359" max="360" width="26.85546875" style="16" bestFit="1" customWidth="1"/>
    <col min="361" max="361" width="29" style="16" bestFit="1" customWidth="1"/>
    <col min="362" max="362" width="25.7109375" style="16" bestFit="1" customWidth="1"/>
    <col min="363" max="363" width="27.85546875" style="16" bestFit="1" customWidth="1"/>
    <col min="364" max="364" width="28" style="16" bestFit="1" customWidth="1"/>
    <col min="365" max="365" width="30.28515625" style="16" bestFit="1" customWidth="1"/>
    <col min="366" max="366" width="28.28515625" style="16" bestFit="1" customWidth="1"/>
    <col min="367" max="367" width="30.5703125" style="16" bestFit="1" customWidth="1"/>
    <col min="368" max="368" width="24.5703125" style="16" bestFit="1" customWidth="1"/>
    <col min="369" max="369" width="26.7109375" style="16" bestFit="1" customWidth="1"/>
    <col min="370" max="370" width="28.140625" style="16" bestFit="1" customWidth="1"/>
    <col min="371" max="371" width="30.42578125" style="16" bestFit="1" customWidth="1"/>
    <col min="372" max="372" width="26.42578125" style="16" bestFit="1" customWidth="1"/>
    <col min="373" max="373" width="28.7109375" style="16" bestFit="1" customWidth="1"/>
    <col min="374" max="374" width="26.42578125" style="16" bestFit="1" customWidth="1"/>
    <col min="375" max="375" width="27.5703125" style="16" bestFit="1" customWidth="1"/>
    <col min="376" max="376" width="29.85546875" style="16" bestFit="1" customWidth="1"/>
    <col min="377" max="377" width="28" style="16" bestFit="1" customWidth="1"/>
    <col min="378" max="378" width="30.28515625" style="16" bestFit="1" customWidth="1"/>
    <col min="379" max="380" width="27" style="16" bestFit="1" customWidth="1"/>
    <col min="381" max="381" width="26.85546875" style="16" bestFit="1" customWidth="1"/>
    <col min="382" max="382" width="29.140625" style="16" bestFit="1" customWidth="1"/>
    <col min="383" max="383" width="26.5703125" style="16" bestFit="1" customWidth="1"/>
    <col min="384" max="384" width="28.85546875" style="16" bestFit="1" customWidth="1"/>
    <col min="385" max="385" width="28.7109375" style="16" bestFit="1" customWidth="1"/>
    <col min="386" max="387" width="26.85546875" style="16" bestFit="1" customWidth="1"/>
    <col min="388" max="388" width="25.5703125" style="16" bestFit="1" customWidth="1"/>
    <col min="389" max="389" width="30.140625" style="16" bestFit="1" customWidth="1"/>
    <col min="390" max="390" width="32.28515625" style="16" bestFit="1" customWidth="1"/>
    <col min="391" max="391" width="31.140625" style="16" bestFit="1" customWidth="1"/>
    <col min="392" max="393" width="27.140625" style="16" bestFit="1" customWidth="1"/>
    <col min="394" max="394" width="15.28515625" style="16" bestFit="1" customWidth="1"/>
    <col min="395" max="395" width="36.7109375" style="16" bestFit="1" customWidth="1"/>
    <col min="396" max="396" width="30" style="16" bestFit="1" customWidth="1"/>
    <col min="397" max="397" width="28.85546875" style="16" bestFit="1" customWidth="1"/>
    <col min="398" max="399" width="39.140625" style="16" bestFit="1" customWidth="1"/>
    <col min="400" max="400" width="27.7109375" style="16" bestFit="1" customWidth="1"/>
    <col min="401" max="401" width="25.5703125" style="16" bestFit="1" customWidth="1"/>
    <col min="402" max="402" width="27.7109375" style="16" bestFit="1" customWidth="1"/>
    <col min="403" max="403" width="29.28515625" style="16" bestFit="1" customWidth="1"/>
    <col min="404" max="404" width="31.42578125" style="16" bestFit="1" customWidth="1"/>
    <col min="405" max="405" width="28.7109375" style="16" bestFit="1" customWidth="1"/>
    <col min="406" max="406" width="30.85546875" style="16" bestFit="1" customWidth="1"/>
    <col min="407" max="407" width="29.140625" style="16" bestFit="1" customWidth="1"/>
    <col min="408" max="408" width="31.28515625" style="16" bestFit="1" customWidth="1"/>
    <col min="409" max="409" width="29.140625" style="16" bestFit="1" customWidth="1"/>
    <col min="410" max="410" width="31.28515625" style="16" bestFit="1" customWidth="1"/>
    <col min="411" max="411" width="15.85546875" style="16" bestFit="1" customWidth="1"/>
    <col min="412" max="412" width="14" style="16" bestFit="1" customWidth="1"/>
    <col min="413" max="413" width="17.7109375" style="16" bestFit="1" customWidth="1"/>
    <col min="414" max="414" width="13.42578125" style="16" bestFit="1" customWidth="1"/>
    <col min="415" max="415" width="34.85546875" style="16" bestFit="1" customWidth="1"/>
    <col min="416" max="417" width="37" style="16" bestFit="1" customWidth="1"/>
    <col min="418" max="418" width="33.85546875" style="16" bestFit="1" customWidth="1"/>
    <col min="419" max="420" width="36" style="16" bestFit="1" customWidth="1"/>
    <col min="421" max="421" width="35.42578125" style="16" bestFit="1" customWidth="1"/>
    <col min="422" max="423" width="37.5703125" style="16" bestFit="1" customWidth="1"/>
    <col min="424" max="424" width="11.7109375" style="16" bestFit="1" customWidth="1"/>
    <col min="425" max="425" width="33.85546875" style="16" bestFit="1" customWidth="1"/>
    <col min="426" max="427" width="36" style="16" bestFit="1" customWidth="1"/>
    <col min="428" max="428" width="33.85546875" style="16" bestFit="1" customWidth="1"/>
    <col min="429" max="429" width="36" style="16" bestFit="1" customWidth="1"/>
    <col min="430" max="430" width="34.28515625" style="16" bestFit="1" customWidth="1"/>
    <col min="431" max="432" width="36.42578125" style="16" bestFit="1" customWidth="1"/>
    <col min="433" max="433" width="18.42578125" style="16" bestFit="1" customWidth="1"/>
    <col min="434" max="434" width="14.85546875" style="16" bestFit="1" customWidth="1"/>
    <col min="435" max="435" width="34.7109375" style="16" bestFit="1" customWidth="1"/>
    <col min="436" max="436" width="27.5703125" style="16" bestFit="1" customWidth="1"/>
    <col min="437" max="437" width="15" style="16" bestFit="1" customWidth="1"/>
    <col min="438" max="438" width="17.140625" style="16" bestFit="1" customWidth="1"/>
    <col min="439" max="439" width="33.5703125" style="16" bestFit="1" customWidth="1"/>
    <col min="440" max="441" width="33.140625" style="16" bestFit="1" customWidth="1"/>
    <col min="442" max="442" width="33.5703125" style="16" bestFit="1" customWidth="1"/>
    <col min="443" max="443" width="15.7109375" style="16" bestFit="1" customWidth="1"/>
    <col min="444" max="444" width="38.42578125" style="16" bestFit="1" customWidth="1"/>
    <col min="445" max="445" width="27.140625" style="16" bestFit="1" customWidth="1"/>
    <col min="446" max="446" width="27" style="16" bestFit="1" customWidth="1"/>
    <col min="447" max="448" width="26.85546875" style="16" bestFit="1" customWidth="1"/>
    <col min="449" max="449" width="29" style="16" bestFit="1" customWidth="1"/>
    <col min="450" max="450" width="25.7109375" style="16" bestFit="1" customWidth="1"/>
    <col min="451" max="451" width="27.85546875" style="16" bestFit="1" customWidth="1"/>
    <col min="452" max="452" width="28" style="16" bestFit="1" customWidth="1"/>
    <col min="453" max="453" width="30.28515625" style="16" bestFit="1" customWidth="1"/>
    <col min="454" max="454" width="28.28515625" style="16" bestFit="1" customWidth="1"/>
    <col min="455" max="455" width="30.5703125" style="16" bestFit="1" customWidth="1"/>
    <col min="456" max="456" width="24.5703125" style="16" bestFit="1" customWidth="1"/>
    <col min="457" max="457" width="26.7109375" style="16" bestFit="1" customWidth="1"/>
    <col min="458" max="458" width="28.140625" style="16" bestFit="1" customWidth="1"/>
    <col min="459" max="459" width="30.42578125" style="16" bestFit="1" customWidth="1"/>
    <col min="460" max="460" width="26.42578125" style="16" bestFit="1" customWidth="1"/>
    <col min="461" max="461" width="28.7109375" style="16" bestFit="1" customWidth="1"/>
    <col min="462" max="462" width="26.42578125" style="16" bestFit="1" customWidth="1"/>
    <col min="463" max="463" width="27.5703125" style="16" bestFit="1" customWidth="1"/>
    <col min="464" max="464" width="29.85546875" style="16" bestFit="1" customWidth="1"/>
    <col min="465" max="465" width="28" style="16" bestFit="1" customWidth="1"/>
    <col min="466" max="466" width="30.28515625" style="16" bestFit="1" customWidth="1"/>
    <col min="467" max="468" width="27" style="16" bestFit="1" customWidth="1"/>
    <col min="469" max="469" width="26.85546875" style="16" bestFit="1" customWidth="1"/>
    <col min="470" max="470" width="29.140625" style="16" bestFit="1" customWidth="1"/>
    <col min="471" max="471" width="26.5703125" style="16" bestFit="1" customWidth="1"/>
    <col min="472" max="472" width="28.85546875" style="16" bestFit="1" customWidth="1"/>
    <col min="473" max="473" width="28.7109375" style="16" bestFit="1" customWidth="1"/>
    <col min="474" max="475" width="26.85546875" style="16" bestFit="1" customWidth="1"/>
    <col min="476" max="476" width="25.5703125" style="16" bestFit="1" customWidth="1"/>
    <col min="477" max="477" width="30.140625" style="16" bestFit="1" customWidth="1"/>
    <col min="478" max="478" width="32.28515625" style="16" bestFit="1" customWidth="1"/>
    <col min="479" max="479" width="31.140625" style="16" bestFit="1" customWidth="1"/>
    <col min="480" max="481" width="27.140625" style="16" bestFit="1" customWidth="1"/>
    <col min="482" max="482" width="15.28515625" style="16" bestFit="1" customWidth="1"/>
    <col min="483" max="483" width="36.7109375" style="16" bestFit="1" customWidth="1"/>
    <col min="484" max="484" width="30" style="16" bestFit="1" customWidth="1"/>
    <col min="485" max="485" width="28.85546875" style="16" bestFit="1" customWidth="1"/>
    <col min="486" max="487" width="39.140625" style="16" bestFit="1" customWidth="1"/>
    <col min="488" max="488" width="27.7109375" style="16" bestFit="1" customWidth="1"/>
    <col min="489" max="489" width="25.5703125" style="16" bestFit="1" customWidth="1"/>
    <col min="490" max="490" width="27.7109375" style="16" bestFit="1" customWidth="1"/>
    <col min="491" max="491" width="29.28515625" style="16" bestFit="1" customWidth="1"/>
    <col min="492" max="492" width="31.42578125" style="16" bestFit="1" customWidth="1"/>
    <col min="493" max="493" width="28.7109375" style="16" bestFit="1" customWidth="1"/>
    <col min="494" max="494" width="30.85546875" style="16" bestFit="1" customWidth="1"/>
    <col min="495" max="495" width="29.140625" style="16" bestFit="1" customWidth="1"/>
    <col min="496" max="496" width="31.28515625" style="16" bestFit="1" customWidth="1"/>
    <col min="497" max="497" width="29.140625" style="16" bestFit="1" customWidth="1"/>
    <col min="498" max="498" width="31.28515625" style="16" bestFit="1" customWidth="1"/>
    <col min="499" max="499" width="15.85546875" style="16" bestFit="1" customWidth="1"/>
    <col min="500" max="500" width="14" style="16" bestFit="1" customWidth="1"/>
    <col min="501" max="501" width="17.7109375" style="16" bestFit="1" customWidth="1"/>
    <col min="502" max="502" width="13.42578125" style="16" bestFit="1" customWidth="1"/>
    <col min="503" max="503" width="34.85546875" style="16" bestFit="1" customWidth="1"/>
    <col min="504" max="505" width="37" style="16" bestFit="1" customWidth="1"/>
    <col min="506" max="506" width="33.85546875" style="16" bestFit="1" customWidth="1"/>
    <col min="507" max="508" width="36" style="16" bestFit="1" customWidth="1"/>
    <col min="509" max="509" width="35.42578125" style="16" bestFit="1" customWidth="1"/>
    <col min="510" max="511" width="37.5703125" style="16" bestFit="1" customWidth="1"/>
    <col min="512" max="512" width="11.7109375" style="16" bestFit="1" customWidth="1"/>
    <col min="513" max="513" width="33.85546875" style="16" bestFit="1" customWidth="1"/>
    <col min="514" max="515" width="36" style="16" bestFit="1" customWidth="1"/>
    <col min="516" max="516" width="33.85546875" style="16" bestFit="1" customWidth="1"/>
    <col min="517" max="517" width="36" style="16" bestFit="1" customWidth="1"/>
    <col min="518" max="518" width="34.28515625" style="16" bestFit="1" customWidth="1"/>
    <col min="519" max="520" width="36.42578125" style="16" bestFit="1" customWidth="1"/>
    <col min="521" max="521" width="18.42578125" style="16" bestFit="1" customWidth="1"/>
    <col min="522" max="522" width="14.85546875" style="16" bestFit="1" customWidth="1"/>
    <col min="523" max="523" width="34.7109375" style="16" bestFit="1" customWidth="1"/>
    <col min="524" max="524" width="27.5703125" style="16" bestFit="1" customWidth="1"/>
    <col min="525" max="525" width="15" style="16" bestFit="1" customWidth="1"/>
    <col min="526" max="526" width="17.140625" style="16" bestFit="1" customWidth="1"/>
    <col min="527" max="527" width="33.5703125" style="16" bestFit="1" customWidth="1"/>
    <col min="528" max="529" width="33.140625" style="16" bestFit="1" customWidth="1"/>
    <col min="530" max="530" width="33.5703125" style="16" bestFit="1" customWidth="1"/>
    <col min="531" max="531" width="15.7109375" style="16" bestFit="1" customWidth="1"/>
    <col min="532" max="532" width="38.42578125" style="16" bestFit="1" customWidth="1"/>
    <col min="533" max="533" width="27.140625" style="16" bestFit="1" customWidth="1"/>
    <col min="534" max="534" width="27" style="16" bestFit="1" customWidth="1"/>
    <col min="535" max="536" width="26.85546875" style="16" bestFit="1" customWidth="1"/>
    <col min="537" max="537" width="29" style="16" bestFit="1" customWidth="1"/>
    <col min="538" max="538" width="25.7109375" style="16" bestFit="1" customWidth="1"/>
    <col min="539" max="539" width="27.85546875" style="16" bestFit="1" customWidth="1"/>
    <col min="540" max="540" width="28" style="16" bestFit="1" customWidth="1"/>
    <col min="541" max="541" width="30.28515625" style="16" bestFit="1" customWidth="1"/>
    <col min="542" max="542" width="28.28515625" style="16" bestFit="1" customWidth="1"/>
    <col min="543" max="543" width="30.5703125" style="16" bestFit="1" customWidth="1"/>
    <col min="544" max="544" width="24.5703125" style="16" bestFit="1" customWidth="1"/>
    <col min="545" max="545" width="26.7109375" style="16" bestFit="1" customWidth="1"/>
    <col min="546" max="546" width="28.140625" style="16" bestFit="1" customWidth="1"/>
    <col min="547" max="547" width="30.42578125" style="16" bestFit="1" customWidth="1"/>
    <col min="548" max="548" width="26.42578125" style="16" bestFit="1" customWidth="1"/>
    <col min="549" max="549" width="28.7109375" style="16" bestFit="1" customWidth="1"/>
    <col min="550" max="550" width="26.42578125" style="16" bestFit="1" customWidth="1"/>
    <col min="551" max="551" width="27.5703125" style="16" bestFit="1" customWidth="1"/>
    <col min="552" max="552" width="29.85546875" style="16" bestFit="1" customWidth="1"/>
    <col min="553" max="553" width="28" style="16" bestFit="1" customWidth="1"/>
    <col min="554" max="554" width="30.28515625" style="16" bestFit="1" customWidth="1"/>
    <col min="555" max="556" width="27" style="16" bestFit="1" customWidth="1"/>
    <col min="557" max="557" width="26.85546875" style="16" bestFit="1" customWidth="1"/>
    <col min="558" max="558" width="29.140625" style="16" bestFit="1" customWidth="1"/>
    <col min="559" max="559" width="26.5703125" style="16" bestFit="1" customWidth="1"/>
    <col min="560" max="560" width="28.85546875" style="16" bestFit="1" customWidth="1"/>
    <col min="561" max="561" width="28.7109375" style="16" bestFit="1" customWidth="1"/>
    <col min="562" max="563" width="26.85546875" style="16" bestFit="1" customWidth="1"/>
    <col min="564" max="564" width="25.5703125" style="16" bestFit="1" customWidth="1"/>
    <col min="565" max="565" width="30.140625" style="16" bestFit="1" customWidth="1"/>
    <col min="566" max="566" width="32.28515625" style="16" bestFit="1" customWidth="1"/>
    <col min="567" max="567" width="31.140625" style="16" bestFit="1" customWidth="1"/>
    <col min="568" max="569" width="27.140625" style="16" bestFit="1" customWidth="1"/>
    <col min="570" max="570" width="15.28515625" style="16" bestFit="1" customWidth="1"/>
    <col min="571" max="571" width="36.7109375" style="16" bestFit="1" customWidth="1"/>
    <col min="572" max="572" width="30" style="16" bestFit="1" customWidth="1"/>
    <col min="573" max="573" width="28.85546875" style="16" bestFit="1" customWidth="1"/>
    <col min="574" max="575" width="39.140625" style="16" bestFit="1" customWidth="1"/>
    <col min="576" max="576" width="27.7109375" style="16" bestFit="1" customWidth="1"/>
    <col min="577" max="577" width="25.5703125" style="16" bestFit="1" customWidth="1"/>
    <col min="578" max="578" width="27.7109375" style="16" bestFit="1" customWidth="1"/>
    <col min="579" max="579" width="29.28515625" style="16" bestFit="1" customWidth="1"/>
    <col min="580" max="580" width="31.42578125" style="16" bestFit="1" customWidth="1"/>
    <col min="581" max="581" width="28.7109375" style="16" bestFit="1" customWidth="1"/>
    <col min="582" max="582" width="30.85546875" style="16" bestFit="1" customWidth="1"/>
    <col min="583" max="583" width="29.140625" style="16" bestFit="1" customWidth="1"/>
    <col min="584" max="584" width="31.28515625" style="16" bestFit="1" customWidth="1"/>
    <col min="585" max="585" width="29.140625" style="16" bestFit="1" customWidth="1"/>
    <col min="586" max="586" width="31.28515625" style="16" bestFit="1" customWidth="1"/>
    <col min="587" max="587" width="15.85546875" style="16" bestFit="1" customWidth="1"/>
    <col min="588" max="588" width="14" style="16" bestFit="1" customWidth="1"/>
    <col min="589" max="589" width="17.7109375" style="16" bestFit="1" customWidth="1"/>
    <col min="590" max="590" width="13.42578125" style="16" bestFit="1" customWidth="1"/>
    <col min="591" max="591" width="34.85546875" style="16" bestFit="1" customWidth="1"/>
    <col min="592" max="593" width="37" style="16" bestFit="1" customWidth="1"/>
    <col min="594" max="594" width="33.85546875" style="16" bestFit="1" customWidth="1"/>
    <col min="595" max="596" width="36" style="16" bestFit="1" customWidth="1"/>
    <col min="597" max="597" width="35.42578125" style="16" bestFit="1" customWidth="1"/>
    <col min="598" max="599" width="37.5703125" style="16" bestFit="1" customWidth="1"/>
    <col min="600" max="600" width="11.7109375" style="16" bestFit="1" customWidth="1"/>
    <col min="601" max="601" width="33.85546875" style="16" bestFit="1" customWidth="1"/>
    <col min="602" max="603" width="36" style="16" bestFit="1" customWidth="1"/>
    <col min="604" max="604" width="33.85546875" style="16" bestFit="1" customWidth="1"/>
    <col min="605" max="605" width="36" style="16" bestFit="1" customWidth="1"/>
    <col min="606" max="606" width="34.28515625" style="16" bestFit="1" customWidth="1"/>
    <col min="607" max="608" width="36.42578125" style="16" bestFit="1" customWidth="1"/>
    <col min="609" max="609" width="18.42578125" style="16" bestFit="1" customWidth="1"/>
    <col min="610" max="610" width="14.85546875" style="16" bestFit="1" customWidth="1"/>
    <col min="611" max="611" width="34.7109375" style="16" bestFit="1" customWidth="1"/>
    <col min="612" max="612" width="27.5703125" style="16" bestFit="1" customWidth="1"/>
    <col min="613" max="613" width="15" style="16" bestFit="1" customWidth="1"/>
    <col min="614" max="614" width="17.140625" style="16" bestFit="1" customWidth="1"/>
    <col min="615" max="615" width="33.5703125" style="16" bestFit="1" customWidth="1"/>
    <col min="616" max="617" width="33.140625" style="16" bestFit="1" customWidth="1"/>
    <col min="618" max="618" width="33.5703125" style="16" bestFit="1" customWidth="1"/>
    <col min="619" max="619" width="15.7109375" style="16" bestFit="1" customWidth="1"/>
    <col min="620" max="620" width="38.42578125" style="16" bestFit="1" customWidth="1"/>
    <col min="621" max="621" width="27.140625" style="16" bestFit="1" customWidth="1"/>
    <col min="622" max="622" width="27" style="16" bestFit="1" customWidth="1"/>
    <col min="623" max="624" width="26.85546875" style="16" bestFit="1" customWidth="1"/>
    <col min="625" max="625" width="29" style="16" bestFit="1" customWidth="1"/>
    <col min="626" max="626" width="25.7109375" style="16" bestFit="1" customWidth="1"/>
    <col min="627" max="627" width="27.85546875" style="16" bestFit="1" customWidth="1"/>
    <col min="628" max="628" width="28" style="16" bestFit="1" customWidth="1"/>
    <col min="629" max="629" width="30.28515625" style="16" bestFit="1" customWidth="1"/>
    <col min="630" max="630" width="28.28515625" style="16" bestFit="1" customWidth="1"/>
    <col min="631" max="631" width="30.5703125" style="16" bestFit="1" customWidth="1"/>
    <col min="632" max="632" width="24.5703125" style="16" bestFit="1" customWidth="1"/>
    <col min="633" max="633" width="26.7109375" style="16" bestFit="1" customWidth="1"/>
    <col min="634" max="634" width="28.140625" style="16" bestFit="1" customWidth="1"/>
    <col min="635" max="635" width="30.42578125" style="16" bestFit="1" customWidth="1"/>
    <col min="636" max="636" width="26.42578125" style="16" bestFit="1" customWidth="1"/>
    <col min="637" max="637" width="28.7109375" style="16" bestFit="1" customWidth="1"/>
    <col min="638" max="638" width="26.42578125" style="16" bestFit="1" customWidth="1"/>
    <col min="639" max="639" width="27.5703125" style="16" bestFit="1" customWidth="1"/>
    <col min="640" max="640" width="29.85546875" style="16" bestFit="1" customWidth="1"/>
    <col min="641" max="641" width="28" style="16" bestFit="1" customWidth="1"/>
    <col min="642" max="642" width="30.28515625" style="16" bestFit="1" customWidth="1"/>
    <col min="643" max="644" width="27" style="16" bestFit="1" customWidth="1"/>
    <col min="645" max="645" width="26.85546875" style="16" bestFit="1" customWidth="1"/>
    <col min="646" max="646" width="29.140625" style="16" bestFit="1" customWidth="1"/>
    <col min="647" max="647" width="26.5703125" style="16" bestFit="1" customWidth="1"/>
    <col min="648" max="648" width="28.85546875" style="16" bestFit="1" customWidth="1"/>
    <col min="649" max="649" width="28.7109375" style="16" bestFit="1" customWidth="1"/>
    <col min="650" max="651" width="26.85546875" style="16" bestFit="1" customWidth="1"/>
    <col min="652" max="652" width="25.5703125" style="16" bestFit="1" customWidth="1"/>
    <col min="653" max="653" width="30.140625" style="16" bestFit="1" customWidth="1"/>
    <col min="654" max="654" width="32.28515625" style="16" bestFit="1" customWidth="1"/>
    <col min="655" max="655" width="31.140625" style="16" bestFit="1" customWidth="1"/>
    <col min="656" max="657" width="27.140625" style="16" bestFit="1" customWidth="1"/>
    <col min="658" max="658" width="15.28515625" style="16" bestFit="1" customWidth="1"/>
    <col min="659" max="659" width="36.7109375" style="16" bestFit="1" customWidth="1"/>
    <col min="660" max="660" width="30" style="16" bestFit="1" customWidth="1"/>
    <col min="661" max="661" width="28.85546875" style="16" bestFit="1" customWidth="1"/>
    <col min="662" max="663" width="39.140625" style="16" bestFit="1" customWidth="1"/>
    <col min="664" max="664" width="27.7109375" style="16" bestFit="1" customWidth="1"/>
    <col min="665" max="665" width="25.5703125" style="16" bestFit="1" customWidth="1"/>
    <col min="666" max="666" width="27.7109375" style="16" bestFit="1" customWidth="1"/>
    <col min="667" max="667" width="29.28515625" style="16" bestFit="1" customWidth="1"/>
    <col min="668" max="668" width="31.42578125" style="16" bestFit="1" customWidth="1"/>
    <col min="669" max="669" width="28.7109375" style="16" bestFit="1" customWidth="1"/>
    <col min="670" max="670" width="30.85546875" style="16" bestFit="1" customWidth="1"/>
    <col min="671" max="671" width="29.140625" style="16" bestFit="1" customWidth="1"/>
    <col min="672" max="672" width="31.28515625" style="16" bestFit="1" customWidth="1"/>
    <col min="673" max="673" width="29.140625" style="16" bestFit="1" customWidth="1"/>
    <col min="674" max="674" width="31.28515625" style="16" bestFit="1" customWidth="1"/>
    <col min="675" max="675" width="15.85546875" style="16" bestFit="1" customWidth="1"/>
    <col min="676" max="676" width="14" style="16" bestFit="1" customWidth="1"/>
    <col min="677" max="677" width="17.7109375" style="16" bestFit="1" customWidth="1"/>
    <col min="678" max="678" width="13.42578125" style="16" bestFit="1" customWidth="1"/>
    <col min="679" max="679" width="34.85546875" style="16" bestFit="1" customWidth="1"/>
    <col min="680" max="681" width="37" style="16" bestFit="1" customWidth="1"/>
    <col min="682" max="682" width="33.85546875" style="16" bestFit="1" customWidth="1"/>
    <col min="683" max="684" width="36" style="16" bestFit="1" customWidth="1"/>
    <col min="685" max="685" width="35.42578125" style="16" bestFit="1" customWidth="1"/>
    <col min="686" max="687" width="37.5703125" style="16" bestFit="1" customWidth="1"/>
    <col min="688" max="688" width="11.7109375" style="16" bestFit="1" customWidth="1"/>
    <col min="689" max="689" width="33.85546875" style="16" bestFit="1" customWidth="1"/>
    <col min="690" max="691" width="36" style="16" bestFit="1" customWidth="1"/>
    <col min="692" max="692" width="33.85546875" style="16" bestFit="1" customWidth="1"/>
    <col min="693" max="693" width="36" style="16" bestFit="1" customWidth="1"/>
    <col min="694" max="694" width="34.28515625" style="16" bestFit="1" customWidth="1"/>
    <col min="695" max="696" width="36.42578125" style="16" bestFit="1" customWidth="1"/>
    <col min="697" max="697" width="18.42578125" style="16" bestFit="1" customWidth="1"/>
    <col min="698" max="698" width="14.85546875" style="16" bestFit="1" customWidth="1"/>
    <col min="699" max="699" width="34.7109375" style="16" bestFit="1" customWidth="1"/>
    <col min="700" max="700" width="27.5703125" style="16" bestFit="1" customWidth="1"/>
    <col min="701" max="701" width="15" style="16" bestFit="1" customWidth="1"/>
    <col min="702" max="702" width="17.140625" style="16" bestFit="1" customWidth="1"/>
    <col min="703" max="703" width="33.5703125" style="16" bestFit="1" customWidth="1"/>
    <col min="704" max="705" width="33.140625" style="16" bestFit="1" customWidth="1"/>
    <col min="706" max="706" width="33.5703125" style="16" bestFit="1" customWidth="1"/>
    <col min="707" max="707" width="15.7109375" style="16" bestFit="1" customWidth="1"/>
    <col min="708" max="708" width="38.42578125" style="16" bestFit="1" customWidth="1"/>
    <col min="709" max="709" width="27.140625" style="16" bestFit="1" customWidth="1"/>
    <col min="710" max="710" width="27" style="16" bestFit="1" customWidth="1"/>
    <col min="711" max="712" width="26.85546875" style="16" bestFit="1" customWidth="1"/>
    <col min="713" max="713" width="29" style="16" bestFit="1" customWidth="1"/>
    <col min="714" max="714" width="25.7109375" style="16" bestFit="1" customWidth="1"/>
    <col min="715" max="715" width="27.85546875" style="16" bestFit="1" customWidth="1"/>
    <col min="716" max="716" width="28" style="16" bestFit="1" customWidth="1"/>
    <col min="717" max="717" width="30.28515625" style="16" bestFit="1" customWidth="1"/>
    <col min="718" max="718" width="28.28515625" style="16" bestFit="1" customWidth="1"/>
    <col min="719" max="719" width="30.5703125" style="16" bestFit="1" customWidth="1"/>
    <col min="720" max="720" width="24.5703125" style="16" bestFit="1" customWidth="1"/>
    <col min="721" max="721" width="26.7109375" style="16" bestFit="1" customWidth="1"/>
    <col min="722" max="722" width="28.140625" style="16" bestFit="1" customWidth="1"/>
    <col min="723" max="723" width="30.42578125" style="16" bestFit="1" customWidth="1"/>
    <col min="724" max="724" width="26.42578125" style="16" bestFit="1" customWidth="1"/>
    <col min="725" max="725" width="28.7109375" style="16" bestFit="1" customWidth="1"/>
    <col min="726" max="726" width="26.42578125" style="16" bestFit="1" customWidth="1"/>
    <col min="727" max="727" width="27.5703125" style="16" bestFit="1" customWidth="1"/>
    <col min="728" max="728" width="29.85546875" style="16" bestFit="1" customWidth="1"/>
    <col min="729" max="729" width="28" style="16" bestFit="1" customWidth="1"/>
    <col min="730" max="730" width="30.28515625" style="16" bestFit="1" customWidth="1"/>
    <col min="731" max="732" width="27" style="16" bestFit="1" customWidth="1"/>
    <col min="733" max="733" width="26.85546875" style="16" bestFit="1" customWidth="1"/>
    <col min="734" max="734" width="29.140625" style="16" bestFit="1" customWidth="1"/>
    <col min="735" max="735" width="26.5703125" style="16" bestFit="1" customWidth="1"/>
    <col min="736" max="736" width="28.85546875" style="16" bestFit="1" customWidth="1"/>
    <col min="737" max="737" width="28.7109375" style="16" bestFit="1" customWidth="1"/>
    <col min="738" max="739" width="26.85546875" style="16" bestFit="1" customWidth="1"/>
    <col min="740" max="740" width="25.5703125" style="16" bestFit="1" customWidth="1"/>
    <col min="741" max="741" width="30.140625" style="16" bestFit="1" customWidth="1"/>
    <col min="742" max="742" width="32.28515625" style="16" bestFit="1" customWidth="1"/>
    <col min="743" max="743" width="31.140625" style="16" bestFit="1" customWidth="1"/>
    <col min="744" max="745" width="27.140625" style="16" bestFit="1" customWidth="1"/>
    <col min="746" max="746" width="15.28515625" style="16" bestFit="1" customWidth="1"/>
    <col min="747" max="747" width="36.7109375" style="16" bestFit="1" customWidth="1"/>
    <col min="748" max="748" width="30" style="16" bestFit="1" customWidth="1"/>
    <col min="749" max="749" width="28.85546875" style="16" bestFit="1" customWidth="1"/>
    <col min="750" max="751" width="39.140625" style="16" bestFit="1" customWidth="1"/>
    <col min="752" max="752" width="27.7109375" style="16" bestFit="1" customWidth="1"/>
    <col min="753" max="753" width="25.5703125" style="16" bestFit="1" customWidth="1"/>
    <col min="754" max="754" width="27.7109375" style="16" bestFit="1" customWidth="1"/>
    <col min="755" max="755" width="29.28515625" style="16" bestFit="1" customWidth="1"/>
    <col min="756" max="756" width="31.42578125" style="16" bestFit="1" customWidth="1"/>
    <col min="757" max="757" width="28.7109375" style="16" bestFit="1" customWidth="1"/>
    <col min="758" max="758" width="30.85546875" style="16" bestFit="1" customWidth="1"/>
    <col min="759" max="759" width="29.140625" style="16" bestFit="1" customWidth="1"/>
    <col min="760" max="760" width="31.28515625" style="16" bestFit="1" customWidth="1"/>
    <col min="761" max="761" width="29.140625" style="16" bestFit="1" customWidth="1"/>
    <col min="762" max="762" width="31.28515625" style="16" bestFit="1" customWidth="1"/>
    <col min="763" max="763" width="15.85546875" style="16" bestFit="1" customWidth="1"/>
    <col min="764" max="764" width="14" style="16" bestFit="1" customWidth="1"/>
    <col min="765" max="765" width="17.7109375" style="16" bestFit="1" customWidth="1"/>
    <col min="766" max="766" width="13.42578125" style="16" bestFit="1" customWidth="1"/>
    <col min="767" max="767" width="34.85546875" style="16" bestFit="1" customWidth="1"/>
    <col min="768" max="769" width="37" style="16" bestFit="1" customWidth="1"/>
    <col min="770" max="770" width="33.85546875" style="16" bestFit="1" customWidth="1"/>
    <col min="771" max="772" width="36" style="16" bestFit="1" customWidth="1"/>
    <col min="773" max="773" width="35.42578125" style="16" bestFit="1" customWidth="1"/>
    <col min="774" max="775" width="37.5703125" style="16" bestFit="1" customWidth="1"/>
    <col min="776" max="776" width="11.7109375" style="16" bestFit="1" customWidth="1"/>
    <col min="777" max="777" width="33.85546875" style="16" bestFit="1" customWidth="1"/>
    <col min="778" max="779" width="36" style="16" bestFit="1" customWidth="1"/>
    <col min="780" max="780" width="33.85546875" style="16" bestFit="1" customWidth="1"/>
    <col min="781" max="781" width="36" style="16" bestFit="1" customWidth="1"/>
    <col min="782" max="782" width="34.28515625" style="16" bestFit="1" customWidth="1"/>
    <col min="783" max="784" width="36.42578125" style="16" bestFit="1" customWidth="1"/>
    <col min="785" max="785" width="18.42578125" style="16" bestFit="1" customWidth="1"/>
    <col min="786" max="786" width="14.85546875" style="16" bestFit="1" customWidth="1"/>
    <col min="787" max="787" width="34.7109375" style="16" bestFit="1" customWidth="1"/>
    <col min="788" max="788" width="27.5703125" style="16" bestFit="1" customWidth="1"/>
    <col min="789" max="789" width="15" style="16" bestFit="1" customWidth="1"/>
    <col min="790" max="790" width="17.140625" style="16" bestFit="1" customWidth="1"/>
    <col min="791" max="791" width="33.5703125" style="16" bestFit="1" customWidth="1"/>
    <col min="792" max="793" width="33.140625" style="16" bestFit="1" customWidth="1"/>
    <col min="794" max="794" width="33.5703125" style="16" bestFit="1" customWidth="1"/>
    <col min="795" max="795" width="15.7109375" style="16" bestFit="1" customWidth="1"/>
    <col min="796" max="796" width="38.42578125" style="16" bestFit="1" customWidth="1"/>
    <col min="797" max="797" width="27.140625" style="16" bestFit="1" customWidth="1"/>
    <col min="798" max="798" width="27" style="16" bestFit="1" customWidth="1"/>
    <col min="799" max="800" width="26.85546875" style="16" bestFit="1" customWidth="1"/>
    <col min="801" max="801" width="29" style="16" bestFit="1" customWidth="1"/>
    <col min="802" max="802" width="25.7109375" style="16" bestFit="1" customWidth="1"/>
    <col min="803" max="803" width="27.85546875" style="16" bestFit="1" customWidth="1"/>
    <col min="804" max="804" width="28" style="16" bestFit="1" customWidth="1"/>
    <col min="805" max="805" width="30.28515625" style="16" bestFit="1" customWidth="1"/>
    <col min="806" max="806" width="28.28515625" style="16" bestFit="1" customWidth="1"/>
    <col min="807" max="807" width="30.5703125" style="16" bestFit="1" customWidth="1"/>
    <col min="808" max="808" width="24.5703125" style="16" bestFit="1" customWidth="1"/>
    <col min="809" max="809" width="26.7109375" style="16" bestFit="1" customWidth="1"/>
    <col min="810" max="810" width="28.140625" style="16" bestFit="1" customWidth="1"/>
    <col min="811" max="811" width="30.42578125" style="16" bestFit="1" customWidth="1"/>
    <col min="812" max="812" width="26.42578125" style="16" bestFit="1" customWidth="1"/>
    <col min="813" max="813" width="28.7109375" style="16" bestFit="1" customWidth="1"/>
    <col min="814" max="814" width="26.42578125" style="16" bestFit="1" customWidth="1"/>
    <col min="815" max="815" width="27.5703125" style="16" bestFit="1" customWidth="1"/>
    <col min="816" max="816" width="29.85546875" style="16" bestFit="1" customWidth="1"/>
    <col min="817" max="817" width="28" style="16" bestFit="1" customWidth="1"/>
    <col min="818" max="818" width="30.28515625" style="16" bestFit="1" customWidth="1"/>
    <col min="819" max="820" width="27" style="16" bestFit="1" customWidth="1"/>
    <col min="821" max="821" width="26.85546875" style="16" bestFit="1" customWidth="1"/>
    <col min="822" max="822" width="29.140625" style="16" bestFit="1" customWidth="1"/>
    <col min="823" max="823" width="26.5703125" style="16" bestFit="1" customWidth="1"/>
    <col min="824" max="824" width="28.85546875" style="16" bestFit="1" customWidth="1"/>
    <col min="825" max="825" width="28.7109375" style="16" bestFit="1" customWidth="1"/>
    <col min="826" max="827" width="26.85546875" style="16" bestFit="1" customWidth="1"/>
    <col min="828" max="828" width="25.5703125" style="16" bestFit="1" customWidth="1"/>
    <col min="829" max="829" width="30.140625" style="16" bestFit="1" customWidth="1"/>
    <col min="830" max="830" width="32.28515625" style="16" bestFit="1" customWidth="1"/>
    <col min="831" max="831" width="31.140625" style="16" bestFit="1" customWidth="1"/>
    <col min="832" max="833" width="27.140625" style="16" bestFit="1" customWidth="1"/>
    <col min="834" max="834" width="15.28515625" style="16" bestFit="1" customWidth="1"/>
    <col min="835" max="835" width="36.7109375" style="16" bestFit="1" customWidth="1"/>
    <col min="836" max="836" width="30" style="16" bestFit="1" customWidth="1"/>
    <col min="837" max="837" width="28.85546875" style="16" bestFit="1" customWidth="1"/>
    <col min="838" max="839" width="39.140625" style="16" bestFit="1" customWidth="1"/>
    <col min="840" max="840" width="27.7109375" style="16" bestFit="1" customWidth="1"/>
    <col min="841" max="841" width="25.5703125" style="16" bestFit="1" customWidth="1"/>
    <col min="842" max="842" width="27.7109375" style="16" bestFit="1" customWidth="1"/>
    <col min="843" max="843" width="29.28515625" style="16" bestFit="1" customWidth="1"/>
    <col min="844" max="844" width="31.42578125" style="16" bestFit="1" customWidth="1"/>
    <col min="845" max="845" width="28.7109375" style="16" bestFit="1" customWidth="1"/>
    <col min="846" max="846" width="30.85546875" style="16" bestFit="1" customWidth="1"/>
    <col min="847" max="847" width="29.140625" style="16" bestFit="1" customWidth="1"/>
    <col min="848" max="848" width="31.28515625" style="16" bestFit="1" customWidth="1"/>
    <col min="849" max="849" width="29.140625" style="16" bestFit="1" customWidth="1"/>
    <col min="850" max="850" width="31.28515625" style="16" bestFit="1" customWidth="1"/>
    <col min="851" max="851" width="15.85546875" style="16" bestFit="1" customWidth="1"/>
    <col min="852" max="852" width="14" style="16" bestFit="1" customWidth="1"/>
    <col min="853" max="853" width="17.7109375" style="16" bestFit="1" customWidth="1"/>
    <col min="854" max="854" width="13.42578125" style="16" bestFit="1" customWidth="1"/>
    <col min="855" max="855" width="34.85546875" style="16" bestFit="1" customWidth="1"/>
    <col min="856" max="857" width="37" style="16" bestFit="1" customWidth="1"/>
    <col min="858" max="858" width="33.85546875" style="16" bestFit="1" customWidth="1"/>
    <col min="859" max="860" width="36" style="16" bestFit="1" customWidth="1"/>
    <col min="861" max="861" width="35.42578125" style="16" bestFit="1" customWidth="1"/>
    <col min="862" max="863" width="37.5703125" style="16" bestFit="1" customWidth="1"/>
    <col min="864" max="864" width="11.7109375" style="16" bestFit="1" customWidth="1"/>
    <col min="865" max="865" width="33.85546875" style="16" bestFit="1" customWidth="1"/>
    <col min="866" max="867" width="36" style="16" bestFit="1" customWidth="1"/>
    <col min="868" max="868" width="33.85546875" style="16" bestFit="1" customWidth="1"/>
    <col min="869" max="869" width="36" style="16" bestFit="1" customWidth="1"/>
    <col min="870" max="870" width="34.28515625" style="16" bestFit="1" customWidth="1"/>
    <col min="871" max="872" width="36.42578125" style="16" bestFit="1" customWidth="1"/>
    <col min="873" max="873" width="18.42578125" style="16" bestFit="1" customWidth="1"/>
    <col min="874" max="874" width="14.85546875" style="16" bestFit="1" customWidth="1"/>
    <col min="875" max="875" width="34.7109375" style="16" bestFit="1" customWidth="1"/>
    <col min="876" max="876" width="27.5703125" style="16" bestFit="1" customWidth="1"/>
    <col min="877" max="877" width="15" style="16" bestFit="1" customWidth="1"/>
    <col min="878" max="878" width="17.140625" style="16" bestFit="1" customWidth="1"/>
    <col min="879" max="879" width="33.5703125" style="16" bestFit="1" customWidth="1"/>
    <col min="880" max="881" width="33.140625" style="16" bestFit="1" customWidth="1"/>
    <col min="882" max="882" width="33.5703125" style="16" bestFit="1" customWidth="1"/>
    <col min="883" max="883" width="15.7109375" style="16" bestFit="1" customWidth="1"/>
    <col min="884" max="884" width="38.42578125" style="16" bestFit="1" customWidth="1"/>
    <col min="885" max="885" width="27.140625" style="16" bestFit="1" customWidth="1"/>
    <col min="886" max="886" width="27" style="16" bestFit="1" customWidth="1"/>
    <col min="887" max="888" width="26.85546875" style="16" bestFit="1" customWidth="1"/>
    <col min="889" max="889" width="29" style="16" bestFit="1" customWidth="1"/>
    <col min="890" max="890" width="25.7109375" style="16" bestFit="1" customWidth="1"/>
    <col min="891" max="891" width="27.85546875" style="16" bestFit="1" customWidth="1"/>
    <col min="892" max="892" width="28" style="16" bestFit="1" customWidth="1"/>
    <col min="893" max="893" width="30.28515625" style="16" bestFit="1" customWidth="1"/>
    <col min="894" max="894" width="28.28515625" style="16" bestFit="1" customWidth="1"/>
    <col min="895" max="895" width="30.5703125" style="16" bestFit="1" customWidth="1"/>
    <col min="896" max="896" width="24.5703125" style="16" bestFit="1" customWidth="1"/>
    <col min="897" max="897" width="26.7109375" style="16" bestFit="1" customWidth="1"/>
    <col min="898" max="898" width="28.140625" style="16" bestFit="1" customWidth="1"/>
    <col min="899" max="899" width="30.42578125" style="16" bestFit="1" customWidth="1"/>
    <col min="900" max="900" width="26.42578125" style="16" bestFit="1" customWidth="1"/>
    <col min="901" max="901" width="28.7109375" style="16" bestFit="1" customWidth="1"/>
    <col min="902" max="902" width="26.42578125" style="16" bestFit="1" customWidth="1"/>
    <col min="903" max="903" width="27.5703125" style="16" bestFit="1" customWidth="1"/>
    <col min="904" max="904" width="29.85546875" style="16" bestFit="1" customWidth="1"/>
    <col min="905" max="905" width="28" style="16" bestFit="1" customWidth="1"/>
    <col min="906" max="906" width="30.28515625" style="16" bestFit="1" customWidth="1"/>
    <col min="907" max="908" width="27" style="16" bestFit="1" customWidth="1"/>
    <col min="909" max="909" width="26.85546875" style="16" bestFit="1" customWidth="1"/>
    <col min="910" max="910" width="29.140625" style="16" bestFit="1" customWidth="1"/>
    <col min="911" max="911" width="26.5703125" style="16" bestFit="1" customWidth="1"/>
    <col min="912" max="912" width="28.85546875" style="16" bestFit="1" customWidth="1"/>
    <col min="913" max="913" width="28.7109375" style="16" bestFit="1" customWidth="1"/>
    <col min="914" max="915" width="26.85546875" style="16" bestFit="1" customWidth="1"/>
    <col min="916" max="916" width="25.5703125" style="16" bestFit="1" customWidth="1"/>
    <col min="917" max="917" width="30.140625" style="16" bestFit="1" customWidth="1"/>
    <col min="918" max="918" width="32.28515625" style="16" bestFit="1" customWidth="1"/>
    <col min="919" max="919" width="31.140625" style="16" bestFit="1" customWidth="1"/>
    <col min="920" max="921" width="27.140625" style="16" bestFit="1" customWidth="1"/>
    <col min="922" max="922" width="15.28515625" style="16" bestFit="1" customWidth="1"/>
    <col min="923" max="923" width="36.7109375" style="16" bestFit="1" customWidth="1"/>
    <col min="924" max="924" width="30" style="16" bestFit="1" customWidth="1"/>
    <col min="925" max="925" width="28.85546875" style="16" bestFit="1" customWidth="1"/>
    <col min="926" max="927" width="39.140625" style="16" bestFit="1" customWidth="1"/>
    <col min="928" max="928" width="27.7109375" style="16" bestFit="1" customWidth="1"/>
    <col min="929" max="929" width="25.5703125" style="16" bestFit="1" customWidth="1"/>
    <col min="930" max="930" width="27.7109375" style="16" bestFit="1" customWidth="1"/>
    <col min="931" max="931" width="29.28515625" style="16" bestFit="1" customWidth="1"/>
    <col min="932" max="932" width="31.42578125" style="16" bestFit="1" customWidth="1"/>
    <col min="933" max="933" width="28.7109375" style="16" bestFit="1" customWidth="1"/>
    <col min="934" max="934" width="30.85546875" style="16" bestFit="1" customWidth="1"/>
    <col min="935" max="935" width="29.140625" style="16" bestFit="1" customWidth="1"/>
    <col min="936" max="936" width="31.28515625" style="16" bestFit="1" customWidth="1"/>
    <col min="937" max="937" width="29.140625" style="16" bestFit="1" customWidth="1"/>
    <col min="938" max="938" width="31.28515625" style="16" bestFit="1" customWidth="1"/>
    <col min="939" max="939" width="15.85546875" style="16" bestFit="1" customWidth="1"/>
    <col min="940" max="940" width="14" style="16" bestFit="1" customWidth="1"/>
    <col min="941" max="941" width="17.7109375" style="16" bestFit="1" customWidth="1"/>
    <col min="942" max="942" width="13.42578125" style="16" bestFit="1" customWidth="1"/>
    <col min="943" max="943" width="34.85546875" style="16" bestFit="1" customWidth="1"/>
    <col min="944" max="945" width="37" style="16" bestFit="1" customWidth="1"/>
    <col min="946" max="946" width="33.85546875" style="16" bestFit="1" customWidth="1"/>
    <col min="947" max="948" width="36" style="16" bestFit="1" customWidth="1"/>
    <col min="949" max="949" width="35.42578125" style="16" bestFit="1" customWidth="1"/>
    <col min="950" max="951" width="37.5703125" style="16" bestFit="1" customWidth="1"/>
    <col min="952" max="952" width="11.7109375" style="16" bestFit="1" customWidth="1"/>
    <col min="953" max="953" width="33.85546875" style="16" bestFit="1" customWidth="1"/>
    <col min="954" max="955" width="36" style="16" bestFit="1" customWidth="1"/>
    <col min="956" max="956" width="33.85546875" style="16" bestFit="1" customWidth="1"/>
    <col min="957" max="957" width="36" style="16" bestFit="1" customWidth="1"/>
    <col min="958" max="958" width="34.28515625" style="16" bestFit="1" customWidth="1"/>
    <col min="959" max="960" width="36.42578125" style="16" bestFit="1" customWidth="1"/>
    <col min="961" max="961" width="18.42578125" style="16" bestFit="1" customWidth="1"/>
    <col min="962" max="962" width="14.85546875" style="16" bestFit="1" customWidth="1"/>
    <col min="963" max="963" width="34.7109375" style="16" bestFit="1" customWidth="1"/>
    <col min="964" max="964" width="27.5703125" style="16" bestFit="1" customWidth="1"/>
    <col min="965" max="965" width="15" style="16" bestFit="1" customWidth="1"/>
    <col min="966" max="966" width="17.140625" style="16" bestFit="1" customWidth="1"/>
    <col min="967" max="967" width="33.5703125" style="16" bestFit="1" customWidth="1"/>
    <col min="968" max="969" width="33.140625" style="16" bestFit="1" customWidth="1"/>
    <col min="970" max="970" width="33.5703125" style="16" bestFit="1" customWidth="1"/>
    <col min="971" max="971" width="15.7109375" style="16" customWidth="1"/>
    <col min="972" max="972" width="17.85546875" style="16" customWidth="1"/>
    <col min="973" max="973" width="27.140625" style="16" customWidth="1"/>
    <col min="974" max="974" width="27" style="16" customWidth="1"/>
    <col min="975" max="976" width="26.85546875" style="16" customWidth="1"/>
    <col min="977" max="977" width="29" style="16" customWidth="1"/>
    <col min="978" max="978" width="25.7109375" style="16" customWidth="1"/>
    <col min="979" max="979" width="27.85546875" style="16" customWidth="1"/>
    <col min="980" max="980" width="28" style="16" customWidth="1"/>
    <col min="981" max="981" width="30.28515625" style="16" customWidth="1"/>
    <col min="982" max="982" width="28.28515625" style="16" customWidth="1"/>
    <col min="983" max="983" width="30.5703125" style="16" customWidth="1"/>
    <col min="984" max="984" width="24.5703125" style="16" customWidth="1"/>
    <col min="985" max="985" width="26.7109375" style="16" customWidth="1"/>
    <col min="986" max="986" width="28.140625" style="16" customWidth="1"/>
    <col min="987" max="987" width="30.42578125" style="16" customWidth="1"/>
    <col min="988" max="988" width="26.42578125" style="16" customWidth="1"/>
    <col min="989" max="989" width="28.7109375" style="16" customWidth="1"/>
    <col min="990" max="990" width="26.42578125" style="16" customWidth="1"/>
    <col min="991" max="991" width="27.5703125" style="16" customWidth="1"/>
    <col min="992" max="992" width="29.85546875" style="16" customWidth="1"/>
    <col min="993" max="993" width="28" style="16" customWidth="1"/>
    <col min="994" max="994" width="30.28515625" style="16" customWidth="1"/>
    <col min="995" max="996" width="27" style="16" customWidth="1"/>
    <col min="997" max="997" width="26.85546875" style="16" customWidth="1"/>
    <col min="998" max="998" width="29.140625" style="16" customWidth="1"/>
    <col min="999" max="999" width="26.5703125" style="16" customWidth="1"/>
    <col min="1000" max="1000" width="28.85546875" style="16" customWidth="1"/>
    <col min="1001" max="1001" width="28.7109375" style="16" customWidth="1"/>
    <col min="1002" max="1003" width="26.85546875" style="16" customWidth="1"/>
    <col min="1004" max="1004" width="25.5703125" style="16" customWidth="1"/>
    <col min="1005" max="1005" width="30.140625" style="16" customWidth="1"/>
    <col min="1006" max="1006" width="32.28515625" style="16" customWidth="1"/>
    <col min="1007" max="1007" width="31.140625" style="16" customWidth="1"/>
    <col min="1008" max="1009" width="27.140625" style="16" customWidth="1"/>
    <col min="1010" max="1010" width="15.28515625" style="16" customWidth="1"/>
    <col min="1011" max="1011" width="35.42578125" style="16" customWidth="1"/>
    <col min="1012" max="1012" width="30" style="16" customWidth="1"/>
    <col min="1013" max="1013" width="28.85546875" style="16" customWidth="1"/>
    <col min="1014" max="1015" width="39.140625" style="16" customWidth="1"/>
    <col min="1016" max="1016" width="27.7109375" style="16" customWidth="1"/>
    <col min="1017" max="1017" width="25.5703125" style="16" customWidth="1"/>
    <col min="1018" max="1018" width="27.7109375" style="16" customWidth="1"/>
    <col min="1019" max="1019" width="29.28515625" style="16" customWidth="1"/>
    <col min="1020" max="1020" width="31.42578125" style="16" customWidth="1"/>
    <col min="1021" max="1021" width="28.7109375" style="16" customWidth="1"/>
    <col min="1022" max="1022" width="30.85546875" style="16" customWidth="1"/>
    <col min="1023" max="1023" width="29.140625" style="16" customWidth="1"/>
    <col min="1024" max="1024" width="31.28515625" style="16" customWidth="1"/>
    <col min="1025" max="1025" width="29.140625" style="16" customWidth="1"/>
    <col min="1026" max="1026" width="31.28515625" style="16" customWidth="1"/>
    <col min="1027" max="1027" width="15.85546875" style="16" customWidth="1"/>
    <col min="1028" max="1028" width="14" style="16" customWidth="1"/>
    <col min="1029" max="1029" width="17.7109375" style="16" customWidth="1"/>
    <col min="1030" max="1030" width="13.42578125" style="16" customWidth="1"/>
    <col min="1031" max="1031" width="34.85546875" style="16" customWidth="1"/>
    <col min="1032" max="1033" width="37" style="16" customWidth="1"/>
    <col min="1034" max="1034" width="33.85546875" style="16" customWidth="1"/>
    <col min="1035" max="1036" width="36" style="16" customWidth="1"/>
    <col min="1037" max="1037" width="35.42578125" style="16" customWidth="1"/>
    <col min="1038" max="1039" width="37.5703125" style="16" customWidth="1"/>
    <col min="1040" max="1040" width="11.7109375" style="16" customWidth="1"/>
    <col min="1041" max="1041" width="33.85546875" style="16" customWidth="1"/>
    <col min="1042" max="1043" width="36" style="16" customWidth="1"/>
    <col min="1044" max="1044" width="33.85546875" style="16" customWidth="1"/>
    <col min="1045" max="1045" width="36" style="16" customWidth="1"/>
    <col min="1046" max="1046" width="34.28515625" style="16" customWidth="1"/>
    <col min="1047" max="1048" width="36.42578125" style="16" customWidth="1"/>
    <col min="1049" max="1049" width="18.42578125" style="16" customWidth="1"/>
    <col min="1050" max="1050" width="14.85546875" style="16" customWidth="1"/>
    <col min="1051" max="1051" width="31.28515625" style="16" customWidth="1"/>
    <col min="1052" max="1052" width="27.5703125" style="16" customWidth="1"/>
    <col min="1053" max="1053" width="15" style="16" customWidth="1"/>
    <col min="1054" max="1054" width="17.140625" style="16" customWidth="1"/>
    <col min="1055" max="1055" width="33.5703125" style="16" customWidth="1"/>
    <col min="1056" max="1057" width="33.140625" style="16" customWidth="1"/>
    <col min="1058" max="1058" width="33.5703125" style="16" customWidth="1"/>
    <col min="1059" max="1059" width="15.7109375" style="16" customWidth="1"/>
    <col min="1060" max="1060" width="36" style="16" customWidth="1"/>
    <col min="1061" max="1061" width="27.140625" style="16" customWidth="1"/>
    <col min="1062" max="1062" width="27" style="16" customWidth="1"/>
    <col min="1063" max="1064" width="26.85546875" style="16" customWidth="1"/>
    <col min="1065" max="1065" width="29" style="16" customWidth="1"/>
    <col min="1066" max="1066" width="25.7109375" style="16" customWidth="1"/>
    <col min="1067" max="1067" width="27.85546875" style="16" customWidth="1"/>
    <col min="1068" max="1068" width="28" style="16" customWidth="1"/>
    <col min="1069" max="1069" width="30.28515625" style="16" customWidth="1"/>
    <col min="1070" max="1070" width="28.28515625" style="16" customWidth="1"/>
    <col min="1071" max="1071" width="30.5703125" style="16" customWidth="1"/>
    <col min="1072" max="1072" width="24.5703125" style="16" customWidth="1"/>
    <col min="1073" max="1073" width="26.7109375" style="16" customWidth="1"/>
    <col min="1074" max="1074" width="28.140625" style="16" customWidth="1"/>
    <col min="1075" max="1075" width="30.42578125" style="16" customWidth="1"/>
    <col min="1076" max="1076" width="26.42578125" style="16" customWidth="1"/>
    <col min="1077" max="1077" width="28.7109375" style="16" customWidth="1"/>
    <col min="1078" max="1078" width="26.42578125" style="16" customWidth="1"/>
    <col min="1079" max="1079" width="27.5703125" style="16" customWidth="1"/>
    <col min="1080" max="1080" width="29.85546875" style="16" customWidth="1"/>
    <col min="1081" max="1081" width="28" style="16" customWidth="1"/>
    <col min="1082" max="1082" width="30.28515625" style="16" customWidth="1"/>
    <col min="1083" max="1084" width="27" style="16" customWidth="1"/>
    <col min="1085" max="1085" width="26.85546875" style="16" customWidth="1"/>
    <col min="1086" max="1086" width="29.140625" style="16" customWidth="1"/>
    <col min="1087" max="1087" width="26.5703125" style="16" customWidth="1"/>
    <col min="1088" max="1088" width="28.85546875" style="16" customWidth="1"/>
    <col min="1089" max="1089" width="28.7109375" style="16" customWidth="1"/>
    <col min="1090" max="1091" width="26.85546875" style="16" customWidth="1"/>
    <col min="1092" max="1092" width="25.5703125" style="16" customWidth="1"/>
    <col min="1093" max="1093" width="30.140625" style="16" customWidth="1"/>
    <col min="1094" max="1094" width="32.28515625" style="16" customWidth="1"/>
    <col min="1095" max="1095" width="31.140625" style="16" customWidth="1"/>
    <col min="1096" max="1097" width="27.140625" style="16" customWidth="1"/>
    <col min="1098" max="1098" width="15.28515625" style="16" customWidth="1"/>
    <col min="1099" max="1099" width="26.5703125" style="16" customWidth="1"/>
    <col min="1100" max="1100" width="30" style="16" customWidth="1"/>
    <col min="1101" max="1101" width="28.85546875" style="16" customWidth="1"/>
    <col min="1102" max="1103" width="39.140625" style="16" customWidth="1"/>
    <col min="1104" max="1104" width="27.7109375" style="16" customWidth="1"/>
    <col min="1105" max="1105" width="25.5703125" style="16" customWidth="1"/>
    <col min="1106" max="1106" width="27.7109375" style="16" customWidth="1"/>
    <col min="1107" max="1107" width="29.28515625" style="16" customWidth="1"/>
    <col min="1108" max="1108" width="31.42578125" style="16" customWidth="1"/>
    <col min="1109" max="1109" width="28.7109375" style="16" customWidth="1"/>
    <col min="1110" max="1110" width="30.85546875" style="16" customWidth="1"/>
    <col min="1111" max="1111" width="29.140625" style="16" customWidth="1"/>
    <col min="1112" max="1112" width="31.28515625" style="16" customWidth="1"/>
    <col min="1113" max="1113" width="29.140625" style="16" customWidth="1"/>
    <col min="1114" max="1114" width="31.28515625" style="16" customWidth="1"/>
    <col min="1115" max="1115" width="15.85546875" style="16" customWidth="1"/>
    <col min="1116" max="1116" width="14" style="16" customWidth="1"/>
    <col min="1117" max="1117" width="17.7109375" style="16" customWidth="1"/>
    <col min="1118" max="1118" width="13.42578125" style="16" customWidth="1"/>
    <col min="1119" max="1119" width="34.85546875" style="16" customWidth="1"/>
    <col min="1120" max="1121" width="37" style="16" customWidth="1"/>
    <col min="1122" max="1122" width="33.85546875" style="16" customWidth="1"/>
    <col min="1123" max="1124" width="36" style="16" customWidth="1"/>
    <col min="1125" max="1125" width="35.42578125" style="16" customWidth="1"/>
    <col min="1126" max="1127" width="37.5703125" style="16" customWidth="1"/>
    <col min="1128" max="1128" width="11.7109375" style="16" customWidth="1"/>
    <col min="1129" max="1129" width="33.85546875" style="16" customWidth="1"/>
    <col min="1130" max="1131" width="36" style="16" customWidth="1"/>
    <col min="1132" max="1132" width="33.85546875" style="16" customWidth="1"/>
    <col min="1133" max="1133" width="36" style="16" customWidth="1"/>
    <col min="1134" max="1134" width="34.28515625" style="16" customWidth="1"/>
    <col min="1135" max="1136" width="36.42578125" style="16" customWidth="1"/>
    <col min="1137" max="1137" width="18.42578125" style="16" customWidth="1"/>
    <col min="1138" max="1138" width="14.85546875" style="16" customWidth="1"/>
    <col min="1139" max="1139" width="29.7109375" style="16" customWidth="1"/>
    <col min="1140" max="1140" width="27.5703125" style="16" customWidth="1"/>
    <col min="1141" max="1141" width="15" style="16" customWidth="1"/>
    <col min="1142" max="1142" width="25" style="16" customWidth="1"/>
    <col min="1143" max="1143" width="33.5703125" style="16" customWidth="1"/>
    <col min="1144" max="1145" width="33.140625" style="16" customWidth="1"/>
    <col min="1146" max="1146" width="33.5703125" style="16" customWidth="1"/>
    <col min="1147" max="1147" width="15.7109375" style="16" customWidth="1"/>
    <col min="1148" max="1148" width="46.7109375" style="16" customWidth="1"/>
    <col min="1149" max="1149" width="27.140625" style="16" customWidth="1"/>
    <col min="1150" max="1150" width="27" style="16" customWidth="1"/>
    <col min="1151" max="1152" width="26.85546875" style="16" customWidth="1"/>
    <col min="1153" max="1153" width="29" style="16" customWidth="1"/>
    <col min="1154" max="1154" width="25.7109375" style="16" customWidth="1"/>
    <col min="1155" max="1155" width="27.85546875" style="16" customWidth="1"/>
    <col min="1156" max="1156" width="28" style="16" customWidth="1"/>
    <col min="1157" max="1157" width="30.28515625" style="16" customWidth="1"/>
    <col min="1158" max="1158" width="28.28515625" style="16" customWidth="1"/>
    <col min="1159" max="1159" width="30.5703125" style="16" customWidth="1"/>
    <col min="1160" max="1160" width="24.5703125" style="16" customWidth="1"/>
    <col min="1161" max="1161" width="26.7109375" style="16" customWidth="1"/>
    <col min="1162" max="1162" width="28.140625" style="16" customWidth="1"/>
    <col min="1163" max="1163" width="30.42578125" style="16" customWidth="1"/>
    <col min="1164" max="1164" width="26.42578125" style="16" customWidth="1"/>
    <col min="1165" max="1165" width="28.7109375" style="16" customWidth="1"/>
    <col min="1166" max="1166" width="26.42578125" style="16" customWidth="1"/>
    <col min="1167" max="1167" width="27.5703125" style="16" customWidth="1"/>
    <col min="1168" max="1168" width="29.85546875" style="16" customWidth="1"/>
    <col min="1169" max="1169" width="28" style="16" customWidth="1"/>
    <col min="1170" max="1170" width="30.28515625" style="16" customWidth="1"/>
    <col min="1171" max="1172" width="27" style="16" customWidth="1"/>
    <col min="1173" max="1173" width="26.85546875" style="16" customWidth="1"/>
    <col min="1174" max="1174" width="29.140625" style="16" customWidth="1"/>
    <col min="1175" max="1175" width="26.5703125" style="16" customWidth="1"/>
    <col min="1176" max="1176" width="28.85546875" style="16" customWidth="1"/>
    <col min="1177" max="1177" width="28.7109375" style="16" customWidth="1"/>
    <col min="1178" max="1179" width="26.85546875" style="16" customWidth="1"/>
    <col min="1180" max="1180" width="25.5703125" style="16" customWidth="1"/>
    <col min="1181" max="1181" width="30.140625" style="16" customWidth="1"/>
    <col min="1182" max="1182" width="32.28515625" style="16" customWidth="1"/>
    <col min="1183" max="1183" width="31.140625" style="16" customWidth="1"/>
    <col min="1184" max="1185" width="27.140625" style="16" customWidth="1"/>
    <col min="1186" max="1186" width="15.28515625" style="16" customWidth="1"/>
    <col min="1187" max="1187" width="27" style="16" customWidth="1"/>
    <col min="1188" max="1188" width="30" style="16" customWidth="1"/>
    <col min="1189" max="1189" width="28.85546875" style="16" customWidth="1"/>
    <col min="1190" max="1191" width="39.140625" style="16" customWidth="1"/>
    <col min="1192" max="1192" width="27.7109375" style="16" customWidth="1"/>
    <col min="1193" max="1193" width="25.5703125" style="16" customWidth="1"/>
    <col min="1194" max="1194" width="27.7109375" style="16" customWidth="1"/>
    <col min="1195" max="1195" width="29.28515625" style="16" customWidth="1"/>
    <col min="1196" max="1196" width="31.42578125" style="16" customWidth="1"/>
    <col min="1197" max="1197" width="28.7109375" style="16" customWidth="1"/>
    <col min="1198" max="1198" width="30.85546875" style="16" customWidth="1"/>
    <col min="1199" max="1199" width="29.140625" style="16" customWidth="1"/>
    <col min="1200" max="1200" width="31.28515625" style="16" customWidth="1"/>
    <col min="1201" max="1201" width="29.140625" style="16" customWidth="1"/>
    <col min="1202" max="1202" width="31.28515625" style="16" customWidth="1"/>
    <col min="1203" max="1203" width="15.85546875" style="16" customWidth="1"/>
    <col min="1204" max="1204" width="14" style="16" customWidth="1"/>
    <col min="1205" max="1205" width="17.7109375" style="16" customWidth="1"/>
    <col min="1206" max="1206" width="13.42578125" style="16" customWidth="1"/>
    <col min="1207" max="1207" width="34.85546875" style="16" customWidth="1"/>
    <col min="1208" max="1209" width="37" style="16" customWidth="1"/>
    <col min="1210" max="1210" width="33.85546875" style="16" customWidth="1"/>
    <col min="1211" max="1212" width="36" style="16" customWidth="1"/>
    <col min="1213" max="1213" width="35.42578125" style="16" customWidth="1"/>
    <col min="1214" max="1215" width="37.5703125" style="16" customWidth="1"/>
    <col min="1216" max="1216" width="11.7109375" style="16" customWidth="1"/>
    <col min="1217" max="1217" width="33.85546875" style="16" customWidth="1"/>
    <col min="1218" max="1219" width="36" style="16" customWidth="1"/>
    <col min="1220" max="1220" width="33.85546875" style="16" customWidth="1"/>
    <col min="1221" max="1221" width="36" style="16" customWidth="1"/>
    <col min="1222" max="1222" width="34.28515625" style="16" customWidth="1"/>
    <col min="1223" max="1224" width="36.42578125" style="16" customWidth="1"/>
    <col min="1225" max="1225" width="18.42578125" style="16" customWidth="1"/>
    <col min="1226" max="1226" width="14.85546875" style="16" customWidth="1"/>
    <col min="1227" max="1227" width="28.5703125" style="16" customWidth="1"/>
    <col min="1228" max="1228" width="27.5703125" style="16" customWidth="1"/>
    <col min="1229" max="1229" width="15" style="16" customWidth="1"/>
    <col min="1230" max="1230" width="20.85546875" style="16" customWidth="1"/>
    <col min="1231" max="1231" width="33.5703125" style="16" customWidth="1"/>
    <col min="1232" max="1233" width="33.140625" style="16" customWidth="1"/>
    <col min="1234" max="1234" width="33.5703125" style="16" customWidth="1"/>
    <col min="1235" max="1235" width="15.7109375" style="16" customWidth="1"/>
    <col min="1236" max="1236" width="17.85546875" style="16" customWidth="1"/>
    <col min="1237" max="1237" width="27.140625" style="16" customWidth="1"/>
    <col min="1238" max="1238" width="27" style="16" customWidth="1"/>
    <col min="1239" max="1240" width="26.85546875" style="16" customWidth="1"/>
    <col min="1241" max="1241" width="29" style="16" customWidth="1"/>
    <col min="1242" max="1242" width="25.7109375" style="16" customWidth="1"/>
    <col min="1243" max="1243" width="27.85546875" style="16" customWidth="1"/>
    <col min="1244" max="1244" width="28" style="16" customWidth="1"/>
    <col min="1245" max="1245" width="30.28515625" style="16" customWidth="1"/>
    <col min="1246" max="1246" width="28.28515625" style="16" customWidth="1"/>
    <col min="1247" max="1247" width="30.5703125" style="16" customWidth="1"/>
    <col min="1248" max="1248" width="24.5703125" style="16" customWidth="1"/>
    <col min="1249" max="1249" width="26.7109375" style="16" customWidth="1"/>
    <col min="1250" max="1250" width="28.140625" style="16" customWidth="1"/>
    <col min="1251" max="1251" width="30.42578125" style="16" customWidth="1"/>
    <col min="1252" max="1252" width="26.42578125" style="16" customWidth="1"/>
    <col min="1253" max="1253" width="28.7109375" style="16" customWidth="1"/>
    <col min="1254" max="1254" width="26.42578125" style="16" customWidth="1"/>
    <col min="1255" max="1255" width="27.5703125" style="16" customWidth="1"/>
    <col min="1256" max="1256" width="29.85546875" style="16" customWidth="1"/>
    <col min="1257" max="1257" width="28" style="16" customWidth="1"/>
    <col min="1258" max="1258" width="30.28515625" style="16" customWidth="1"/>
    <col min="1259" max="1260" width="27" style="16" customWidth="1"/>
    <col min="1261" max="1261" width="26.85546875" style="16" customWidth="1"/>
    <col min="1262" max="1262" width="29.140625" style="16" customWidth="1"/>
    <col min="1263" max="1263" width="26.5703125" style="16" customWidth="1"/>
    <col min="1264" max="1264" width="28.85546875" style="16" customWidth="1"/>
    <col min="1265" max="1265" width="28.7109375" style="16" customWidth="1"/>
    <col min="1266" max="1267" width="26.85546875" style="16" customWidth="1"/>
    <col min="1268" max="1268" width="25.5703125" style="16" customWidth="1"/>
    <col min="1269" max="1269" width="30.140625" style="16" customWidth="1"/>
    <col min="1270" max="1270" width="32.28515625" style="16" customWidth="1"/>
    <col min="1271" max="1271" width="31.140625" style="16" customWidth="1"/>
    <col min="1272" max="1273" width="27.140625" style="16" customWidth="1"/>
    <col min="1274" max="1274" width="15.28515625" style="16" customWidth="1"/>
    <col min="1275" max="1275" width="35.42578125" style="16" customWidth="1"/>
    <col min="1276" max="1276" width="30" style="16" customWidth="1"/>
    <col min="1277" max="1277" width="28.85546875" style="16" customWidth="1"/>
    <col min="1278" max="1279" width="39.140625" style="16" customWidth="1"/>
    <col min="1280" max="1280" width="27.7109375" style="16" customWidth="1"/>
    <col min="1281" max="1281" width="25.5703125" style="16" customWidth="1"/>
    <col min="1282" max="1282" width="27.7109375" style="16" customWidth="1"/>
    <col min="1283" max="1283" width="29.28515625" style="16" customWidth="1"/>
    <col min="1284" max="1284" width="31.42578125" style="16" customWidth="1"/>
    <col min="1285" max="1285" width="28.7109375" style="16" customWidth="1"/>
    <col min="1286" max="1286" width="30.85546875" style="16" customWidth="1"/>
    <col min="1287" max="1287" width="29.140625" style="16" customWidth="1"/>
    <col min="1288" max="1288" width="31.28515625" style="16" customWidth="1"/>
    <col min="1289" max="1289" width="29.140625" style="16" customWidth="1"/>
    <col min="1290" max="1290" width="31.28515625" style="16" customWidth="1"/>
    <col min="1291" max="1291" width="15.85546875" style="16" customWidth="1"/>
    <col min="1292" max="1292" width="14" style="16" customWidth="1"/>
    <col min="1293" max="1293" width="17.7109375" style="16" customWidth="1"/>
    <col min="1294" max="1294" width="13.42578125" style="16" customWidth="1"/>
    <col min="1295" max="1295" width="34.85546875" style="16" customWidth="1"/>
    <col min="1296" max="1297" width="37" style="16" customWidth="1"/>
    <col min="1298" max="1298" width="33.85546875" style="16" customWidth="1"/>
    <col min="1299" max="1300" width="36" style="16" customWidth="1"/>
    <col min="1301" max="1301" width="35.42578125" style="16" customWidth="1"/>
    <col min="1302" max="1303" width="37.5703125" style="16" customWidth="1"/>
    <col min="1304" max="1304" width="11.7109375" style="16" customWidth="1"/>
    <col min="1305" max="1305" width="33.85546875" style="16" customWidth="1"/>
    <col min="1306" max="1307" width="36" style="16" customWidth="1"/>
    <col min="1308" max="1308" width="33.85546875" style="16" customWidth="1"/>
    <col min="1309" max="1309" width="36" style="16" customWidth="1"/>
    <col min="1310" max="1310" width="34.28515625" style="16" customWidth="1"/>
    <col min="1311" max="1312" width="36.42578125" style="16" customWidth="1"/>
    <col min="1313" max="1313" width="18.42578125" style="16" customWidth="1"/>
    <col min="1314" max="1314" width="14.85546875" style="16" customWidth="1"/>
    <col min="1315" max="1315" width="31.28515625" style="16" customWidth="1"/>
    <col min="1316" max="1316" width="27.5703125" style="16" customWidth="1"/>
    <col min="1317" max="1317" width="15" style="16" customWidth="1"/>
    <col min="1318" max="1318" width="17.140625" style="16" customWidth="1"/>
    <col min="1319" max="1319" width="33.5703125" style="16" customWidth="1"/>
    <col min="1320" max="1321" width="33.140625" style="16" customWidth="1"/>
    <col min="1322" max="1322" width="33.5703125" style="16" customWidth="1"/>
    <col min="1323" max="1323" width="15.7109375" style="16" customWidth="1"/>
    <col min="1324" max="1324" width="17.85546875" style="16" customWidth="1"/>
    <col min="1325" max="1325" width="27.140625" style="16" customWidth="1"/>
    <col min="1326" max="1326" width="27" style="16" customWidth="1"/>
    <col min="1327" max="1328" width="26.85546875" style="16" customWidth="1"/>
    <col min="1329" max="1329" width="29" style="16" customWidth="1"/>
    <col min="1330" max="1330" width="25.7109375" style="16" customWidth="1"/>
    <col min="1331" max="1331" width="27.85546875" style="16" customWidth="1"/>
    <col min="1332" max="1332" width="28" style="16" customWidth="1"/>
    <col min="1333" max="1333" width="30.28515625" style="16" customWidth="1"/>
    <col min="1334" max="1334" width="28.28515625" style="16" customWidth="1"/>
    <col min="1335" max="1335" width="30.5703125" style="16" customWidth="1"/>
    <col min="1336" max="1336" width="24.5703125" style="16" customWidth="1"/>
    <col min="1337" max="1337" width="26.7109375" style="16" customWidth="1"/>
    <col min="1338" max="1338" width="28.140625" style="16" customWidth="1"/>
    <col min="1339" max="1339" width="30.42578125" style="16" customWidth="1"/>
    <col min="1340" max="1340" width="26.42578125" style="16" customWidth="1"/>
    <col min="1341" max="1341" width="28.7109375" style="16" customWidth="1"/>
    <col min="1342" max="1342" width="26.42578125" style="16" customWidth="1"/>
    <col min="1343" max="1343" width="27.5703125" style="16" customWidth="1"/>
    <col min="1344" max="1344" width="29.85546875" style="16" customWidth="1"/>
    <col min="1345" max="1345" width="28" style="16" customWidth="1"/>
    <col min="1346" max="1346" width="30.28515625" style="16" customWidth="1"/>
    <col min="1347" max="1348" width="27" style="16" customWidth="1"/>
    <col min="1349" max="1349" width="26.85546875" style="16" customWidth="1"/>
    <col min="1350" max="1350" width="29.140625" style="16" customWidth="1"/>
    <col min="1351" max="1351" width="26.5703125" style="16" customWidth="1"/>
    <col min="1352" max="1352" width="28.85546875" style="16" customWidth="1"/>
    <col min="1353" max="1353" width="28.7109375" style="16" customWidth="1"/>
    <col min="1354" max="1355" width="26.85546875" style="16" customWidth="1"/>
    <col min="1356" max="1356" width="25.5703125" style="16" customWidth="1"/>
    <col min="1357" max="1357" width="30.140625" style="16" customWidth="1"/>
    <col min="1358" max="1358" width="32.28515625" style="16" customWidth="1"/>
    <col min="1359" max="1359" width="31.140625" style="16" customWidth="1"/>
    <col min="1360" max="1361" width="27.140625" style="16" customWidth="1"/>
    <col min="1362" max="1362" width="15.28515625" style="16" customWidth="1"/>
    <col min="1363" max="1363" width="35.42578125" style="16" customWidth="1"/>
    <col min="1364" max="1364" width="30" style="16" customWidth="1"/>
    <col min="1365" max="1365" width="28.85546875" style="16" customWidth="1"/>
    <col min="1366" max="1367" width="39.140625" style="16" customWidth="1"/>
    <col min="1368" max="1368" width="27.7109375" style="16" customWidth="1"/>
    <col min="1369" max="1369" width="25.5703125" style="16" customWidth="1"/>
    <col min="1370" max="1370" width="27.7109375" style="16" customWidth="1"/>
    <col min="1371" max="1371" width="29.28515625" style="16" customWidth="1"/>
    <col min="1372" max="1372" width="31.42578125" style="16" customWidth="1"/>
    <col min="1373" max="1373" width="28.7109375" style="16" customWidth="1"/>
    <col min="1374" max="1374" width="30.85546875" style="16" customWidth="1"/>
    <col min="1375" max="1375" width="29.140625" style="16" customWidth="1"/>
    <col min="1376" max="1376" width="31.28515625" style="16" customWidth="1"/>
    <col min="1377" max="1377" width="29.140625" style="16" customWidth="1"/>
    <col min="1378" max="1378" width="31.28515625" style="16" customWidth="1"/>
    <col min="1379" max="1379" width="15.85546875" style="16" customWidth="1"/>
    <col min="1380" max="1380" width="14" style="16" customWidth="1"/>
    <col min="1381" max="1381" width="17.7109375" style="16" customWidth="1"/>
    <col min="1382" max="1382" width="13.42578125" style="16" customWidth="1"/>
    <col min="1383" max="1383" width="34.85546875" style="16" customWidth="1"/>
    <col min="1384" max="1385" width="37" style="16" customWidth="1"/>
    <col min="1386" max="1386" width="33.85546875" style="16" customWidth="1"/>
    <col min="1387" max="1388" width="36" style="16" customWidth="1"/>
    <col min="1389" max="1389" width="35.42578125" style="16" customWidth="1"/>
    <col min="1390" max="1391" width="37.5703125" style="16" customWidth="1"/>
    <col min="1392" max="1392" width="11.7109375" style="16" customWidth="1"/>
    <col min="1393" max="1393" width="33.85546875" style="16" customWidth="1"/>
    <col min="1394" max="1395" width="36" style="16" customWidth="1"/>
    <col min="1396" max="1396" width="33.85546875" style="16" customWidth="1"/>
    <col min="1397" max="1397" width="36" style="16" customWidth="1"/>
    <col min="1398" max="1398" width="34.28515625" style="16" customWidth="1"/>
    <col min="1399" max="1400" width="36.42578125" style="16" customWidth="1"/>
    <col min="1401" max="1401" width="18.42578125" style="16" customWidth="1"/>
    <col min="1402" max="1402" width="14.85546875" style="16" customWidth="1"/>
    <col min="1403" max="1403" width="31.28515625" style="16" customWidth="1"/>
    <col min="1404" max="1404" width="27.5703125" style="16" customWidth="1"/>
    <col min="1405" max="1405" width="15" style="16" customWidth="1"/>
    <col min="1406" max="1406" width="17.140625" style="16" customWidth="1"/>
    <col min="1407" max="1407" width="33.5703125" style="16" customWidth="1"/>
    <col min="1408" max="1409" width="33.140625" style="16" customWidth="1"/>
    <col min="1410" max="1410" width="33.5703125" style="16" customWidth="1"/>
    <col min="1411" max="1411" width="15.7109375" style="16" customWidth="1"/>
    <col min="1412" max="1412" width="17.85546875" style="16" customWidth="1"/>
    <col min="1413" max="1413" width="27.140625" style="16" customWidth="1"/>
    <col min="1414" max="1414" width="27" style="16" customWidth="1"/>
    <col min="1415" max="1416" width="26.85546875" style="16" customWidth="1"/>
    <col min="1417" max="1417" width="29" style="16" customWidth="1"/>
    <col min="1418" max="1418" width="25.7109375" style="16" customWidth="1"/>
    <col min="1419" max="1419" width="27.85546875" style="16" customWidth="1"/>
    <col min="1420" max="1420" width="28" style="16" customWidth="1"/>
    <col min="1421" max="1421" width="30.28515625" style="16" customWidth="1"/>
    <col min="1422" max="1422" width="28.28515625" style="16" customWidth="1"/>
    <col min="1423" max="1423" width="30.5703125" style="16" customWidth="1"/>
    <col min="1424" max="1424" width="24.5703125" style="16" customWidth="1"/>
    <col min="1425" max="1425" width="26.7109375" style="16" customWidth="1"/>
    <col min="1426" max="1426" width="28.140625" style="16" customWidth="1"/>
    <col min="1427" max="1427" width="30.42578125" style="16" customWidth="1"/>
    <col min="1428" max="1428" width="26.42578125" style="16" customWidth="1"/>
    <col min="1429" max="1429" width="28.7109375" style="16" customWidth="1"/>
    <col min="1430" max="1430" width="26.42578125" style="16" customWidth="1"/>
    <col min="1431" max="1431" width="27.5703125" style="16" customWidth="1"/>
    <col min="1432" max="1432" width="29.85546875" style="16" customWidth="1"/>
    <col min="1433" max="1433" width="28" style="16" customWidth="1"/>
    <col min="1434" max="1434" width="30.28515625" style="16" customWidth="1"/>
    <col min="1435" max="1436" width="27" style="16" customWidth="1"/>
    <col min="1437" max="1437" width="26.85546875" style="16" customWidth="1"/>
    <col min="1438" max="1438" width="29.140625" style="16" customWidth="1"/>
    <col min="1439" max="1439" width="26.5703125" style="16" customWidth="1"/>
    <col min="1440" max="1440" width="28.85546875" style="16" customWidth="1"/>
    <col min="1441" max="1441" width="28.7109375" style="16" customWidth="1"/>
    <col min="1442" max="1443" width="26.85546875" style="16" customWidth="1"/>
    <col min="1444" max="1444" width="25.5703125" style="16" customWidth="1"/>
    <col min="1445" max="1445" width="30.140625" style="16" customWidth="1"/>
    <col min="1446" max="1446" width="32.28515625" style="16" customWidth="1"/>
    <col min="1447" max="1447" width="31.140625" style="16" customWidth="1"/>
    <col min="1448" max="1449" width="27.140625" style="16" customWidth="1"/>
    <col min="1450" max="1450" width="15.28515625" style="16" customWidth="1"/>
    <col min="1451" max="1451" width="35.42578125" style="16" customWidth="1"/>
    <col min="1452" max="1452" width="30" style="16" customWidth="1"/>
    <col min="1453" max="1453" width="28.85546875" style="16" customWidth="1"/>
    <col min="1454" max="1455" width="39.140625" style="16" customWidth="1"/>
    <col min="1456" max="1456" width="27.7109375" style="16" customWidth="1"/>
    <col min="1457" max="1457" width="25.5703125" style="16" customWidth="1"/>
    <col min="1458" max="1458" width="27.7109375" style="16" customWidth="1"/>
    <col min="1459" max="1459" width="29.28515625" style="16" customWidth="1"/>
    <col min="1460" max="1460" width="31.42578125" style="16" customWidth="1"/>
    <col min="1461" max="1461" width="28.7109375" style="16" customWidth="1"/>
    <col min="1462" max="1462" width="30.85546875" style="16" customWidth="1"/>
    <col min="1463" max="1463" width="29.140625" style="16" customWidth="1"/>
    <col min="1464" max="1464" width="31.28515625" style="16" customWidth="1"/>
    <col min="1465" max="1465" width="29.140625" style="16" customWidth="1"/>
    <col min="1466" max="1466" width="31.28515625" style="16" customWidth="1"/>
    <col min="1467" max="1467" width="15.85546875" style="16" customWidth="1"/>
    <col min="1468" max="1468" width="14" style="16" customWidth="1"/>
    <col min="1469" max="1469" width="17.7109375" style="16" customWidth="1"/>
    <col min="1470" max="1470" width="13.42578125" style="16" customWidth="1"/>
    <col min="1471" max="1471" width="34.85546875" style="16" customWidth="1"/>
    <col min="1472" max="1473" width="37" style="16" customWidth="1"/>
    <col min="1474" max="1474" width="33.85546875" style="16" customWidth="1"/>
    <col min="1475" max="1476" width="36" style="16" customWidth="1"/>
    <col min="1477" max="1477" width="35.42578125" style="16" customWidth="1"/>
    <col min="1478" max="1479" width="37.5703125" style="16" customWidth="1"/>
    <col min="1480" max="1480" width="11.7109375" style="16" customWidth="1"/>
    <col min="1481" max="1481" width="33.85546875" style="16" customWidth="1"/>
    <col min="1482" max="1483" width="36" style="16" customWidth="1"/>
    <col min="1484" max="1484" width="33.85546875" style="16" customWidth="1"/>
    <col min="1485" max="1485" width="36" style="16" customWidth="1"/>
    <col min="1486" max="1486" width="34.28515625" style="16" customWidth="1"/>
    <col min="1487" max="1488" width="36.42578125" style="16" customWidth="1"/>
    <col min="1489" max="1489" width="18.42578125" style="16" customWidth="1"/>
    <col min="1490" max="1490" width="14.85546875" style="16" customWidth="1"/>
    <col min="1491" max="1491" width="31.28515625" style="16" customWidth="1"/>
    <col min="1492" max="1492" width="27.5703125" style="16" customWidth="1"/>
    <col min="1493" max="1493" width="15" style="16" customWidth="1"/>
    <col min="1494" max="1494" width="17.140625" style="16" customWidth="1"/>
    <col min="1495" max="1495" width="33.5703125" style="16" customWidth="1"/>
    <col min="1496" max="1497" width="33.140625" style="16" customWidth="1"/>
    <col min="1498" max="1498" width="33.5703125" style="16" customWidth="1"/>
    <col min="1499" max="1499" width="15.7109375" style="16" customWidth="1"/>
    <col min="1500" max="1500" width="17.85546875" style="16" customWidth="1"/>
    <col min="1501" max="1501" width="27.140625" style="16" customWidth="1"/>
    <col min="1502" max="1502" width="27" style="16" customWidth="1"/>
    <col min="1503" max="1504" width="26.85546875" style="16" customWidth="1"/>
    <col min="1505" max="1505" width="29" style="16" customWidth="1"/>
    <col min="1506" max="1506" width="25.7109375" style="16" customWidth="1"/>
    <col min="1507" max="1507" width="27.85546875" style="16" customWidth="1"/>
    <col min="1508" max="1508" width="28" style="16" customWidth="1"/>
    <col min="1509" max="1509" width="30.28515625" style="16" customWidth="1"/>
    <col min="1510" max="1510" width="28.28515625" style="16" customWidth="1"/>
    <col min="1511" max="1511" width="30.5703125" style="16" customWidth="1"/>
    <col min="1512" max="1512" width="24.5703125" style="16" customWidth="1"/>
    <col min="1513" max="1513" width="26.7109375" style="16" customWidth="1"/>
    <col min="1514" max="1514" width="28.140625" style="16" customWidth="1"/>
    <col min="1515" max="1515" width="30.42578125" style="16" customWidth="1"/>
    <col min="1516" max="1516" width="26.42578125" style="16" customWidth="1"/>
    <col min="1517" max="1517" width="28.7109375" style="16" customWidth="1"/>
    <col min="1518" max="1518" width="26.42578125" style="16" customWidth="1"/>
    <col min="1519" max="1519" width="27.5703125" style="16" customWidth="1"/>
    <col min="1520" max="1520" width="29.85546875" style="16" customWidth="1"/>
    <col min="1521" max="1521" width="28" style="16" customWidth="1"/>
    <col min="1522" max="1522" width="30.28515625" style="16" customWidth="1"/>
    <col min="1523" max="1524" width="27" style="16" customWidth="1"/>
    <col min="1525" max="1525" width="26.85546875" style="16" customWidth="1"/>
    <col min="1526" max="1526" width="29.140625" style="16" customWidth="1"/>
    <col min="1527" max="1527" width="26.5703125" style="16" customWidth="1"/>
    <col min="1528" max="1528" width="28.85546875" style="16" customWidth="1"/>
    <col min="1529" max="1529" width="28.7109375" style="16" customWidth="1"/>
    <col min="1530" max="1531" width="26.85546875" style="16" customWidth="1"/>
    <col min="1532" max="1532" width="25.5703125" style="16" customWidth="1"/>
    <col min="1533" max="1533" width="30.140625" style="16" customWidth="1"/>
    <col min="1534" max="1534" width="32.28515625" style="16" customWidth="1"/>
    <col min="1535" max="1535" width="31.140625" style="16" customWidth="1"/>
    <col min="1536" max="1537" width="27.140625" style="16" customWidth="1"/>
    <col min="1538" max="1538" width="15.28515625" style="16" customWidth="1"/>
    <col min="1539" max="1539" width="35.42578125" style="16" customWidth="1"/>
    <col min="1540" max="1540" width="30" style="16" customWidth="1"/>
    <col min="1541" max="1541" width="28.85546875" style="16" customWidth="1"/>
    <col min="1542" max="1543" width="39.140625" style="16" customWidth="1"/>
    <col min="1544" max="1544" width="27.7109375" style="16" customWidth="1"/>
    <col min="1545" max="1545" width="25.5703125" style="16" customWidth="1"/>
    <col min="1546" max="1546" width="27.7109375" style="16" customWidth="1"/>
    <col min="1547" max="1547" width="29.28515625" style="16" customWidth="1"/>
    <col min="1548" max="1548" width="31.42578125" style="16" customWidth="1"/>
    <col min="1549" max="1549" width="28.7109375" style="16" customWidth="1"/>
    <col min="1550" max="1550" width="30.85546875" style="16" customWidth="1"/>
    <col min="1551" max="1551" width="29.140625" style="16" customWidth="1"/>
    <col min="1552" max="1552" width="31.28515625" style="16" customWidth="1"/>
    <col min="1553" max="1553" width="29.140625" style="16" customWidth="1"/>
    <col min="1554" max="1554" width="31.28515625" style="16" customWidth="1"/>
    <col min="1555" max="1555" width="15.85546875" style="16" customWidth="1"/>
    <col min="1556" max="1556" width="14" style="16" customWidth="1"/>
    <col min="1557" max="1557" width="17.7109375" style="16" customWidth="1"/>
    <col min="1558" max="1558" width="13.42578125" style="16" customWidth="1"/>
    <col min="1559" max="1559" width="34.85546875" style="16" customWidth="1"/>
    <col min="1560" max="1561" width="37" style="16" customWidth="1"/>
    <col min="1562" max="1562" width="33.85546875" style="16" customWidth="1"/>
    <col min="1563" max="1564" width="36" style="16" customWidth="1"/>
    <col min="1565" max="1565" width="35.42578125" style="16" customWidth="1"/>
    <col min="1566" max="1567" width="37.5703125" style="16" customWidth="1"/>
    <col min="1568" max="1568" width="11.7109375" style="16" customWidth="1"/>
    <col min="1569" max="1569" width="33.85546875" style="16" customWidth="1"/>
    <col min="1570" max="1571" width="36" style="16" customWidth="1"/>
    <col min="1572" max="1572" width="33.85546875" style="16" customWidth="1"/>
    <col min="1573" max="1573" width="36" style="16" customWidth="1"/>
    <col min="1574" max="1574" width="34.28515625" style="16" customWidth="1"/>
    <col min="1575" max="1576" width="36.42578125" style="16" customWidth="1"/>
    <col min="1577" max="1577" width="18.42578125" style="16" customWidth="1"/>
    <col min="1578" max="1578" width="14.85546875" style="16" customWidth="1"/>
    <col min="1579" max="1579" width="31.28515625" style="16" customWidth="1"/>
    <col min="1580" max="1580" width="27.5703125" style="16" customWidth="1"/>
    <col min="1581" max="1581" width="15" style="16" customWidth="1"/>
    <col min="1582" max="1582" width="17.140625" style="16" customWidth="1"/>
    <col min="1583" max="1583" width="33.5703125" style="16" customWidth="1"/>
    <col min="1584" max="1585" width="33.140625" style="16" customWidth="1"/>
    <col min="1586" max="1586" width="33.5703125" style="16" customWidth="1"/>
    <col min="1587" max="1587" width="15.7109375" style="16" customWidth="1"/>
    <col min="1588" max="1588" width="38.28515625" style="16" customWidth="1"/>
    <col min="1589" max="1589" width="27.140625" style="16" customWidth="1"/>
    <col min="1590" max="1590" width="27" style="16" customWidth="1"/>
    <col min="1591" max="1592" width="26.85546875" style="16" customWidth="1"/>
    <col min="1593" max="1593" width="29" style="16" customWidth="1"/>
    <col min="1594" max="1594" width="25.7109375" style="16" customWidth="1"/>
    <col min="1595" max="1595" width="27.85546875" style="16" customWidth="1"/>
    <col min="1596" max="1596" width="28" style="16" customWidth="1"/>
    <col min="1597" max="1597" width="30.28515625" style="16" customWidth="1"/>
    <col min="1598" max="1598" width="28.28515625" style="16" customWidth="1"/>
    <col min="1599" max="1599" width="30.5703125" style="16" customWidth="1"/>
    <col min="1600" max="1600" width="24.5703125" style="16" customWidth="1"/>
    <col min="1601" max="1601" width="26.7109375" style="16" customWidth="1"/>
    <col min="1602" max="1602" width="28.140625" style="16" customWidth="1"/>
    <col min="1603" max="1603" width="30.42578125" style="16" customWidth="1"/>
    <col min="1604" max="1604" width="26.42578125" style="16" customWidth="1"/>
    <col min="1605" max="1605" width="28.7109375" style="16" customWidth="1"/>
    <col min="1606" max="1606" width="26.42578125" style="16" customWidth="1"/>
    <col min="1607" max="1607" width="27.5703125" style="16" customWidth="1"/>
    <col min="1608" max="1608" width="29.85546875" style="16" customWidth="1"/>
    <col min="1609" max="1609" width="28" style="16" customWidth="1"/>
    <col min="1610" max="1610" width="30.28515625" style="16" customWidth="1"/>
    <col min="1611" max="1612" width="27" style="16" customWidth="1"/>
    <col min="1613" max="1613" width="26.85546875" style="16" customWidth="1"/>
    <col min="1614" max="1614" width="29.140625" style="16" customWidth="1"/>
    <col min="1615" max="1615" width="26.5703125" style="16" customWidth="1"/>
    <col min="1616" max="1616" width="28.85546875" style="16" customWidth="1"/>
    <col min="1617" max="1617" width="28.7109375" style="16" customWidth="1"/>
    <col min="1618" max="1619" width="26.85546875" style="16" customWidth="1"/>
    <col min="1620" max="1620" width="25.5703125" style="16" customWidth="1"/>
    <col min="1621" max="1621" width="30.140625" style="16" customWidth="1"/>
    <col min="1622" max="1622" width="32.28515625" style="16" customWidth="1"/>
    <col min="1623" max="1623" width="31.140625" style="16" customWidth="1"/>
    <col min="1624" max="1625" width="27.140625" style="16" customWidth="1"/>
    <col min="1626" max="1626" width="15.28515625" style="16" customWidth="1"/>
    <col min="1627" max="1627" width="19.42578125" style="16" customWidth="1"/>
    <col min="1628" max="1628" width="30" style="16" customWidth="1"/>
    <col min="1629" max="1629" width="28.85546875" style="16" customWidth="1"/>
    <col min="1630" max="1631" width="39.140625" style="16" customWidth="1"/>
    <col min="1632" max="1632" width="27.7109375" style="16" customWidth="1"/>
    <col min="1633" max="1633" width="25.5703125" style="16" customWidth="1"/>
    <col min="1634" max="1634" width="27.7109375" style="16" customWidth="1"/>
    <col min="1635" max="1635" width="29.28515625" style="16" customWidth="1"/>
    <col min="1636" max="1636" width="31.42578125" style="16" customWidth="1"/>
    <col min="1637" max="1637" width="28.7109375" style="16" customWidth="1"/>
    <col min="1638" max="1638" width="30.85546875" style="16" customWidth="1"/>
    <col min="1639" max="1639" width="29.140625" style="16" customWidth="1"/>
    <col min="1640" max="1640" width="31.28515625" style="16" customWidth="1"/>
    <col min="1641" max="1641" width="29.140625" style="16" customWidth="1"/>
    <col min="1642" max="1642" width="31.28515625" style="16" customWidth="1"/>
    <col min="1643" max="1643" width="15.85546875" style="16" customWidth="1"/>
    <col min="1644" max="1644" width="14" style="16" customWidth="1"/>
    <col min="1645" max="1645" width="17.7109375" style="16" customWidth="1"/>
    <col min="1646" max="1646" width="13.42578125" style="16" customWidth="1"/>
    <col min="1647" max="1647" width="34.85546875" style="16" customWidth="1"/>
    <col min="1648" max="1649" width="37" style="16" customWidth="1"/>
    <col min="1650" max="1650" width="33.85546875" style="16" customWidth="1"/>
    <col min="1651" max="1652" width="36" style="16" customWidth="1"/>
    <col min="1653" max="1653" width="35.42578125" style="16" customWidth="1"/>
    <col min="1654" max="1655" width="37.5703125" style="16" customWidth="1"/>
    <col min="1656" max="1656" width="11.7109375" style="16" customWidth="1"/>
    <col min="1657" max="1657" width="33.85546875" style="16" customWidth="1"/>
    <col min="1658" max="1659" width="36" style="16" customWidth="1"/>
    <col min="1660" max="1660" width="33.85546875" style="16" customWidth="1"/>
    <col min="1661" max="1661" width="36" style="16" customWidth="1"/>
    <col min="1662" max="1662" width="34.28515625" style="16" customWidth="1"/>
    <col min="1663" max="1664" width="36.42578125" style="16" customWidth="1"/>
    <col min="1665" max="1665" width="24.28515625" style="16" customWidth="1"/>
    <col min="1666" max="1666" width="14.85546875" style="16" customWidth="1"/>
    <col min="1667" max="1667" width="17" style="16" customWidth="1"/>
    <col min="1668" max="1668" width="27.5703125" style="16" customWidth="1"/>
    <col min="1669" max="1669" width="15" style="16" customWidth="1"/>
    <col min="1670" max="1670" width="20.85546875" style="16" customWidth="1"/>
    <col min="1671" max="1671" width="33.5703125" style="16" customWidth="1"/>
    <col min="1672" max="1673" width="33.140625" style="16" customWidth="1"/>
    <col min="1674" max="1674" width="33.5703125" style="16" customWidth="1"/>
    <col min="1675" max="1675" width="15.7109375" style="16" customWidth="1"/>
    <col min="1676" max="1676" width="38.28515625" style="16" customWidth="1"/>
    <col min="1677" max="1677" width="27.140625" style="16" customWidth="1"/>
    <col min="1678" max="1678" width="27" style="16" customWidth="1"/>
    <col min="1679" max="1680" width="26.85546875" style="16" customWidth="1"/>
    <col min="1681" max="1681" width="29" style="16" customWidth="1"/>
    <col min="1682" max="1682" width="25.7109375" style="16" customWidth="1"/>
    <col min="1683" max="1683" width="27.85546875" style="16" customWidth="1"/>
    <col min="1684" max="1684" width="28" style="16" customWidth="1"/>
    <col min="1685" max="1685" width="30.28515625" style="16" customWidth="1"/>
    <col min="1686" max="1686" width="28.28515625" style="16" customWidth="1"/>
    <col min="1687" max="1687" width="30.5703125" style="16" customWidth="1"/>
    <col min="1688" max="1688" width="24.5703125" style="16" customWidth="1"/>
    <col min="1689" max="1689" width="26.7109375" style="16" customWidth="1"/>
    <col min="1690" max="1690" width="28.140625" style="16" customWidth="1"/>
    <col min="1691" max="1691" width="30.42578125" style="16" customWidth="1"/>
    <col min="1692" max="1692" width="26.42578125" style="16" customWidth="1"/>
    <col min="1693" max="1693" width="28.7109375" style="16" customWidth="1"/>
    <col min="1694" max="1694" width="26.42578125" style="16" customWidth="1"/>
    <col min="1695" max="1695" width="27.5703125" style="16" customWidth="1"/>
    <col min="1696" max="1696" width="29.85546875" style="16" customWidth="1"/>
    <col min="1697" max="1697" width="28" style="16" customWidth="1"/>
    <col min="1698" max="1698" width="30.28515625" style="16" customWidth="1"/>
    <col min="1699" max="1700" width="27" style="16" customWidth="1"/>
    <col min="1701" max="1701" width="26.85546875" style="16" customWidth="1"/>
    <col min="1702" max="1702" width="29.140625" style="16" customWidth="1"/>
    <col min="1703" max="1703" width="26.5703125" style="16" customWidth="1"/>
    <col min="1704" max="1704" width="28.85546875" style="16" customWidth="1"/>
    <col min="1705" max="1705" width="28.7109375" style="16" customWidth="1"/>
    <col min="1706" max="1707" width="26.85546875" style="16" customWidth="1"/>
    <col min="1708" max="1708" width="25.5703125" style="16" customWidth="1"/>
    <col min="1709" max="1709" width="30.140625" style="16" customWidth="1"/>
    <col min="1710" max="1710" width="32.28515625" style="16" customWidth="1"/>
    <col min="1711" max="1711" width="31.140625" style="16" customWidth="1"/>
    <col min="1712" max="1713" width="27.140625" style="16" customWidth="1"/>
    <col min="1714" max="1714" width="15.28515625" style="16" customWidth="1"/>
    <col min="1715" max="1715" width="19.42578125" style="16" customWidth="1"/>
    <col min="1716" max="1716" width="30" style="16" customWidth="1"/>
    <col min="1717" max="1717" width="28.85546875" style="16" customWidth="1"/>
    <col min="1718" max="1719" width="39.140625" style="16" customWidth="1"/>
    <col min="1720" max="1720" width="27.7109375" style="16" customWidth="1"/>
    <col min="1721" max="1721" width="25.5703125" style="16" customWidth="1"/>
    <col min="1722" max="1722" width="27.7109375" style="16" customWidth="1"/>
    <col min="1723" max="1723" width="29.28515625" style="16" customWidth="1"/>
    <col min="1724" max="1724" width="31.42578125" style="16" customWidth="1"/>
    <col min="1725" max="1725" width="28.7109375" style="16" customWidth="1"/>
    <col min="1726" max="1726" width="30.85546875" style="16" customWidth="1"/>
    <col min="1727" max="1727" width="29.140625" style="16" customWidth="1"/>
    <col min="1728" max="1728" width="31.28515625" style="16" customWidth="1"/>
    <col min="1729" max="1729" width="29.140625" style="16" customWidth="1"/>
    <col min="1730" max="1730" width="31.28515625" style="16" customWidth="1"/>
    <col min="1731" max="1731" width="15.85546875" style="16" customWidth="1"/>
    <col min="1732" max="1732" width="14" style="16" customWidth="1"/>
    <col min="1733" max="1733" width="17.7109375" style="16" customWidth="1"/>
    <col min="1734" max="1734" width="13.42578125" style="16" customWidth="1"/>
    <col min="1735" max="1735" width="34.85546875" style="16" customWidth="1"/>
    <col min="1736" max="1737" width="37" style="16" customWidth="1"/>
    <col min="1738" max="1738" width="33.85546875" style="16" customWidth="1"/>
    <col min="1739" max="1740" width="36" style="16" customWidth="1"/>
    <col min="1741" max="1741" width="35.42578125" style="16" customWidth="1"/>
    <col min="1742" max="1743" width="37.5703125" style="16" customWidth="1"/>
    <col min="1744" max="1744" width="11.7109375" style="16" customWidth="1"/>
    <col min="1745" max="1745" width="33.85546875" style="16" customWidth="1"/>
    <col min="1746" max="1747" width="36" style="16" customWidth="1"/>
    <col min="1748" max="1748" width="33.85546875" style="16" customWidth="1"/>
    <col min="1749" max="1749" width="36" style="16" customWidth="1"/>
    <col min="1750" max="1750" width="34.28515625" style="16" customWidth="1"/>
    <col min="1751" max="1752" width="36.42578125" style="16" customWidth="1"/>
    <col min="1753" max="1753" width="24.28515625" style="16" customWidth="1"/>
    <col min="1754" max="1754" width="14.85546875" style="16" customWidth="1"/>
    <col min="1755" max="1755" width="17" style="16" customWidth="1"/>
    <col min="1756" max="1756" width="27.5703125" style="16" customWidth="1"/>
    <col min="1757" max="1757" width="15" style="16" customWidth="1"/>
    <col min="1758" max="1758" width="20.85546875" style="16" customWidth="1"/>
    <col min="1759" max="1759" width="33.5703125" style="16" customWidth="1"/>
    <col min="1760" max="1761" width="33.140625" style="16" customWidth="1"/>
    <col min="1762" max="1762" width="33.5703125" style="16" customWidth="1"/>
    <col min="1763" max="1763" width="15.7109375" style="16" customWidth="1"/>
    <col min="1764" max="1764" width="39.85546875" style="16" customWidth="1"/>
    <col min="1765" max="1765" width="27.140625" style="16" customWidth="1"/>
    <col min="1766" max="1766" width="27" style="16" customWidth="1"/>
    <col min="1767" max="1768" width="26.85546875" style="16" customWidth="1"/>
    <col min="1769" max="1769" width="29" style="16" customWidth="1"/>
    <col min="1770" max="1770" width="25.7109375" style="16" customWidth="1"/>
    <col min="1771" max="1771" width="29.140625" style="16" customWidth="1"/>
    <col min="1772" max="1772" width="28" style="16" customWidth="1"/>
    <col min="1773" max="1773" width="30.28515625" style="16" customWidth="1"/>
    <col min="1774" max="1774" width="28.28515625" style="16" customWidth="1"/>
    <col min="1775" max="1775" width="30.5703125" style="16" customWidth="1"/>
    <col min="1776" max="1776" width="24.5703125" style="16" customWidth="1"/>
    <col min="1777" max="1777" width="26.7109375" style="16" customWidth="1"/>
    <col min="1778" max="1778" width="28.140625" style="16" customWidth="1"/>
    <col min="1779" max="1779" width="30.42578125" style="16" customWidth="1"/>
    <col min="1780" max="1780" width="26.42578125" style="16" customWidth="1"/>
    <col min="1781" max="1781" width="28.7109375" style="16" customWidth="1"/>
    <col min="1782" max="1782" width="26.42578125" style="16" customWidth="1"/>
    <col min="1783" max="1783" width="27.5703125" style="16" customWidth="1"/>
    <col min="1784" max="1784" width="29.85546875" style="16" customWidth="1"/>
    <col min="1785" max="1785" width="28" style="16" customWidth="1"/>
    <col min="1786" max="1786" width="30.28515625" style="16" customWidth="1"/>
    <col min="1787" max="1788" width="27" style="16" customWidth="1"/>
    <col min="1789" max="1789" width="26.85546875" style="16" customWidth="1"/>
    <col min="1790" max="1790" width="29.140625" style="16" customWidth="1"/>
    <col min="1791" max="1791" width="26.5703125" style="16" customWidth="1"/>
    <col min="1792" max="1792" width="28.85546875" style="16" customWidth="1"/>
    <col min="1793" max="1793" width="28.7109375" style="16" customWidth="1"/>
    <col min="1794" max="1795" width="26.85546875" style="16" customWidth="1"/>
    <col min="1796" max="1796" width="25.5703125" style="16" customWidth="1"/>
    <col min="1797" max="1797" width="30.140625" style="16" customWidth="1"/>
    <col min="1798" max="1798" width="32.28515625" style="16" customWidth="1"/>
    <col min="1799" max="1799" width="31.140625" style="16" customWidth="1"/>
    <col min="1800" max="1801" width="27.140625" style="16" customWidth="1"/>
    <col min="1802" max="1802" width="15.28515625" style="16" customWidth="1"/>
    <col min="1803" max="1803" width="18" style="16" customWidth="1"/>
    <col min="1804" max="1804" width="30" style="16" customWidth="1"/>
    <col min="1805" max="1805" width="28.85546875" style="16" customWidth="1"/>
    <col min="1806" max="1807" width="39.140625" style="16" customWidth="1"/>
    <col min="1808" max="1808" width="27.7109375" style="16" customWidth="1"/>
    <col min="1809" max="1809" width="25.5703125" style="16" customWidth="1"/>
    <col min="1810" max="1810" width="27.7109375" style="16" customWidth="1"/>
    <col min="1811" max="1811" width="29.28515625" style="16" customWidth="1"/>
    <col min="1812" max="1812" width="31.42578125" style="16" customWidth="1"/>
    <col min="1813" max="1813" width="28.7109375" style="16" customWidth="1"/>
    <col min="1814" max="1814" width="30.85546875" style="16" customWidth="1"/>
    <col min="1815" max="1815" width="29.140625" style="16" customWidth="1"/>
    <col min="1816" max="1816" width="31.28515625" style="16" customWidth="1"/>
    <col min="1817" max="1817" width="29.140625" style="16" customWidth="1"/>
    <col min="1818" max="1818" width="31.28515625" style="16" customWidth="1"/>
    <col min="1819" max="1819" width="15.85546875" style="16" customWidth="1"/>
    <col min="1820" max="1820" width="14" style="16" customWidth="1"/>
    <col min="1821" max="1821" width="17.7109375" style="16" customWidth="1"/>
    <col min="1822" max="1822" width="13.42578125" style="16" customWidth="1"/>
    <col min="1823" max="1823" width="34.85546875" style="16" customWidth="1"/>
    <col min="1824" max="1825" width="37" style="16" customWidth="1"/>
    <col min="1826" max="1826" width="33.85546875" style="16" customWidth="1"/>
    <col min="1827" max="1828" width="36" style="16" customWidth="1"/>
    <col min="1829" max="1829" width="35.42578125" style="16" customWidth="1"/>
    <col min="1830" max="1831" width="37.5703125" style="16" customWidth="1"/>
    <col min="1832" max="1832" width="11.7109375" style="16" customWidth="1"/>
    <col min="1833" max="1833" width="33.85546875" style="16" customWidth="1"/>
    <col min="1834" max="1835" width="36" style="16" customWidth="1"/>
    <col min="1836" max="1836" width="33.85546875" style="16" customWidth="1"/>
    <col min="1837" max="1837" width="36" style="16" customWidth="1"/>
    <col min="1838" max="1838" width="34.28515625" style="16" customWidth="1"/>
    <col min="1839" max="1840" width="36.42578125" style="16" customWidth="1"/>
    <col min="1841" max="1841" width="24.28515625" style="16" customWidth="1"/>
    <col min="1842" max="1842" width="14.85546875" style="16" customWidth="1"/>
    <col min="1843" max="1843" width="27.42578125" style="16" customWidth="1"/>
    <col min="1844" max="1844" width="27.5703125" style="16" customWidth="1"/>
    <col min="1845" max="1845" width="15" style="16" customWidth="1"/>
    <col min="1846" max="1846" width="25" style="16" customWidth="1"/>
    <col min="1847" max="1847" width="33.5703125" style="16" customWidth="1"/>
    <col min="1848" max="1849" width="33.140625" style="16" customWidth="1"/>
    <col min="1850" max="1850" width="33.5703125" style="16" customWidth="1"/>
    <col min="1851" max="1851" width="15.7109375" style="16" customWidth="1"/>
    <col min="1852" max="1852" width="39.85546875" style="16" customWidth="1"/>
    <col min="1853" max="1853" width="27.140625" style="16" customWidth="1"/>
    <col min="1854" max="1854" width="27" style="16" customWidth="1"/>
    <col min="1855" max="1856" width="26.85546875" style="16" customWidth="1"/>
    <col min="1857" max="1857" width="29" style="16" customWidth="1"/>
    <col min="1858" max="1858" width="25.7109375" style="16" customWidth="1"/>
    <col min="1859" max="1859" width="29.140625" style="16" customWidth="1"/>
    <col min="1860" max="1860" width="28" style="16" customWidth="1"/>
    <col min="1861" max="1861" width="30.28515625" style="16" customWidth="1"/>
    <col min="1862" max="1862" width="28.28515625" style="16" customWidth="1"/>
    <col min="1863" max="1863" width="30.5703125" style="16" customWidth="1"/>
    <col min="1864" max="1864" width="24.5703125" style="16" customWidth="1"/>
    <col min="1865" max="1865" width="26.7109375" style="16" customWidth="1"/>
    <col min="1866" max="1866" width="28.140625" style="16" customWidth="1"/>
    <col min="1867" max="1867" width="30.42578125" style="16" customWidth="1"/>
    <col min="1868" max="1868" width="26.42578125" style="16" customWidth="1"/>
    <col min="1869" max="1869" width="28.7109375" style="16" customWidth="1"/>
    <col min="1870" max="1870" width="26.42578125" style="16" customWidth="1"/>
    <col min="1871" max="1871" width="27.5703125" style="16" customWidth="1"/>
    <col min="1872" max="1872" width="29.85546875" style="16" customWidth="1"/>
    <col min="1873" max="1873" width="28" style="16" customWidth="1"/>
    <col min="1874" max="1874" width="30.28515625" style="16" customWidth="1"/>
    <col min="1875" max="1876" width="27" style="16" customWidth="1"/>
    <col min="1877" max="1877" width="26.85546875" style="16" customWidth="1"/>
    <col min="1878" max="1878" width="29.140625" style="16" customWidth="1"/>
    <col min="1879" max="1879" width="26.5703125" style="16" customWidth="1"/>
    <col min="1880" max="1880" width="28.85546875" style="16" customWidth="1"/>
    <col min="1881" max="1881" width="28.7109375" style="16" customWidth="1"/>
    <col min="1882" max="1883" width="26.85546875" style="16" customWidth="1"/>
    <col min="1884" max="1884" width="25.5703125" style="16" customWidth="1"/>
    <col min="1885" max="1885" width="30.140625" style="16" customWidth="1"/>
    <col min="1886" max="1886" width="32.28515625" style="16" customWidth="1"/>
    <col min="1887" max="1887" width="31.140625" style="16" customWidth="1"/>
    <col min="1888" max="1889" width="27.140625" style="16" customWidth="1"/>
    <col min="1890" max="1890" width="15.28515625" style="16" customWidth="1"/>
    <col min="1891" max="1891" width="18" style="16" customWidth="1"/>
    <col min="1892" max="1892" width="30" style="16" customWidth="1"/>
    <col min="1893" max="1893" width="28.85546875" style="16" customWidth="1"/>
    <col min="1894" max="1895" width="39.140625" style="16" customWidth="1"/>
    <col min="1896" max="1896" width="27.7109375" style="16" customWidth="1"/>
    <col min="1897" max="1897" width="25.5703125" style="16" customWidth="1"/>
    <col min="1898" max="1898" width="27.7109375" style="16" customWidth="1"/>
    <col min="1899" max="1899" width="29.28515625" style="16" customWidth="1"/>
    <col min="1900" max="1900" width="31.42578125" style="16" customWidth="1"/>
    <col min="1901" max="1901" width="28.7109375" style="16" customWidth="1"/>
    <col min="1902" max="1902" width="30.85546875" style="16" customWidth="1"/>
    <col min="1903" max="1903" width="29.140625" style="16" customWidth="1"/>
    <col min="1904" max="1904" width="31.28515625" style="16" customWidth="1"/>
    <col min="1905" max="1905" width="29.140625" style="16" customWidth="1"/>
    <col min="1906" max="1906" width="31.28515625" style="16" customWidth="1"/>
    <col min="1907" max="1907" width="15.85546875" style="16" customWidth="1"/>
    <col min="1908" max="1908" width="14" style="16" customWidth="1"/>
    <col min="1909" max="1909" width="17.7109375" style="16" customWidth="1"/>
    <col min="1910" max="1910" width="13.42578125" style="16" customWidth="1"/>
    <col min="1911" max="1911" width="34.85546875" style="16" customWidth="1"/>
    <col min="1912" max="1913" width="37" style="16" customWidth="1"/>
    <col min="1914" max="1914" width="33.85546875" style="16" customWidth="1"/>
    <col min="1915" max="1916" width="36" style="16" customWidth="1"/>
    <col min="1917" max="1917" width="35.42578125" style="16" customWidth="1"/>
    <col min="1918" max="1919" width="37.5703125" style="16" customWidth="1"/>
    <col min="1920" max="1920" width="11.7109375" style="16" customWidth="1"/>
    <col min="1921" max="1921" width="33.85546875" style="16" customWidth="1"/>
    <col min="1922" max="1923" width="36" style="16" customWidth="1"/>
    <col min="1924" max="1924" width="33.85546875" style="16" customWidth="1"/>
    <col min="1925" max="1925" width="36" style="16" customWidth="1"/>
    <col min="1926" max="1926" width="34.28515625" style="16" customWidth="1"/>
    <col min="1927" max="1928" width="36.42578125" style="16" customWidth="1"/>
    <col min="1929" max="1929" width="24.28515625" style="16" customWidth="1"/>
    <col min="1930" max="1930" width="14.85546875" style="16" customWidth="1"/>
    <col min="1931" max="1931" width="27.42578125" style="16" customWidth="1"/>
    <col min="1932" max="1932" width="27.5703125" style="16" customWidth="1"/>
    <col min="1933" max="1933" width="15" style="16" customWidth="1"/>
    <col min="1934" max="1934" width="25" style="16" customWidth="1"/>
    <col min="1935" max="1935" width="33.5703125" style="16" customWidth="1"/>
    <col min="1936" max="1937" width="33.140625" style="16" customWidth="1"/>
    <col min="1938" max="1938" width="33.5703125" style="16" customWidth="1"/>
    <col min="1939" max="1939" width="15.7109375" style="16" customWidth="1"/>
    <col min="1940" max="1940" width="23.28515625" style="16" customWidth="1"/>
    <col min="1941" max="1941" width="27.140625" style="16" customWidth="1"/>
    <col min="1942" max="1942" width="27" style="16" customWidth="1"/>
    <col min="1943" max="1944" width="26.85546875" style="16" customWidth="1"/>
    <col min="1945" max="1945" width="29" style="16" customWidth="1"/>
    <col min="1946" max="1946" width="25.7109375" style="16" customWidth="1"/>
    <col min="1947" max="1947" width="27.85546875" style="16" customWidth="1"/>
    <col min="1948" max="1948" width="28" style="16" customWidth="1"/>
    <col min="1949" max="1949" width="30.28515625" style="16" customWidth="1"/>
    <col min="1950" max="1950" width="28.28515625" style="16" customWidth="1"/>
    <col min="1951" max="1951" width="30.5703125" style="16" customWidth="1"/>
    <col min="1952" max="1952" width="24.5703125" style="16" customWidth="1"/>
    <col min="1953" max="1953" width="26.7109375" style="16" customWidth="1"/>
    <col min="1954" max="1954" width="28.140625" style="16" customWidth="1"/>
    <col min="1955" max="1955" width="30.42578125" style="16" customWidth="1"/>
    <col min="1956" max="1956" width="26.42578125" style="16" customWidth="1"/>
    <col min="1957" max="1957" width="28.7109375" style="16" customWidth="1"/>
    <col min="1958" max="1958" width="26.42578125" style="16" customWidth="1"/>
    <col min="1959" max="1959" width="27.5703125" style="16" customWidth="1"/>
    <col min="1960" max="1960" width="29.85546875" style="16" customWidth="1"/>
    <col min="1961" max="1961" width="28" style="16" customWidth="1"/>
    <col min="1962" max="1962" width="30.28515625" style="16" customWidth="1"/>
    <col min="1963" max="1964" width="27" style="16" customWidth="1"/>
    <col min="1965" max="1965" width="26.85546875" style="16" customWidth="1"/>
    <col min="1966" max="1966" width="29.140625" style="16" customWidth="1"/>
    <col min="1967" max="1967" width="26.5703125" style="16" customWidth="1"/>
    <col min="1968" max="1968" width="28.85546875" style="16" customWidth="1"/>
    <col min="1969" max="1969" width="28.7109375" style="16" customWidth="1"/>
    <col min="1970" max="1971" width="26.85546875" style="16" customWidth="1"/>
    <col min="1972" max="1972" width="25.5703125" style="16" customWidth="1"/>
    <col min="1973" max="1973" width="30.140625" style="16" customWidth="1"/>
    <col min="1974" max="1974" width="32.28515625" style="16" customWidth="1"/>
    <col min="1975" max="1975" width="31.140625" style="16" customWidth="1"/>
    <col min="1976" max="1977" width="27.140625" style="16" customWidth="1"/>
    <col min="1978" max="1978" width="15.28515625" style="16" customWidth="1"/>
    <col min="1979" max="1979" width="24" style="16" customWidth="1"/>
    <col min="1980" max="1980" width="30" style="16" customWidth="1"/>
    <col min="1981" max="1981" width="28.85546875" style="16" customWidth="1"/>
    <col min="1982" max="1983" width="39.140625" style="16" customWidth="1"/>
    <col min="1984" max="1984" width="27.7109375" style="16" customWidth="1"/>
    <col min="1985" max="1985" width="25.5703125" style="16" customWidth="1"/>
    <col min="1986" max="1986" width="27.7109375" style="16" customWidth="1"/>
    <col min="1987" max="1987" width="29.28515625" style="16" customWidth="1"/>
    <col min="1988" max="1988" width="31.42578125" style="16" customWidth="1"/>
    <col min="1989" max="1989" width="28.7109375" style="16" customWidth="1"/>
    <col min="1990" max="1990" width="30.85546875" style="16" customWidth="1"/>
    <col min="1991" max="1991" width="29.140625" style="16" customWidth="1"/>
    <col min="1992" max="1992" width="31.28515625" style="16" customWidth="1"/>
    <col min="1993" max="1993" width="29.140625" style="16" customWidth="1"/>
    <col min="1994" max="1994" width="31.28515625" style="16" customWidth="1"/>
    <col min="1995" max="1995" width="15.85546875" style="16" customWidth="1"/>
    <col min="1996" max="1996" width="14" style="16" customWidth="1"/>
    <col min="1997" max="1997" width="17.7109375" style="16" customWidth="1"/>
    <col min="1998" max="1998" width="13.42578125" style="16" customWidth="1"/>
    <col min="1999" max="1999" width="34.85546875" style="16" customWidth="1"/>
    <col min="2000" max="2001" width="37" style="16" customWidth="1"/>
    <col min="2002" max="2002" width="33.85546875" style="16" customWidth="1"/>
    <col min="2003" max="2004" width="36" style="16" customWidth="1"/>
    <col min="2005" max="2005" width="35.42578125" style="16" customWidth="1"/>
    <col min="2006" max="2007" width="37.5703125" style="16" customWidth="1"/>
    <col min="2008" max="2008" width="11.7109375" style="16" customWidth="1"/>
    <col min="2009" max="2009" width="33.85546875" style="16" customWidth="1"/>
    <col min="2010" max="2011" width="36" style="16" customWidth="1"/>
    <col min="2012" max="2012" width="33.85546875" style="16" customWidth="1"/>
    <col min="2013" max="2013" width="36" style="16" customWidth="1"/>
    <col min="2014" max="2014" width="34.28515625" style="16" customWidth="1"/>
    <col min="2015" max="2016" width="36.42578125" style="16" customWidth="1"/>
    <col min="2017" max="2017" width="18.42578125" style="16" customWidth="1"/>
    <col min="2018" max="2018" width="14.85546875" style="16" customWidth="1"/>
    <col min="2019" max="2019" width="25.85546875" style="16" customWidth="1"/>
    <col min="2020" max="2020" width="27.5703125" style="16" customWidth="1"/>
    <col min="2021" max="2021" width="15" style="16" customWidth="1"/>
    <col min="2022" max="2022" width="25" style="16" customWidth="1"/>
    <col min="2023" max="2023" width="33.5703125" style="16" customWidth="1"/>
    <col min="2024" max="2025" width="33.140625" style="16" customWidth="1"/>
    <col min="2026" max="2026" width="33.5703125" style="16" customWidth="1"/>
    <col min="2027" max="2027" width="15.7109375" style="16" customWidth="1"/>
    <col min="2028" max="2028" width="23.28515625" style="16" customWidth="1"/>
    <col min="2029" max="2029" width="27.140625" style="16" customWidth="1"/>
    <col min="2030" max="2030" width="27" style="16" customWidth="1"/>
    <col min="2031" max="2032" width="26.85546875" style="16" customWidth="1"/>
    <col min="2033" max="2033" width="29" style="16" customWidth="1"/>
    <col min="2034" max="2034" width="25.7109375" style="16" customWidth="1"/>
    <col min="2035" max="2035" width="27.85546875" style="16" customWidth="1"/>
    <col min="2036" max="2036" width="28" style="16" customWidth="1"/>
    <col min="2037" max="2037" width="30.28515625" style="16" customWidth="1"/>
    <col min="2038" max="2038" width="28.28515625" style="16" customWidth="1"/>
    <col min="2039" max="2039" width="30.5703125" style="16" customWidth="1"/>
    <col min="2040" max="2040" width="24.5703125" style="16" customWidth="1"/>
    <col min="2041" max="2041" width="26.7109375" style="16" customWidth="1"/>
    <col min="2042" max="2042" width="28.140625" style="16" customWidth="1"/>
    <col min="2043" max="2043" width="30.42578125" style="16" customWidth="1"/>
    <col min="2044" max="2044" width="26.42578125" style="16" customWidth="1"/>
    <col min="2045" max="2045" width="28.7109375" style="16" customWidth="1"/>
    <col min="2046" max="2046" width="26.42578125" style="16" customWidth="1"/>
    <col min="2047" max="2047" width="27.5703125" style="16" customWidth="1"/>
    <col min="2048" max="2048" width="29.85546875" style="16" customWidth="1"/>
    <col min="2049" max="2049" width="28" style="16" customWidth="1"/>
    <col min="2050" max="2050" width="30.28515625" style="16" customWidth="1"/>
    <col min="2051" max="2052" width="27" style="16" customWidth="1"/>
    <col min="2053" max="2053" width="26.85546875" style="16" customWidth="1"/>
    <col min="2054" max="2054" width="29.140625" style="16" customWidth="1"/>
    <col min="2055" max="2055" width="26.5703125" style="16" customWidth="1"/>
    <col min="2056" max="2056" width="28.85546875" style="16" customWidth="1"/>
    <col min="2057" max="2057" width="28.7109375" style="16" customWidth="1"/>
    <col min="2058" max="2059" width="26.85546875" style="16" customWidth="1"/>
    <col min="2060" max="2060" width="25.5703125" style="16" customWidth="1"/>
    <col min="2061" max="2061" width="30.140625" style="16" customWidth="1"/>
    <col min="2062" max="2062" width="32.28515625" style="16" customWidth="1"/>
    <col min="2063" max="2063" width="31.140625" style="16" customWidth="1"/>
    <col min="2064" max="2065" width="27.140625" style="16" customWidth="1"/>
    <col min="2066" max="2066" width="15.28515625" style="16" customWidth="1"/>
    <col min="2067" max="2067" width="24" style="16" customWidth="1"/>
    <col min="2068" max="2068" width="30" style="16" customWidth="1"/>
    <col min="2069" max="2069" width="28.85546875" style="16" customWidth="1"/>
    <col min="2070" max="2071" width="39.140625" style="16" customWidth="1"/>
    <col min="2072" max="2072" width="27.7109375" style="16" customWidth="1"/>
    <col min="2073" max="2073" width="25.5703125" style="16" customWidth="1"/>
    <col min="2074" max="2074" width="27.7109375" style="16" customWidth="1"/>
    <col min="2075" max="2075" width="29.28515625" style="16" customWidth="1"/>
    <col min="2076" max="2076" width="31.42578125" style="16" customWidth="1"/>
    <col min="2077" max="2077" width="28.7109375" style="16" customWidth="1"/>
    <col min="2078" max="2078" width="30.85546875" style="16" customWidth="1"/>
    <col min="2079" max="2079" width="29.140625" style="16" customWidth="1"/>
    <col min="2080" max="2080" width="31.28515625" style="16" customWidth="1"/>
    <col min="2081" max="2081" width="29.140625" style="16" customWidth="1"/>
    <col min="2082" max="2082" width="31.28515625" style="16" customWidth="1"/>
    <col min="2083" max="2083" width="15.85546875" style="16" customWidth="1"/>
    <col min="2084" max="2084" width="14" style="16" customWidth="1"/>
    <col min="2085" max="2085" width="17.7109375" style="16" customWidth="1"/>
    <col min="2086" max="2086" width="13.42578125" style="16" customWidth="1"/>
    <col min="2087" max="2087" width="34.85546875" style="16" customWidth="1"/>
    <col min="2088" max="2089" width="37" style="16" customWidth="1"/>
    <col min="2090" max="2090" width="33.85546875" style="16" customWidth="1"/>
    <col min="2091" max="2092" width="36" style="16" customWidth="1"/>
    <col min="2093" max="2093" width="35.42578125" style="16" customWidth="1"/>
    <col min="2094" max="2095" width="37.5703125" style="16" customWidth="1"/>
    <col min="2096" max="2096" width="11.7109375" style="16" customWidth="1"/>
    <col min="2097" max="2097" width="33.85546875" style="16" customWidth="1"/>
    <col min="2098" max="2099" width="36" style="16" customWidth="1"/>
    <col min="2100" max="2100" width="33.85546875" style="16" customWidth="1"/>
    <col min="2101" max="2101" width="36" style="16" customWidth="1"/>
    <col min="2102" max="2102" width="34.28515625" style="16" customWidth="1"/>
    <col min="2103" max="2104" width="36.42578125" style="16" customWidth="1"/>
    <col min="2105" max="2105" width="18.42578125" style="16" customWidth="1"/>
    <col min="2106" max="2106" width="14.85546875" style="16" customWidth="1"/>
    <col min="2107" max="2107" width="25.85546875" style="16" customWidth="1"/>
    <col min="2108" max="2108" width="27.5703125" style="16" customWidth="1"/>
    <col min="2109" max="2109" width="15" style="16" customWidth="1"/>
    <col min="2110" max="2110" width="25" style="16" customWidth="1"/>
    <col min="2111" max="2111" width="33.5703125" style="16" customWidth="1"/>
    <col min="2112" max="2113" width="33.140625" style="16" customWidth="1"/>
    <col min="2114" max="2114" width="33.5703125" style="16" customWidth="1"/>
    <col min="2115" max="2115" width="15.7109375" style="16" customWidth="1"/>
    <col min="2116" max="2116" width="17.85546875" style="16" customWidth="1"/>
    <col min="2117" max="2117" width="27.140625" style="16" customWidth="1"/>
    <col min="2118" max="2118" width="27" style="16" customWidth="1"/>
    <col min="2119" max="2120" width="26.85546875" style="16" customWidth="1"/>
    <col min="2121" max="2121" width="29" style="16" customWidth="1"/>
    <col min="2122" max="2122" width="25.7109375" style="16" customWidth="1"/>
    <col min="2123" max="2123" width="27.85546875" style="16" customWidth="1"/>
    <col min="2124" max="2124" width="28" style="16" customWidth="1"/>
    <col min="2125" max="2125" width="30.28515625" style="16" customWidth="1"/>
    <col min="2126" max="2126" width="28.28515625" style="16" customWidth="1"/>
    <col min="2127" max="2127" width="30.5703125" style="16" customWidth="1"/>
    <col min="2128" max="2128" width="24.5703125" style="16" customWidth="1"/>
    <col min="2129" max="2129" width="26.7109375" style="16" customWidth="1"/>
    <col min="2130" max="2130" width="28.140625" style="16" customWidth="1"/>
    <col min="2131" max="2131" width="30.42578125" style="16" customWidth="1"/>
    <col min="2132" max="2132" width="26.42578125" style="16" customWidth="1"/>
    <col min="2133" max="2133" width="28.7109375" style="16" customWidth="1"/>
    <col min="2134" max="2134" width="26.42578125" style="16" customWidth="1"/>
    <col min="2135" max="2135" width="27.5703125" style="16" customWidth="1"/>
    <col min="2136" max="2136" width="29.85546875" style="16" customWidth="1"/>
    <col min="2137" max="2137" width="28" style="16" customWidth="1"/>
    <col min="2138" max="2138" width="30.28515625" style="16" customWidth="1"/>
    <col min="2139" max="2140" width="27" style="16" customWidth="1"/>
    <col min="2141" max="2141" width="26.85546875" style="16" customWidth="1"/>
    <col min="2142" max="2142" width="29.140625" style="16" customWidth="1"/>
    <col min="2143" max="2143" width="26.5703125" style="16" customWidth="1"/>
    <col min="2144" max="2144" width="28.85546875" style="16" customWidth="1"/>
    <col min="2145" max="2145" width="28.7109375" style="16" customWidth="1"/>
    <col min="2146" max="2147" width="26.85546875" style="16" customWidth="1"/>
    <col min="2148" max="2148" width="25.5703125" style="16" customWidth="1"/>
    <col min="2149" max="2149" width="30.140625" style="16" customWidth="1"/>
    <col min="2150" max="2150" width="32.28515625" style="16" customWidth="1"/>
    <col min="2151" max="2151" width="31.140625" style="16" customWidth="1"/>
    <col min="2152" max="2153" width="27.140625" style="16" customWidth="1"/>
    <col min="2154" max="2154" width="15.28515625" style="16" customWidth="1"/>
    <col min="2155" max="2155" width="17.42578125" style="16" customWidth="1"/>
    <col min="2156" max="2156" width="30" style="16" customWidth="1"/>
    <col min="2157" max="2157" width="28.85546875" style="16" customWidth="1"/>
    <col min="2158" max="2159" width="39.140625" style="16" customWidth="1"/>
    <col min="2160" max="2160" width="27.7109375" style="16" customWidth="1"/>
    <col min="2161" max="2161" width="25.5703125" style="16" customWidth="1"/>
    <col min="2162" max="2162" width="27.7109375" style="16" customWidth="1"/>
    <col min="2163" max="2163" width="29.28515625" style="16" customWidth="1"/>
    <col min="2164" max="2164" width="31.42578125" style="16" customWidth="1"/>
    <col min="2165" max="2165" width="28.7109375" style="16" customWidth="1"/>
    <col min="2166" max="2166" width="30.85546875" style="16" customWidth="1"/>
    <col min="2167" max="2167" width="29.140625" style="16" customWidth="1"/>
    <col min="2168" max="2168" width="31.28515625" style="16" customWidth="1"/>
    <col min="2169" max="2169" width="29.140625" style="16" customWidth="1"/>
    <col min="2170" max="2170" width="31.28515625" style="16" customWidth="1"/>
    <col min="2171" max="2171" width="15.85546875" style="16" customWidth="1"/>
    <col min="2172" max="2172" width="14" style="16" customWidth="1"/>
    <col min="2173" max="2173" width="17.7109375" style="16" customWidth="1"/>
    <col min="2174" max="2174" width="13.42578125" style="16" customWidth="1"/>
    <col min="2175" max="2175" width="34.85546875" style="16" customWidth="1"/>
    <col min="2176" max="2177" width="37" style="16" customWidth="1"/>
    <col min="2178" max="2178" width="33.85546875" style="16" customWidth="1"/>
    <col min="2179" max="2180" width="36" style="16" customWidth="1"/>
    <col min="2181" max="2181" width="35.42578125" style="16" customWidth="1"/>
    <col min="2182" max="2183" width="37.5703125" style="16" customWidth="1"/>
    <col min="2184" max="2184" width="11.7109375" style="16" customWidth="1"/>
    <col min="2185" max="2185" width="33.85546875" style="16" customWidth="1"/>
    <col min="2186" max="2187" width="36" style="16" customWidth="1"/>
    <col min="2188" max="2188" width="33.85546875" style="16" customWidth="1"/>
    <col min="2189" max="2189" width="36" style="16" customWidth="1"/>
    <col min="2190" max="2190" width="34.28515625" style="16" customWidth="1"/>
    <col min="2191" max="2192" width="36.42578125" style="16" customWidth="1"/>
    <col min="2193" max="2193" width="21" style="16" customWidth="1"/>
    <col min="2194" max="2194" width="14.85546875" style="16" customWidth="1"/>
    <col min="2195" max="2195" width="29.140625" style="16" customWidth="1"/>
    <col min="2196" max="2196" width="27.5703125" style="16" customWidth="1"/>
    <col min="2197" max="2197" width="15" style="16" customWidth="1"/>
    <col min="2198" max="2198" width="17.140625" style="16" customWidth="1"/>
    <col min="2199" max="2199" width="33.5703125" style="16" customWidth="1"/>
    <col min="2200" max="2201" width="33.140625" style="16" customWidth="1"/>
    <col min="2202" max="2202" width="33.5703125" style="16" customWidth="1"/>
    <col min="2203" max="2203" width="15.7109375" style="16" customWidth="1"/>
    <col min="2204" max="2204" width="17.85546875" style="16" customWidth="1"/>
    <col min="2205" max="2205" width="27.140625" style="16" customWidth="1"/>
    <col min="2206" max="2206" width="27" style="16" customWidth="1"/>
    <col min="2207" max="2208" width="26.85546875" style="16" customWidth="1"/>
    <col min="2209" max="2209" width="29" style="16" customWidth="1"/>
    <col min="2210" max="2210" width="25.7109375" style="16" customWidth="1"/>
    <col min="2211" max="2211" width="27.85546875" style="16" customWidth="1"/>
    <col min="2212" max="2212" width="28" style="16" customWidth="1"/>
    <col min="2213" max="2213" width="30.28515625" style="16" customWidth="1"/>
    <col min="2214" max="2214" width="28.28515625" style="16" customWidth="1"/>
    <col min="2215" max="2215" width="30.5703125" style="16" customWidth="1"/>
    <col min="2216" max="2216" width="24.5703125" style="16" customWidth="1"/>
    <col min="2217" max="2217" width="26.7109375" style="16" customWidth="1"/>
    <col min="2218" max="2218" width="28.140625" style="16" customWidth="1"/>
    <col min="2219" max="2219" width="30.42578125" style="16" customWidth="1"/>
    <col min="2220" max="2220" width="26.42578125" style="16" customWidth="1"/>
    <col min="2221" max="2221" width="28.7109375" style="16" customWidth="1"/>
    <col min="2222" max="2222" width="26.42578125" style="16" customWidth="1"/>
    <col min="2223" max="2223" width="27.5703125" style="16" customWidth="1"/>
    <col min="2224" max="2224" width="29.85546875" style="16" customWidth="1"/>
    <col min="2225" max="2225" width="28" style="16" customWidth="1"/>
    <col min="2226" max="2226" width="30.28515625" style="16" customWidth="1"/>
    <col min="2227" max="2228" width="27" style="16" customWidth="1"/>
    <col min="2229" max="2229" width="26.85546875" style="16" customWidth="1"/>
    <col min="2230" max="2230" width="29.140625" style="16" customWidth="1"/>
    <col min="2231" max="2231" width="26.5703125" style="16" customWidth="1"/>
    <col min="2232" max="2232" width="28.85546875" style="16" customWidth="1"/>
    <col min="2233" max="2233" width="28.7109375" style="16" customWidth="1"/>
    <col min="2234" max="2235" width="26.85546875" style="16" customWidth="1"/>
    <col min="2236" max="2236" width="25.5703125" style="16" customWidth="1"/>
    <col min="2237" max="2237" width="30.140625" style="16" customWidth="1"/>
    <col min="2238" max="2238" width="32.28515625" style="16" customWidth="1"/>
    <col min="2239" max="2239" width="31.140625" style="16" customWidth="1"/>
    <col min="2240" max="2241" width="27.140625" style="16" customWidth="1"/>
    <col min="2242" max="2242" width="15.28515625" style="16" customWidth="1"/>
    <col min="2243" max="2243" width="17.42578125" style="16" customWidth="1"/>
    <col min="2244" max="2244" width="30" style="16" customWidth="1"/>
    <col min="2245" max="2245" width="28.85546875" style="16" customWidth="1"/>
    <col min="2246" max="2247" width="39.140625" style="16" customWidth="1"/>
    <col min="2248" max="2248" width="27.7109375" style="16" customWidth="1"/>
    <col min="2249" max="2249" width="25.5703125" style="16" customWidth="1"/>
    <col min="2250" max="2250" width="27.7109375" style="16" customWidth="1"/>
    <col min="2251" max="2251" width="29.28515625" style="16" customWidth="1"/>
    <col min="2252" max="2252" width="31.42578125" style="16" customWidth="1"/>
    <col min="2253" max="2253" width="28.7109375" style="16" customWidth="1"/>
    <col min="2254" max="2254" width="30.85546875" style="16" customWidth="1"/>
    <col min="2255" max="2255" width="29.140625" style="16" customWidth="1"/>
    <col min="2256" max="2256" width="31.28515625" style="16" customWidth="1"/>
    <col min="2257" max="2257" width="29.140625" style="16" customWidth="1"/>
    <col min="2258" max="2258" width="31.28515625" style="16" customWidth="1"/>
    <col min="2259" max="2259" width="15.85546875" style="16" customWidth="1"/>
    <col min="2260" max="2260" width="14" style="16" customWidth="1"/>
    <col min="2261" max="2261" width="17.7109375" style="16" customWidth="1"/>
    <col min="2262" max="2262" width="13.42578125" style="16" customWidth="1"/>
    <col min="2263" max="2263" width="34.85546875" style="16" customWidth="1"/>
    <col min="2264" max="2265" width="37" style="16" customWidth="1"/>
    <col min="2266" max="2266" width="33.85546875" style="16" customWidth="1"/>
    <col min="2267" max="2268" width="36" style="16" customWidth="1"/>
    <col min="2269" max="2269" width="35.42578125" style="16" customWidth="1"/>
    <col min="2270" max="2271" width="37.5703125" style="16" customWidth="1"/>
    <col min="2272" max="2272" width="11.7109375" style="16" customWidth="1"/>
    <col min="2273" max="2273" width="33.85546875" style="16" customWidth="1"/>
    <col min="2274" max="2275" width="36" style="16" customWidth="1"/>
    <col min="2276" max="2276" width="33.85546875" style="16" customWidth="1"/>
    <col min="2277" max="2277" width="36" style="16" customWidth="1"/>
    <col min="2278" max="2278" width="34.28515625" style="16" customWidth="1"/>
    <col min="2279" max="2280" width="36.42578125" style="16" customWidth="1"/>
    <col min="2281" max="2281" width="21" style="16" customWidth="1"/>
    <col min="2282" max="2282" width="14.85546875" style="16" customWidth="1"/>
    <col min="2283" max="2283" width="29.140625" style="16" customWidth="1"/>
    <col min="2284" max="2284" width="27.5703125" style="16" customWidth="1"/>
    <col min="2285" max="2285" width="15" style="16" customWidth="1"/>
    <col min="2286" max="2286" width="17.140625" style="16" customWidth="1"/>
    <col min="2287" max="2287" width="33.5703125" style="16" customWidth="1"/>
    <col min="2288" max="2289" width="33.140625" style="16" customWidth="1"/>
    <col min="2290" max="2290" width="33.5703125" style="16" customWidth="1"/>
    <col min="2291" max="2291" width="15.7109375" style="16" customWidth="1"/>
    <col min="2292" max="2292" width="17.85546875" style="16" customWidth="1"/>
    <col min="2293" max="2293" width="27.140625" style="16" customWidth="1"/>
    <col min="2294" max="2294" width="27" style="16" customWidth="1"/>
    <col min="2295" max="2296" width="26.85546875" style="16" customWidth="1"/>
    <col min="2297" max="2297" width="29" style="16" customWidth="1"/>
    <col min="2298" max="2298" width="25.7109375" style="16" customWidth="1"/>
    <col min="2299" max="2299" width="27.85546875" style="16" customWidth="1"/>
    <col min="2300" max="2300" width="28" style="16" customWidth="1"/>
    <col min="2301" max="2301" width="30.28515625" style="16" customWidth="1"/>
    <col min="2302" max="2302" width="28.28515625" style="16" customWidth="1"/>
    <col min="2303" max="2303" width="30.5703125" style="16" customWidth="1"/>
    <col min="2304" max="2304" width="24.5703125" style="16" customWidth="1"/>
    <col min="2305" max="2305" width="26.7109375" style="16" customWidth="1"/>
    <col min="2306" max="2306" width="28.140625" style="16" customWidth="1"/>
    <col min="2307" max="2307" width="30.42578125" style="16" customWidth="1"/>
    <col min="2308" max="2308" width="26.42578125" style="16" customWidth="1"/>
    <col min="2309" max="2309" width="28.7109375" style="16" customWidth="1"/>
    <col min="2310" max="2310" width="26.42578125" style="16" customWidth="1"/>
    <col min="2311" max="2311" width="27.5703125" style="16" customWidth="1"/>
    <col min="2312" max="2312" width="29.85546875" style="16" customWidth="1"/>
    <col min="2313" max="2313" width="28" style="16" customWidth="1"/>
    <col min="2314" max="2314" width="30.28515625" style="16" customWidth="1"/>
    <col min="2315" max="2316" width="27" style="16" customWidth="1"/>
    <col min="2317" max="2317" width="26.85546875" style="16" customWidth="1"/>
    <col min="2318" max="2318" width="29.140625" style="16" customWidth="1"/>
    <col min="2319" max="2319" width="26.5703125" style="16" customWidth="1"/>
    <col min="2320" max="2320" width="28.85546875" style="16" customWidth="1"/>
    <col min="2321" max="2321" width="28.7109375" style="16" customWidth="1"/>
    <col min="2322" max="2323" width="26.85546875" style="16" customWidth="1"/>
    <col min="2324" max="2324" width="25.5703125" style="16" customWidth="1"/>
    <col min="2325" max="2325" width="30.140625" style="16" customWidth="1"/>
    <col min="2326" max="2326" width="32.28515625" style="16" customWidth="1"/>
    <col min="2327" max="2327" width="31.140625" style="16" customWidth="1"/>
    <col min="2328" max="2329" width="27.140625" style="16" customWidth="1"/>
    <col min="2330" max="2330" width="15.28515625" style="16" customWidth="1"/>
    <col min="2331" max="2331" width="17.42578125" style="16" customWidth="1"/>
    <col min="2332" max="2332" width="30" style="16" customWidth="1"/>
    <col min="2333" max="2333" width="28.85546875" style="16" customWidth="1"/>
    <col min="2334" max="2335" width="39.140625" style="16" customWidth="1"/>
    <col min="2336" max="2336" width="27.7109375" style="16" customWidth="1"/>
    <col min="2337" max="2337" width="25.5703125" style="16" customWidth="1"/>
    <col min="2338" max="2338" width="27.7109375" style="16" customWidth="1"/>
    <col min="2339" max="2339" width="29.28515625" style="16" customWidth="1"/>
    <col min="2340" max="2340" width="31.42578125" style="16" customWidth="1"/>
    <col min="2341" max="2341" width="28.7109375" style="16" customWidth="1"/>
    <col min="2342" max="2342" width="30.85546875" style="16" customWidth="1"/>
    <col min="2343" max="2343" width="29.140625" style="16" customWidth="1"/>
    <col min="2344" max="2344" width="31.28515625" style="16" customWidth="1"/>
    <col min="2345" max="2345" width="29.140625" style="16" customWidth="1"/>
    <col min="2346" max="2346" width="31.28515625" style="16" customWidth="1"/>
    <col min="2347" max="2347" width="15.85546875" style="16" customWidth="1"/>
    <col min="2348" max="2348" width="14" style="16" customWidth="1"/>
    <col min="2349" max="2349" width="17.7109375" style="16" customWidth="1"/>
    <col min="2350" max="2350" width="13.42578125" style="16" customWidth="1"/>
    <col min="2351" max="2351" width="34.85546875" style="16" customWidth="1"/>
    <col min="2352" max="2353" width="37" style="16" customWidth="1"/>
    <col min="2354" max="2354" width="33.85546875" style="16" customWidth="1"/>
    <col min="2355" max="2356" width="36" style="16" customWidth="1"/>
    <col min="2357" max="2357" width="35.42578125" style="16" customWidth="1"/>
    <col min="2358" max="2359" width="37.5703125" style="16" customWidth="1"/>
    <col min="2360" max="2360" width="11.7109375" style="16" customWidth="1"/>
    <col min="2361" max="2361" width="33.85546875" style="16" customWidth="1"/>
    <col min="2362" max="2363" width="36" style="16" customWidth="1"/>
    <col min="2364" max="2364" width="33.85546875" style="16" customWidth="1"/>
    <col min="2365" max="2365" width="36" style="16" customWidth="1"/>
    <col min="2366" max="2366" width="34.28515625" style="16" customWidth="1"/>
    <col min="2367" max="2368" width="36.42578125" style="16" customWidth="1"/>
    <col min="2369" max="2369" width="21" style="16" customWidth="1"/>
    <col min="2370" max="2370" width="14.85546875" style="16" customWidth="1"/>
    <col min="2371" max="2371" width="29.140625" style="16" customWidth="1"/>
    <col min="2372" max="2372" width="27.5703125" style="16" customWidth="1"/>
    <col min="2373" max="2373" width="15" style="16" customWidth="1"/>
    <col min="2374" max="2374" width="17.140625" style="16" customWidth="1"/>
    <col min="2375" max="2375" width="33.5703125" style="16" customWidth="1"/>
    <col min="2376" max="2377" width="33.140625" style="16" customWidth="1"/>
    <col min="2378" max="2378" width="33.5703125" style="16" customWidth="1"/>
    <col min="2379" max="2379" width="15.7109375" style="16" customWidth="1"/>
    <col min="2380" max="2380" width="17.85546875" style="16" customWidth="1"/>
    <col min="2381" max="2381" width="27.140625" style="16" customWidth="1"/>
    <col min="2382" max="2382" width="27" style="16" customWidth="1"/>
    <col min="2383" max="2384" width="26.85546875" style="16" customWidth="1"/>
    <col min="2385" max="2385" width="29" style="16" customWidth="1"/>
    <col min="2386" max="2386" width="25.7109375" style="16" customWidth="1"/>
    <col min="2387" max="2387" width="27.85546875" style="16" customWidth="1"/>
    <col min="2388" max="2388" width="28" style="16" customWidth="1"/>
    <col min="2389" max="2389" width="30.28515625" style="16" customWidth="1"/>
    <col min="2390" max="2390" width="28.28515625" style="16" customWidth="1"/>
    <col min="2391" max="2391" width="30.5703125" style="16" customWidth="1"/>
    <col min="2392" max="2392" width="24.5703125" style="16" customWidth="1"/>
    <col min="2393" max="2393" width="26.7109375" style="16" customWidth="1"/>
    <col min="2394" max="2394" width="28.140625" style="16" customWidth="1"/>
    <col min="2395" max="2395" width="30.42578125" style="16" customWidth="1"/>
    <col min="2396" max="2396" width="26.42578125" style="16" customWidth="1"/>
    <col min="2397" max="2397" width="28.7109375" style="16" customWidth="1"/>
    <col min="2398" max="2398" width="26.42578125" style="16" customWidth="1"/>
    <col min="2399" max="2399" width="27.5703125" style="16" customWidth="1"/>
    <col min="2400" max="2400" width="29.85546875" style="16" customWidth="1"/>
    <col min="2401" max="2401" width="28" style="16" customWidth="1"/>
    <col min="2402" max="2402" width="30.28515625" style="16" customWidth="1"/>
    <col min="2403" max="2404" width="27" style="16" customWidth="1"/>
    <col min="2405" max="2405" width="26.85546875" style="16" customWidth="1"/>
    <col min="2406" max="2406" width="29.140625" style="16" customWidth="1"/>
    <col min="2407" max="2407" width="26.5703125" style="16" customWidth="1"/>
    <col min="2408" max="2408" width="28.85546875" style="16" customWidth="1"/>
    <col min="2409" max="2409" width="28.7109375" style="16" customWidth="1"/>
    <col min="2410" max="2411" width="26.85546875" style="16" customWidth="1"/>
    <col min="2412" max="2412" width="25.5703125" style="16" customWidth="1"/>
    <col min="2413" max="2413" width="30.140625" style="16" customWidth="1"/>
    <col min="2414" max="2414" width="32.28515625" style="16" customWidth="1"/>
    <col min="2415" max="2415" width="31.140625" style="16" customWidth="1"/>
    <col min="2416" max="2417" width="27.140625" style="16" customWidth="1"/>
    <col min="2418" max="2418" width="15.28515625" style="16" customWidth="1"/>
    <col min="2419" max="2419" width="17.42578125" style="16" customWidth="1"/>
    <col min="2420" max="2420" width="30" style="16" customWidth="1"/>
    <col min="2421" max="2421" width="28.85546875" style="16" customWidth="1"/>
    <col min="2422" max="2423" width="39.140625" style="16" customWidth="1"/>
    <col min="2424" max="2424" width="27.7109375" style="16" customWidth="1"/>
    <col min="2425" max="2425" width="25.5703125" style="16" customWidth="1"/>
    <col min="2426" max="2426" width="27.7109375" style="16" customWidth="1"/>
    <col min="2427" max="2427" width="29.28515625" style="16" customWidth="1"/>
    <col min="2428" max="2428" width="31.42578125" style="16" customWidth="1"/>
    <col min="2429" max="2429" width="28.7109375" style="16" customWidth="1"/>
    <col min="2430" max="2430" width="30.85546875" style="16" customWidth="1"/>
    <col min="2431" max="2431" width="29.140625" style="16" customWidth="1"/>
    <col min="2432" max="2432" width="31.28515625" style="16" customWidth="1"/>
    <col min="2433" max="2433" width="29.140625" style="16" customWidth="1"/>
    <col min="2434" max="2434" width="31.28515625" style="16" customWidth="1"/>
    <col min="2435" max="2435" width="15.85546875" style="16" customWidth="1"/>
    <col min="2436" max="2436" width="14" style="16" customWidth="1"/>
    <col min="2437" max="2437" width="17.7109375" style="16" customWidth="1"/>
    <col min="2438" max="2438" width="13.42578125" style="16" customWidth="1"/>
    <col min="2439" max="2439" width="34.85546875" style="16" customWidth="1"/>
    <col min="2440" max="2441" width="37" style="16" customWidth="1"/>
    <col min="2442" max="2442" width="33.85546875" style="16" customWidth="1"/>
    <col min="2443" max="2444" width="36" style="16" customWidth="1"/>
    <col min="2445" max="2445" width="35.42578125" style="16" customWidth="1"/>
    <col min="2446" max="2447" width="37.5703125" style="16" customWidth="1"/>
    <col min="2448" max="2448" width="11.7109375" style="16" customWidth="1"/>
    <col min="2449" max="2449" width="33.85546875" style="16" customWidth="1"/>
    <col min="2450" max="2451" width="36" style="16" customWidth="1"/>
    <col min="2452" max="2452" width="33.85546875" style="16" customWidth="1"/>
    <col min="2453" max="2453" width="36" style="16" customWidth="1"/>
    <col min="2454" max="2454" width="34.28515625" style="16" customWidth="1"/>
    <col min="2455" max="2456" width="36.42578125" style="16" customWidth="1"/>
    <col min="2457" max="2457" width="21" style="16" customWidth="1"/>
    <col min="2458" max="2458" width="14.85546875" style="16" customWidth="1"/>
    <col min="2459" max="2459" width="29.140625" style="16" customWidth="1"/>
    <col min="2460" max="2460" width="27.5703125" style="16" customWidth="1"/>
    <col min="2461" max="2461" width="15" style="16" customWidth="1"/>
    <col min="2462" max="2462" width="17.140625" style="16" customWidth="1"/>
    <col min="2463" max="2463" width="33.5703125" style="16" customWidth="1"/>
    <col min="2464" max="2465" width="33.140625" style="16" customWidth="1"/>
    <col min="2466" max="2466" width="33.5703125" style="16" customWidth="1"/>
    <col min="2467" max="2467" width="15.85546875" bestFit="1" customWidth="1"/>
    <col min="2468" max="2468" width="17.85546875" style="16" customWidth="1"/>
    <col min="2469" max="2469" width="27.140625" style="16" customWidth="1"/>
    <col min="2470" max="2470" width="27" style="16" customWidth="1"/>
    <col min="2471" max="2472" width="26.85546875" style="16" customWidth="1"/>
    <col min="2473" max="2473" width="29" style="16" customWidth="1"/>
    <col min="2474" max="2474" width="25.7109375" style="16" customWidth="1"/>
    <col min="2475" max="2475" width="27.85546875" style="16" customWidth="1"/>
    <col min="2476" max="2476" width="28" style="16" customWidth="1"/>
    <col min="2477" max="2477" width="30.28515625" style="16" customWidth="1"/>
    <col min="2478" max="2478" width="28.28515625" style="16" customWidth="1"/>
    <col min="2479" max="2479" width="30.5703125" style="16" customWidth="1"/>
    <col min="2480" max="2480" width="24.5703125" style="16" customWidth="1"/>
    <col min="2481" max="2481" width="26.7109375" style="16" customWidth="1"/>
    <col min="2482" max="2482" width="28.140625" style="16" customWidth="1"/>
    <col min="2483" max="2483" width="30.42578125" style="16" customWidth="1"/>
    <col min="2484" max="2484" width="26.42578125" style="16" customWidth="1"/>
    <col min="2485" max="2485" width="28.7109375" style="16" customWidth="1"/>
    <col min="2486" max="2486" width="26.42578125" style="16" customWidth="1"/>
    <col min="2487" max="2487" width="27.5703125" style="16" customWidth="1"/>
    <col min="2488" max="2488" width="29.85546875" style="16" customWidth="1"/>
    <col min="2489" max="2489" width="28" style="16" customWidth="1"/>
    <col min="2490" max="2490" width="30.28515625" style="16" customWidth="1"/>
    <col min="2491" max="2492" width="27" style="16" customWidth="1"/>
    <col min="2493" max="2493" width="26.85546875" style="16" customWidth="1"/>
    <col min="2494" max="2494" width="29.140625" style="16" customWidth="1"/>
    <col min="2495" max="2495" width="26.5703125" style="16" customWidth="1"/>
    <col min="2496" max="2496" width="28.85546875" style="16" customWidth="1"/>
    <col min="2497" max="2497" width="28.7109375" style="16" customWidth="1"/>
    <col min="2498" max="2499" width="26.85546875" style="16" customWidth="1"/>
    <col min="2500" max="2500" width="25.5703125" style="16" customWidth="1"/>
    <col min="2501" max="2501" width="30.140625" style="16" customWidth="1"/>
    <col min="2502" max="2502" width="32.28515625" style="16" customWidth="1"/>
    <col min="2503" max="2503" width="31.140625" style="16" customWidth="1"/>
    <col min="2504" max="2505" width="27.140625" style="16" customWidth="1"/>
    <col min="2506" max="2506" width="16" style="16" customWidth="1"/>
    <col min="2507" max="2507" width="16.140625" style="16" customWidth="1"/>
    <col min="2508" max="2508" width="17.42578125" style="16" customWidth="1"/>
    <col min="2509" max="2509" width="30" style="16" customWidth="1"/>
    <col min="2510" max="2510" width="28.85546875" style="16" customWidth="1"/>
    <col min="2511" max="2512" width="39.140625" style="16" customWidth="1"/>
    <col min="2513" max="2513" width="27.7109375" style="16" customWidth="1"/>
    <col min="2514" max="2514" width="25.5703125" style="16" customWidth="1"/>
    <col min="2515" max="2515" width="27.7109375" style="16" customWidth="1"/>
    <col min="2516" max="2516" width="29.28515625" style="16" customWidth="1"/>
    <col min="2517" max="2517" width="31.42578125" style="16" customWidth="1"/>
    <col min="2518" max="2518" width="28.7109375" style="16" customWidth="1"/>
    <col min="2519" max="2519" width="30.85546875" style="16" customWidth="1"/>
    <col min="2520" max="2520" width="29.140625" style="16" customWidth="1"/>
    <col min="2521" max="2521" width="31.28515625" style="16" customWidth="1"/>
    <col min="2522" max="2522" width="29.140625" style="16" customWidth="1"/>
    <col min="2523" max="2523" width="31.28515625" style="16" customWidth="1"/>
    <col min="2524" max="2524" width="14" style="16" customWidth="1"/>
    <col min="2525" max="2525" width="17.7109375" style="16" customWidth="1"/>
    <col min="2526" max="2526" width="13.42578125" style="16" customWidth="1"/>
    <col min="2527" max="2527" width="34.85546875" style="16" customWidth="1"/>
    <col min="2528" max="2529" width="37" style="16" customWidth="1"/>
    <col min="2530" max="2530" width="33.85546875" style="16" customWidth="1"/>
    <col min="2531" max="2532" width="36" style="16" customWidth="1"/>
    <col min="2533" max="2533" width="35.42578125" style="16" customWidth="1"/>
    <col min="2534" max="2535" width="37.5703125" style="16" customWidth="1"/>
    <col min="2536" max="2536" width="11.7109375" style="16" customWidth="1"/>
    <col min="2537" max="2537" width="33.85546875" style="16" customWidth="1"/>
    <col min="2538" max="2539" width="36" style="16" customWidth="1"/>
    <col min="2540" max="2540" width="33.85546875" style="16" customWidth="1"/>
    <col min="2541" max="2541" width="36" style="16" customWidth="1"/>
    <col min="2542" max="2542" width="34.28515625" style="16" customWidth="1"/>
    <col min="2543" max="2544" width="36.42578125" style="16" customWidth="1"/>
    <col min="2545" max="2545" width="14.42578125" bestFit="1" customWidth="1"/>
  </cols>
  <sheetData>
    <row r="1" spans="1:2544">
      <c r="A1" s="16"/>
      <c r="B1" s="16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</row>
    <row r="2" spans="1:2544">
      <c r="A2" s="16"/>
      <c r="B2" s="16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</row>
    <row r="3" spans="1:2544">
      <c r="A3" s="16"/>
      <c r="B3" s="16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</row>
    <row r="4" spans="1:2544">
      <c r="CFC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</row>
    <row r="5" spans="1:2544">
      <c r="CLQ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</row>
    <row r="6" spans="1:2544">
      <c r="CMK6"/>
      <c r="CPK6"/>
      <c r="CPL6"/>
      <c r="CPM6"/>
      <c r="CPN6"/>
      <c r="CPO6"/>
      <c r="CPP6"/>
      <c r="CPQ6"/>
      <c r="CPR6"/>
      <c r="CPS6"/>
      <c r="CPT6"/>
      <c r="CPU6"/>
      <c r="CPV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</row>
    <row r="7" spans="1:2544">
      <c r="CMK7"/>
      <c r="CPK7"/>
      <c r="CPL7"/>
      <c r="CPM7"/>
      <c r="CPN7"/>
      <c r="CPO7"/>
      <c r="CPP7"/>
      <c r="CPQ7"/>
      <c r="CPR7"/>
      <c r="CPS7"/>
      <c r="CPT7"/>
      <c r="CPU7"/>
      <c r="CPV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</row>
    <row r="8" spans="1:2544">
      <c r="CMK8"/>
      <c r="CPK8"/>
      <c r="CPL8"/>
      <c r="CPM8"/>
      <c r="CPN8"/>
      <c r="CPO8"/>
      <c r="CPP8"/>
      <c r="CPQ8"/>
      <c r="CPR8"/>
      <c r="CPS8"/>
      <c r="CPT8"/>
      <c r="CPU8"/>
      <c r="CPV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</row>
    <row r="9" spans="1:2544">
      <c r="CMU9"/>
      <c r="CPU9"/>
      <c r="CPV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</row>
    <row r="10" spans="1:2544">
      <c r="CMU10"/>
      <c r="CPU10"/>
      <c r="CPV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</row>
    <row r="11" spans="1:2544">
      <c r="CMU11"/>
      <c r="CPU11"/>
      <c r="CPV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</row>
    <row r="12" spans="1:2544">
      <c r="CNY12"/>
      <c r="CPW12" s="16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</row>
    <row r="13" spans="1:2544">
      <c r="COI13"/>
      <c r="CPW13" s="16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</row>
    <row r="14" spans="1:2544">
      <c r="COI14"/>
      <c r="CPW14" s="16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</row>
    <row r="15" spans="1:2544">
      <c r="COI15"/>
      <c r="CPW15" s="16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</row>
    <row r="16" spans="1:2544">
      <c r="CPC16"/>
      <c r="CPW16" s="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</row>
    <row r="17" spans="2447:2544">
      <c r="CPC17"/>
      <c r="CPW17" s="16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</row>
    <row r="18" spans="2447:2544">
      <c r="CPC18"/>
      <c r="CPW18" s="16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</row>
    <row r="19" spans="2447:2544">
      <c r="CPC19"/>
      <c r="CPW19" s="16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</row>
    <row r="20" spans="2447:2544">
      <c r="CPC20"/>
      <c r="CPW20" s="16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</row>
    <row r="21" spans="2447:2544">
      <c r="CPC21"/>
      <c r="CPW21" s="16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</row>
    <row r="22" spans="2447:2544">
      <c r="CPC22"/>
      <c r="CPW22" s="16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</row>
    <row r="23" spans="2447:2544">
      <c r="CPC23"/>
      <c r="CPW23" s="16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</row>
    <row r="24" spans="2447:2544">
      <c r="CPC24"/>
      <c r="CPW24" s="16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</row>
    <row r="25" spans="2447:2544">
      <c r="CPC25"/>
      <c r="CPW25" s="16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</row>
    <row r="26" spans="2447:2544">
      <c r="CPC26"/>
      <c r="CPW26" s="1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</row>
    <row r="27" spans="2447:2544">
      <c r="CPC27"/>
      <c r="CPW27" s="16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</row>
    <row r="28" spans="2447:2544">
      <c r="CPC28"/>
      <c r="CPW28" s="16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</row>
    <row r="29" spans="2447:2544">
      <c r="CPC29"/>
      <c r="CPW29" s="16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</row>
    <row r="30" spans="2447:2544">
      <c r="CPC30"/>
      <c r="CPW30" s="16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</row>
    <row r="31" spans="2447:2544">
      <c r="CPC31"/>
      <c r="CPW31" s="16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</row>
    <row r="32" spans="2447:2544">
      <c r="CPC32"/>
      <c r="CPW32" s="16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</row>
    <row r="33" spans="2447:2544">
      <c r="CPC33"/>
      <c r="CPW33" s="16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</row>
    <row r="34" spans="2447:2544">
      <c r="CPC34"/>
      <c r="CPW34" s="16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</row>
    <row r="35" spans="2447:2544">
      <c r="CPC35"/>
      <c r="CPW35" s="16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</row>
    <row r="36" spans="2447:2544">
      <c r="CPC36"/>
      <c r="CPW36" s="1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</row>
    <row r="37" spans="2447:2544">
      <c r="CPC37"/>
      <c r="CPW37" s="16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</row>
    <row r="38" spans="2447:2544">
      <c r="CPC38"/>
      <c r="CPW38" s="16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</row>
    <row r="39" spans="2447:2544">
      <c r="CPC39"/>
      <c r="CPW39" s="16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</row>
    <row r="40" spans="2447:2544">
      <c r="CPC40"/>
      <c r="CPW40" s="16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</row>
    <row r="41" spans="2447:2544">
      <c r="CPC41"/>
      <c r="CPW41" s="16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</row>
    <row r="42" spans="2447:2544">
      <c r="CPC42"/>
      <c r="CPW42" s="16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</row>
    <row r="43" spans="2447:2544">
      <c r="CPC43"/>
      <c r="CPW43" s="16"/>
      <c r="CSC43"/>
      <c r="CSD43"/>
      <c r="CSE43"/>
      <c r="CSF43"/>
      <c r="CSG43"/>
      <c r="CSH43"/>
      <c r="CSI43"/>
      <c r="CSJ43"/>
      <c r="CSK43"/>
      <c r="CSL43"/>
      <c r="CSM43"/>
      <c r="CSN43"/>
      <c r="CSO43"/>
      <c r="CSP43"/>
      <c r="CSQ43"/>
      <c r="CSR43"/>
      <c r="CSS43"/>
      <c r="CST43"/>
      <c r="CSU43"/>
      <c r="CSV43"/>
    </row>
    <row r="44" spans="2447:2544">
      <c r="CPC44"/>
      <c r="CPW44" s="16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</row>
    <row r="45" spans="2447:2544">
      <c r="CPC45"/>
      <c r="CPW45" s="16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</row>
    <row r="46" spans="2447:2544">
      <c r="CPC46"/>
      <c r="CPW46" s="16"/>
      <c r="CSC46"/>
      <c r="CSD46"/>
      <c r="CSE46"/>
      <c r="CSF46"/>
      <c r="CSG46"/>
      <c r="CSH46"/>
      <c r="CSI46"/>
      <c r="CSJ46"/>
      <c r="CSK46"/>
      <c r="CSL46"/>
      <c r="CSM46"/>
      <c r="CSN46"/>
      <c r="CSO46"/>
      <c r="CSP46"/>
      <c r="CSQ46"/>
      <c r="CSR46"/>
      <c r="CSS46"/>
      <c r="CST46"/>
      <c r="CSU46"/>
      <c r="CSV46"/>
    </row>
    <row r="47" spans="2447:2544">
      <c r="CPC47"/>
      <c r="CPW47" s="16"/>
      <c r="CSC47"/>
      <c r="CSD47"/>
      <c r="CSE47"/>
      <c r="CSF47"/>
      <c r="CSG47"/>
      <c r="CSH47"/>
      <c r="CSI47"/>
      <c r="CSJ47"/>
      <c r="CSK47"/>
      <c r="CSL47"/>
      <c r="CSM47"/>
      <c r="CSN47"/>
      <c r="CSO47"/>
      <c r="CSP47"/>
      <c r="CSQ47"/>
      <c r="CSR47"/>
      <c r="CSS47"/>
      <c r="CST47"/>
      <c r="CSU47"/>
      <c r="CSV47"/>
    </row>
    <row r="48" spans="2447:2544">
      <c r="CPC48"/>
      <c r="CPW48" s="16"/>
      <c r="CSC48"/>
      <c r="CSD48"/>
      <c r="CSE48"/>
      <c r="CSF48"/>
      <c r="CSG48"/>
      <c r="CSH48"/>
      <c r="CSI48"/>
      <c r="CSJ48"/>
      <c r="CSK48"/>
      <c r="CSL48"/>
      <c r="CSM48"/>
      <c r="CSN48"/>
      <c r="CSO48"/>
      <c r="CSP48"/>
      <c r="CSQ48"/>
      <c r="CSR48"/>
      <c r="CSS48"/>
      <c r="CST48"/>
      <c r="CSU48"/>
      <c r="CSV48"/>
    </row>
    <row r="49" spans="2447:2544">
      <c r="CPC49"/>
      <c r="CPW49" s="16"/>
      <c r="CSC49"/>
      <c r="CSD49"/>
      <c r="CSE49"/>
      <c r="CSF49"/>
      <c r="CSG49"/>
      <c r="CSH49"/>
      <c r="CSI49"/>
      <c r="CSJ49"/>
      <c r="CSK49"/>
      <c r="CSL49"/>
      <c r="CSM49"/>
      <c r="CSN49"/>
      <c r="CSO49"/>
      <c r="CSP49"/>
      <c r="CSQ49"/>
      <c r="CSR49"/>
      <c r="CSS49"/>
      <c r="CST49"/>
      <c r="CSU49"/>
      <c r="CSV49"/>
    </row>
    <row r="50" spans="2447:2544">
      <c r="CPC50"/>
      <c r="CPW50" s="16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</row>
    <row r="51" spans="2447:2544">
      <c r="CPC51"/>
      <c r="CPW51" s="16"/>
      <c r="CSC51"/>
      <c r="CSD51"/>
      <c r="CSE51"/>
      <c r="CSF51"/>
      <c r="CSG51"/>
      <c r="CSH51"/>
      <c r="CSI51"/>
      <c r="CSJ51"/>
      <c r="CSK51"/>
      <c r="CSL51"/>
      <c r="CSM51"/>
      <c r="CSN51"/>
      <c r="CSO51"/>
      <c r="CSP51"/>
      <c r="CSQ51"/>
      <c r="CSR51"/>
      <c r="CSS51"/>
      <c r="CST51"/>
      <c r="CSU51"/>
      <c r="CSV51"/>
    </row>
    <row r="52" spans="2447:2544">
      <c r="CPC52"/>
      <c r="CPW52" s="16"/>
      <c r="CSC52"/>
      <c r="CSD52"/>
      <c r="CSE52"/>
      <c r="CSF52"/>
      <c r="CSG52"/>
      <c r="CSH52"/>
      <c r="CSI52"/>
      <c r="CSJ52"/>
      <c r="CSK52"/>
      <c r="CSL52"/>
      <c r="CSM52"/>
      <c r="CSN52"/>
      <c r="CSO52"/>
      <c r="CSP52"/>
      <c r="CSQ52"/>
      <c r="CSR52"/>
      <c r="CSS52"/>
      <c r="CST52"/>
      <c r="CSU52"/>
      <c r="CSV52"/>
    </row>
    <row r="53" spans="2447:2544">
      <c r="CPC53"/>
      <c r="CPW53" s="16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</row>
    <row r="54" spans="2447:2544">
      <c r="CPC54"/>
      <c r="CPW54" s="16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</row>
    <row r="55" spans="2447:2544">
      <c r="CPC55"/>
      <c r="CPW55" s="16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</row>
    <row r="56" spans="2447:2544">
      <c r="CPC56"/>
      <c r="CPW56" s="16"/>
      <c r="CSC56"/>
      <c r="CSD56"/>
      <c r="CSE56"/>
      <c r="CSF56"/>
      <c r="CSG56"/>
      <c r="CSH56"/>
      <c r="CSI56"/>
      <c r="CSJ56"/>
      <c r="CSK56"/>
      <c r="CSL56"/>
      <c r="CSM56"/>
      <c r="CSN56"/>
      <c r="CSO56"/>
      <c r="CSP56"/>
      <c r="CSQ56"/>
      <c r="CSR56"/>
      <c r="CSS56"/>
      <c r="CST56"/>
      <c r="CSU56"/>
      <c r="CSV56"/>
    </row>
    <row r="57" spans="2447:2544">
      <c r="CPC57"/>
      <c r="CPW57" s="16"/>
      <c r="CSC57"/>
      <c r="CSD57"/>
      <c r="CSE57"/>
      <c r="CSF57"/>
      <c r="CSG57"/>
      <c r="CSH57"/>
      <c r="CSI57"/>
      <c r="CSJ57"/>
      <c r="CSK57"/>
      <c r="CSL57"/>
      <c r="CSM57"/>
      <c r="CSN57"/>
      <c r="CSO57"/>
      <c r="CSP57"/>
      <c r="CSQ57"/>
      <c r="CSR57"/>
      <c r="CSS57"/>
      <c r="CST57"/>
      <c r="CSU57"/>
      <c r="CSV57"/>
    </row>
    <row r="58" spans="2447:2544">
      <c r="CPC58"/>
      <c r="CPW58" s="16"/>
      <c r="CSC58"/>
      <c r="CSD58"/>
      <c r="CSE58"/>
      <c r="CSF58"/>
      <c r="CSG58"/>
      <c r="CSH58"/>
      <c r="CSI58"/>
      <c r="CSJ58"/>
      <c r="CSK58"/>
      <c r="CSL58"/>
      <c r="CSM58"/>
      <c r="CSN58"/>
      <c r="CSO58"/>
      <c r="CSP58"/>
      <c r="CSQ58"/>
      <c r="CSR58"/>
      <c r="CSS58"/>
      <c r="CST58"/>
      <c r="CSU58"/>
      <c r="CSV58"/>
    </row>
    <row r="59" spans="2447:2544">
      <c r="CPC59"/>
      <c r="CPW59" s="16"/>
      <c r="CSC59"/>
      <c r="CSD59"/>
      <c r="CSE59"/>
      <c r="CSF59"/>
      <c r="CSG59"/>
      <c r="CSH59"/>
      <c r="CSI59"/>
      <c r="CSJ59"/>
      <c r="CSK59"/>
      <c r="CSL59"/>
      <c r="CSM59"/>
      <c r="CSN59"/>
      <c r="CSO59"/>
      <c r="CSP59"/>
      <c r="CSQ59"/>
      <c r="CSR59"/>
      <c r="CSS59"/>
      <c r="CST59"/>
      <c r="CSU59"/>
      <c r="CSV59"/>
    </row>
    <row r="60" spans="2447:2544">
      <c r="CPC60"/>
      <c r="CPW60" s="16"/>
      <c r="CSC60"/>
      <c r="CSD60"/>
      <c r="CSE60"/>
      <c r="CSF60"/>
      <c r="CSG60"/>
      <c r="CSH60"/>
      <c r="CSI60"/>
      <c r="CSJ60"/>
      <c r="CSK60"/>
      <c r="CSL60"/>
      <c r="CSM60"/>
      <c r="CSN60"/>
      <c r="CSO60"/>
      <c r="CSP60"/>
      <c r="CSQ60"/>
      <c r="CSR60"/>
      <c r="CSS60"/>
      <c r="CST60"/>
      <c r="CSU60"/>
      <c r="CSV60"/>
    </row>
    <row r="61" spans="2447:2544">
      <c r="CPC61"/>
      <c r="CPW61" s="16"/>
      <c r="CSC61"/>
      <c r="CSD61"/>
      <c r="CSE61"/>
      <c r="CSF61"/>
      <c r="CSG61"/>
      <c r="CSH61"/>
      <c r="CSI61"/>
      <c r="CSJ61"/>
      <c r="CSK61"/>
      <c r="CSL61"/>
      <c r="CSM61"/>
      <c r="CSN61"/>
      <c r="CSO61"/>
      <c r="CSP61"/>
      <c r="CSQ61"/>
      <c r="CSR61"/>
      <c r="CSS61"/>
      <c r="CST61"/>
      <c r="CSU61"/>
      <c r="CSV61"/>
    </row>
  </sheetData>
  <sheetProtection algorithmName="SHA-512" hashValue="jujTxRe3IGfdG7XwSfArHoBB1s8KCy1lSa9PjVgRt1aEQR0oGQPpwdnMhRv4XxIILZhf5eyhL2L9xRx6vUapWQ==" saltValue="QrsENO++sZbJnDa4WriQw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KM_RDB_806_T0001_RDB">
    <tabColor rgb="FFCC9900"/>
    <pageSetUpPr fitToPage="1"/>
  </sheetPr>
  <dimension ref="A1:V1000"/>
  <sheetViews>
    <sheetView showGridLines="0" tabSelected="1" view="pageBreakPreview" zoomScale="70" zoomScaleNormal="100" zoomScaleSheetLayoutView="70" zoomScalePageLayoutView="55" workbookViewId="0">
      <selection activeCell="F19" sqref="F19"/>
    </sheetView>
  </sheetViews>
  <sheetFormatPr baseColWidth="10" defaultColWidth="12.42578125" defaultRowHeight="12.75"/>
  <cols>
    <col min="1" max="1" width="7.28515625" style="29" customWidth="1"/>
    <col min="2" max="2" width="16.42578125" style="29" bestFit="1" customWidth="1"/>
    <col min="3" max="3" width="19.140625" style="29" bestFit="1" customWidth="1"/>
    <col min="4" max="4" width="14.28515625" style="29" bestFit="1" customWidth="1"/>
    <col min="5" max="5" width="29.5703125" style="29" bestFit="1" customWidth="1"/>
    <col min="6" max="6" width="12" style="29" bestFit="1" customWidth="1"/>
    <col min="7" max="7" width="26" style="29" bestFit="1" customWidth="1"/>
    <col min="8" max="8" width="18.140625" style="29" customWidth="1"/>
    <col min="9" max="9" width="17.85546875" style="29" customWidth="1"/>
    <col min="10" max="10" width="18.85546875" style="29" customWidth="1"/>
    <col min="11" max="11" width="28.7109375" style="29" customWidth="1"/>
    <col min="12" max="12" width="18.140625" style="29" customWidth="1"/>
    <col min="13" max="13" width="12.85546875" style="29" hidden="1" customWidth="1"/>
    <col min="14" max="14" width="15.42578125" style="29" hidden="1" customWidth="1"/>
    <col min="15" max="15" width="14" style="29" customWidth="1"/>
    <col min="16" max="16" width="18.7109375" style="29" customWidth="1"/>
    <col min="17" max="17" width="15.140625" style="29" customWidth="1"/>
    <col min="18" max="18" width="17.42578125" style="29" customWidth="1"/>
    <col min="19" max="19" width="33.28515625" style="29" customWidth="1"/>
    <col min="20" max="22" width="12.42578125" style="29" hidden="1" customWidth="1"/>
    <col min="23" max="16384" width="12.42578125" style="29"/>
  </cols>
  <sheetData>
    <row r="1" spans="1:20" ht="9" customHeight="1">
      <c r="A1" s="27"/>
      <c r="B1" s="27"/>
      <c r="C1" s="27"/>
      <c r="D1" s="27"/>
      <c r="E1" s="27"/>
      <c r="F1" s="170"/>
      <c r="G1" s="170"/>
      <c r="H1" s="170"/>
      <c r="I1" s="170"/>
      <c r="J1" s="27"/>
      <c r="K1" s="27"/>
      <c r="L1" s="28"/>
      <c r="M1" s="28"/>
      <c r="N1" s="168"/>
      <c r="O1" s="168"/>
      <c r="P1" s="168"/>
      <c r="Q1" s="168"/>
      <c r="R1" s="168"/>
      <c r="S1" s="168"/>
    </row>
    <row r="2" spans="1:20" ht="20.25">
      <c r="A2" s="30" t="str">
        <f>VLOOKUP("WG_1025_ST_TXT_0001",Translation!A:B,2,FALSE)</f>
        <v>Rechnungsdaten</v>
      </c>
      <c r="B2" s="30"/>
      <c r="C2" s="28"/>
      <c r="D2" s="31"/>
      <c r="E2" s="28"/>
      <c r="F2" s="28"/>
      <c r="G2" s="28"/>
      <c r="H2" s="28"/>
      <c r="I2" s="28"/>
      <c r="J2" s="28"/>
      <c r="K2" s="28"/>
      <c r="L2" s="28"/>
      <c r="O2" s="115" t="str">
        <f>VLOOKUP("WG_1052_ST_TXT_0073",Translation!A:B,2,FALSE)</f>
        <v>Laufweg Rechnungsfreigabe</v>
      </c>
      <c r="S2" s="147" t="s">
        <v>270</v>
      </c>
    </row>
    <row r="3" spans="1:20" ht="3.95" customHeight="1">
      <c r="A3" s="32"/>
      <c r="B3" s="32"/>
      <c r="C3" s="33"/>
      <c r="D3" s="28"/>
      <c r="E3" s="28"/>
      <c r="F3" s="28"/>
      <c r="G3" s="28"/>
      <c r="H3" s="28"/>
      <c r="I3" s="28"/>
      <c r="J3" s="28"/>
      <c r="K3" s="28"/>
      <c r="L3" s="28"/>
    </row>
    <row r="4" spans="1:20" ht="24" customHeight="1">
      <c r="A4" s="82" t="str">
        <f>VLOOKUP("WG_1052_ST_TXT_0002",Translation!A:B,2,FALSE)</f>
        <v>Rechnungsnummer:</v>
      </c>
      <c r="B4" s="82"/>
      <c r="C4" s="179" t="s">
        <v>2374</v>
      </c>
      <c r="D4" s="179"/>
      <c r="E4" s="28"/>
      <c r="F4" s="82" t="str">
        <f>VLOOKUP("WG_1052_ST_TXT_0007",Translation!A:B,2,FALSE)</f>
        <v>Vertragsgruppierung</v>
      </c>
      <c r="G4" s="83"/>
      <c r="H4" s="84"/>
      <c r="I4" s="86" t="str">
        <f>Stammdaten!M2</f>
        <v>Aufträge / Dienstleistungen</v>
      </c>
      <c r="J4" s="87"/>
      <c r="K4" s="87"/>
      <c r="L4" s="37"/>
      <c r="N4" s="26"/>
      <c r="O4" s="57">
        <v>1</v>
      </c>
      <c r="P4" s="150" t="str">
        <f>IF(Stammdaten!L2="1018",(VLOOKUP("WG_1052_ST_TXT_0039",Translation!A:B,2,FALSE)),(VLOOKUP("WG_1052_ST_TXT_0040",Translation!A:B,2,FALSE)))</f>
        <v>BHU</v>
      </c>
      <c r="Q4" s="110"/>
      <c r="R4" s="110"/>
      <c r="S4" s="58"/>
      <c r="T4" s="72" t="s">
        <v>270</v>
      </c>
    </row>
    <row r="5" spans="1:20" ht="3.95" customHeight="1">
      <c r="A5" s="34"/>
      <c r="B5" s="34"/>
      <c r="C5" s="33"/>
      <c r="D5" s="28"/>
      <c r="E5" s="28"/>
      <c r="F5" s="38"/>
      <c r="G5" s="28"/>
      <c r="H5" s="28"/>
      <c r="I5" s="36"/>
      <c r="J5" s="36"/>
      <c r="K5" s="39"/>
      <c r="L5" s="37"/>
      <c r="O5" s="114"/>
      <c r="P5" s="28"/>
      <c r="S5" s="113"/>
    </row>
    <row r="6" spans="1:20" ht="24" customHeight="1">
      <c r="A6" s="82" t="str">
        <f>VLOOKUP("WG_1052_ST_TXT_0003",Translation!A:B,2,FALSE)</f>
        <v>Rechnungsdatum:</v>
      </c>
      <c r="B6" s="82"/>
      <c r="C6" s="180">
        <v>44950</v>
      </c>
      <c r="D6" s="180"/>
      <c r="E6" s="28"/>
      <c r="F6" s="82" t="str">
        <f>CONCATENATE(VLOOKUP("GLO_FT_WG_TNCBEWTP_MMOO_01_001",Translation!A:B,2,FALSE),":")</f>
        <v>Rechnungsart:</v>
      </c>
      <c r="G6" s="84"/>
      <c r="H6" s="84"/>
      <c r="I6" s="176" t="s">
        <v>2039</v>
      </c>
      <c r="J6" s="176"/>
      <c r="K6" s="176"/>
      <c r="O6" s="93" t="str">
        <f>VLOOKUP("WG_1052_ST_TXT_0018",Translation!A:B,2,FALSE)</f>
        <v>Firma:</v>
      </c>
      <c r="P6" s="94"/>
      <c r="Q6" s="162" t="s">
        <v>2370</v>
      </c>
      <c r="R6" s="162"/>
      <c r="S6" s="163"/>
      <c r="T6" s="40" t="str">
        <f>VLOOKUP(I6,Hilfstabelle!D2:E9,2,FALSE)</f>
        <v>DI</v>
      </c>
    </row>
    <row r="7" spans="1:20" ht="3.95" customHeight="1">
      <c r="A7" s="34"/>
      <c r="B7" s="34"/>
      <c r="C7" s="33"/>
      <c r="D7" s="28"/>
      <c r="E7" s="28"/>
      <c r="F7" s="38"/>
      <c r="G7" s="28"/>
      <c r="H7" s="41"/>
      <c r="I7" s="32"/>
      <c r="J7" s="32"/>
      <c r="K7" s="32"/>
      <c r="L7" s="37"/>
      <c r="O7" s="114"/>
      <c r="P7" s="28"/>
      <c r="S7" s="113"/>
    </row>
    <row r="8" spans="1:20" ht="24" customHeight="1">
      <c r="A8" s="82" t="str">
        <f>VLOOKUP("WG_1052_ST_TXT_0004",Translation!A:B,2,FALSE)</f>
        <v>Leistungszeitraum von:</v>
      </c>
      <c r="B8" s="82"/>
      <c r="C8" s="180">
        <v>44896</v>
      </c>
      <c r="D8" s="180"/>
      <c r="E8" s="28"/>
      <c r="F8" s="86" t="str">
        <f>VLOOKUP("WG_1052_ST_TXT_0008",Translation!A:B,2,FALSE)</f>
        <v>Schlussrechnung:</v>
      </c>
      <c r="G8" s="88"/>
      <c r="H8" s="89"/>
      <c r="I8" s="176" t="s">
        <v>2026</v>
      </c>
      <c r="J8" s="176"/>
      <c r="K8" s="176"/>
      <c r="L8" s="37"/>
      <c r="O8" s="93" t="str">
        <f>VLOOKUP("WG_1052_ST_TXT_0019",Translation!A:B,2,FALSE)</f>
        <v>Prüfperson:</v>
      </c>
      <c r="P8" s="94"/>
      <c r="Q8" s="156" t="s">
        <v>2371</v>
      </c>
      <c r="R8" s="156"/>
      <c r="S8" s="157"/>
      <c r="T8" s="29" t="str">
        <f>IF(I8=(VLOOKUP("WG_1052_ST_TXT_0027",Translation!A:B,2,FALSE)),"JA","NE")</f>
        <v>NE</v>
      </c>
    </row>
    <row r="9" spans="1:20" ht="3.95" customHeight="1">
      <c r="A9" s="34"/>
      <c r="B9" s="34"/>
      <c r="C9" s="33"/>
      <c r="D9" s="28"/>
      <c r="E9" s="28"/>
      <c r="F9" s="42"/>
      <c r="G9" s="37"/>
      <c r="H9" s="37"/>
      <c r="I9" s="39"/>
      <c r="J9" s="39"/>
      <c r="K9" s="39"/>
      <c r="L9" s="37"/>
      <c r="O9" s="114"/>
      <c r="P9" s="28"/>
      <c r="S9" s="113"/>
    </row>
    <row r="10" spans="1:20" ht="24" customHeight="1">
      <c r="A10" s="82" t="str">
        <f>VLOOKUP("WG_1052_ST_TXT_0005",Translation!A:B,2,FALSE)</f>
        <v>Leistungszeitraum bis:</v>
      </c>
      <c r="B10" s="82"/>
      <c r="C10" s="180">
        <v>44926</v>
      </c>
      <c r="D10" s="180"/>
      <c r="E10" s="28"/>
      <c r="F10" s="90" t="str">
        <f>VLOOKUP("WG_1052_ST_TXT_0009",Translation!A:B,2,FALSE)</f>
        <v>Währung:</v>
      </c>
      <c r="G10" s="83"/>
      <c r="H10" s="84"/>
      <c r="I10" s="176" t="s">
        <v>5</v>
      </c>
      <c r="J10" s="176"/>
      <c r="K10" s="176"/>
      <c r="L10" s="37"/>
      <c r="O10" s="93" t="str">
        <f>VLOOKUP("WG_1052_ST_TXT_0020",Translation!A:B,2,FALSE)</f>
        <v>Email:</v>
      </c>
      <c r="P10" s="94"/>
      <c r="Q10" s="158" t="s">
        <v>2372</v>
      </c>
      <c r="R10" s="158"/>
      <c r="S10" s="159"/>
    </row>
    <row r="11" spans="1:20" ht="3.95" customHeight="1">
      <c r="A11" s="34"/>
      <c r="B11" s="34"/>
      <c r="C11" s="43"/>
      <c r="D11" s="28"/>
      <c r="E11" s="28"/>
      <c r="F11" s="38"/>
      <c r="G11" s="28"/>
      <c r="H11" s="28"/>
      <c r="I11" s="37"/>
      <c r="J11" s="37"/>
      <c r="K11" s="37"/>
      <c r="L11" s="37"/>
      <c r="O11" s="114"/>
      <c r="P11" s="28"/>
      <c r="S11" s="113"/>
    </row>
    <row r="12" spans="1:20" ht="24" customHeight="1">
      <c r="A12" s="82" t="str">
        <f>CONCATENATE(VLOOKUP("GLO_GT_TXT_0172",Translation!A:B,2,FALSE),":")</f>
        <v>Zahlungsbedingung:</v>
      </c>
      <c r="B12" s="83"/>
      <c r="C12" s="173" t="str">
        <f>Stammdaten!S2</f>
        <v>innerhalb 45 Tage netto</v>
      </c>
      <c r="D12" s="173"/>
      <c r="F12" s="91" t="str">
        <f>VLOOKUP("WG_1052_ST_TXT_0075",Translation!A:B,2,FALSE)</f>
        <v>Bemerkung:</v>
      </c>
      <c r="H12" s="183"/>
      <c r="I12" s="184"/>
      <c r="J12" s="184"/>
      <c r="K12" s="185"/>
      <c r="O12" s="164" t="str">
        <f>CONCATENATE(VLOOKUP("WG_1052_ST_TXT_0021",Translation!A:B,2,FALSE),CHAR(10),
VLOOKUP("WG_1052_ST_TXT_0022",Translation!A:B,2,FALSE))</f>
        <v>Stempel / Datum / Unterschrift
oder Digitale Signatur</v>
      </c>
      <c r="P12" s="166"/>
      <c r="Q12" s="187"/>
      <c r="R12" s="187"/>
      <c r="S12" s="188"/>
      <c r="T12" s="40" t="str">
        <f>Stammdaten!R2</f>
        <v>ZC45</v>
      </c>
    </row>
    <row r="13" spans="1:20" ht="3.95" customHeight="1">
      <c r="A13" s="84"/>
      <c r="B13" s="84"/>
      <c r="C13" s="84"/>
      <c r="D13" s="84"/>
      <c r="E13" s="40"/>
      <c r="F13" s="91"/>
      <c r="H13" s="186"/>
      <c r="I13" s="187"/>
      <c r="J13" s="187"/>
      <c r="K13" s="188"/>
      <c r="O13" s="164"/>
      <c r="P13" s="166"/>
      <c r="Q13" s="187"/>
      <c r="R13" s="187"/>
      <c r="S13" s="188"/>
    </row>
    <row r="14" spans="1:20" ht="30" customHeight="1">
      <c r="A14" s="82" t="str">
        <f>VLOOKUP("WG_1052_ST_TXT_0006",Translation!A:B,2,FALSE)</f>
        <v>Belegart</v>
      </c>
      <c r="B14" s="84"/>
      <c r="C14" s="176" t="s">
        <v>1881</v>
      </c>
      <c r="D14" s="176"/>
      <c r="E14" s="40"/>
      <c r="F14" s="81"/>
      <c r="G14" s="35"/>
      <c r="H14" s="186"/>
      <c r="I14" s="187"/>
      <c r="J14" s="187"/>
      <c r="K14" s="188"/>
      <c r="L14" s="37"/>
      <c r="M14" s="72"/>
      <c r="O14" s="164"/>
      <c r="P14" s="166"/>
      <c r="Q14" s="187"/>
      <c r="R14" s="187"/>
      <c r="S14" s="188"/>
      <c r="T14" s="44" t="str">
        <f>VLOOKUP(C14,Hilfstabelle!A2:B3,2,FALSE)</f>
        <v>RE</v>
      </c>
    </row>
    <row r="15" spans="1:20" ht="3.95" customHeight="1">
      <c r="A15" s="32"/>
      <c r="B15" s="32"/>
      <c r="C15" s="32"/>
      <c r="D15" s="32"/>
      <c r="E15" s="40"/>
      <c r="F15" s="34"/>
      <c r="G15" s="35"/>
      <c r="H15" s="186"/>
      <c r="I15" s="187"/>
      <c r="J15" s="187"/>
      <c r="K15" s="188"/>
      <c r="L15" s="37"/>
      <c r="O15" s="164"/>
      <c r="P15" s="166"/>
      <c r="Q15" s="187"/>
      <c r="R15" s="187"/>
      <c r="S15" s="188"/>
    </row>
    <row r="16" spans="1:20" ht="3.95" customHeight="1">
      <c r="A16" s="32"/>
      <c r="B16" s="32"/>
      <c r="C16" s="43"/>
      <c r="D16" s="28"/>
      <c r="E16" s="28"/>
      <c r="F16" s="38"/>
      <c r="G16" s="28"/>
      <c r="H16" s="189"/>
      <c r="I16" s="190"/>
      <c r="J16" s="190"/>
      <c r="K16" s="191"/>
      <c r="L16" s="28"/>
      <c r="O16" s="164"/>
      <c r="P16" s="166"/>
      <c r="Q16" s="187"/>
      <c r="R16" s="187"/>
      <c r="S16" s="188"/>
    </row>
    <row r="17" spans="1:20" ht="27.75" customHeight="1">
      <c r="A17" s="30" t="str">
        <f>VLOOKUP("WG_1052_ST_TXT_0010",Translation!A:B,2,FALSE)</f>
        <v>Projektdaten</v>
      </c>
      <c r="B17" s="30"/>
      <c r="C17" s="43"/>
      <c r="D17" s="31"/>
      <c r="E17" s="28"/>
      <c r="F17" s="121" t="str">
        <f>IF(IFERROR(YEAR(C10),1900)&lt;&gt;IFERROR(YEAR(C8),1901),VLOOKUP("WG_1052_ST_TXT_0070",Translation!A:B,2,FALSE),"")</f>
        <v/>
      </c>
      <c r="G17" s="28"/>
      <c r="H17" s="28"/>
      <c r="I17" s="28"/>
      <c r="J17" s="28"/>
      <c r="K17" s="28"/>
      <c r="L17" s="28"/>
      <c r="O17" s="164"/>
      <c r="P17" s="166"/>
      <c r="Q17" s="187"/>
      <c r="R17" s="187"/>
      <c r="S17" s="188"/>
    </row>
    <row r="18" spans="1:20" ht="3.95" customHeight="1">
      <c r="A18" s="32"/>
      <c r="B18" s="32"/>
      <c r="C18" s="32"/>
      <c r="D18" s="28"/>
      <c r="E18" s="28"/>
      <c r="F18" s="38"/>
      <c r="G18" s="28"/>
      <c r="H18" s="28"/>
      <c r="I18" s="28"/>
      <c r="J18" s="28"/>
      <c r="K18" s="28"/>
      <c r="L18" s="28"/>
      <c r="O18" s="165"/>
      <c r="P18" s="167"/>
      <c r="Q18" s="138"/>
      <c r="R18" s="138"/>
      <c r="S18" s="139"/>
    </row>
    <row r="19" spans="1:20" ht="24" customHeight="1">
      <c r="A19" s="84" t="str">
        <f>CONCATENATE(VLOOKUP("WGCPROJCT_GL_KEY_001",Translation!A:B,2,FALSE),":")</f>
        <v>Projektnummer:</v>
      </c>
      <c r="B19" s="84"/>
      <c r="C19" s="111" t="str">
        <f>Stammdaten!AP2</f>
        <v>MP-090069</v>
      </c>
      <c r="D19" s="85"/>
      <c r="E19" s="28"/>
      <c r="F19" s="82" t="str">
        <f>CONCATENATE(VLOOKUP("WGCPROJCT_GL_TXT_001",Translation!A:B,2,FALSE),":")</f>
        <v>Projektbezeichnung:</v>
      </c>
      <c r="G19" s="31"/>
      <c r="H19" s="31"/>
      <c r="I19" s="119" t="str">
        <f>Stammdaten!AQ2</f>
        <v>N3 EP Rheinfelden - Frick und Einzelmass</v>
      </c>
      <c r="J19" s="31"/>
      <c r="K19" s="45"/>
      <c r="L19" s="28"/>
    </row>
    <row r="20" spans="1:20" ht="3.95" customHeight="1">
      <c r="A20" s="84"/>
      <c r="B20" s="84"/>
      <c r="C20" s="84"/>
      <c r="D20" s="84"/>
      <c r="E20" s="28"/>
      <c r="F20" s="38"/>
      <c r="G20" s="28"/>
      <c r="H20" s="28"/>
      <c r="I20" s="28"/>
      <c r="J20" s="28"/>
      <c r="K20" s="28"/>
      <c r="L20" s="28"/>
    </row>
    <row r="21" spans="1:20" ht="24" customHeight="1">
      <c r="A21" s="84" t="str">
        <f>CONCATENATE(VLOOKUP("WGCPRLEIT_TXT_0001",Translation!A:B,2,FALSE),":")</f>
        <v>Projektleiter:</v>
      </c>
      <c r="B21" s="84"/>
      <c r="C21" s="173" t="str">
        <f>CONCATENATE(Stammdaten!AU2," ",Stammdaten!AT2)</f>
        <v>Schulz Nicole</v>
      </c>
      <c r="D21" s="173"/>
      <c r="E21" s="28"/>
      <c r="F21" s="34"/>
      <c r="G21" s="31"/>
      <c r="H21" s="28"/>
      <c r="I21" s="39"/>
      <c r="J21" s="28"/>
      <c r="K21" s="28"/>
      <c r="L21" s="28"/>
      <c r="T21" s="44" t="str">
        <f>Stammdaten!AS2</f>
        <v>U80793130</v>
      </c>
    </row>
    <row r="22" spans="1:20" ht="3.95" customHeight="1">
      <c r="A22" s="46"/>
      <c r="B22" s="32"/>
      <c r="C22" s="31"/>
      <c r="D22" s="31"/>
      <c r="E22" s="28"/>
      <c r="F22" s="38"/>
      <c r="G22" s="28"/>
      <c r="H22" s="28"/>
      <c r="I22" s="28"/>
      <c r="J22" s="28"/>
      <c r="K22" s="28"/>
      <c r="L22" s="28"/>
    </row>
    <row r="23" spans="1:20" ht="3.95" customHeight="1">
      <c r="A23" s="32"/>
      <c r="B23" s="32"/>
      <c r="C23" s="32"/>
      <c r="D23" s="28"/>
      <c r="E23" s="28"/>
      <c r="F23" s="38"/>
      <c r="G23" s="28"/>
      <c r="H23" s="28"/>
      <c r="I23" s="28"/>
      <c r="J23" s="28"/>
      <c r="K23" s="28"/>
      <c r="L23" s="28"/>
    </row>
    <row r="24" spans="1:20" ht="20.25">
      <c r="A24" s="30" t="str">
        <f>VLOOKUP("WG_1052_ST_TXT_0011",Translation!A:B,2,FALSE)</f>
        <v>Vertragsdaten</v>
      </c>
      <c r="B24" s="30"/>
      <c r="C24" s="32"/>
      <c r="D24" s="28"/>
      <c r="E24" s="28"/>
      <c r="F24" s="34"/>
      <c r="G24" s="35"/>
      <c r="H24" s="32"/>
      <c r="I24" s="34"/>
      <c r="J24" s="34"/>
      <c r="K24" s="34"/>
      <c r="L24" s="28"/>
      <c r="O24" s="57">
        <v>2</v>
      </c>
      <c r="P24" s="150" t="str">
        <f>IF(Stammdaten!L2="1018",(VLOOKUP("WG_1052_ST_TXT_0074",Translation!A:B,2,FALSE)),"")</f>
        <v/>
      </c>
      <c r="Q24" s="110"/>
      <c r="R24" s="110"/>
      <c r="S24" s="58"/>
    </row>
    <row r="25" spans="1:20" ht="3.95" customHeight="1">
      <c r="A25" s="32"/>
      <c r="B25" s="32"/>
      <c r="C25" s="32"/>
      <c r="D25" s="31"/>
      <c r="E25" s="28"/>
      <c r="F25" s="38"/>
      <c r="G25" s="28"/>
      <c r="H25" s="28"/>
      <c r="I25" s="28"/>
      <c r="J25" s="28"/>
      <c r="K25" s="28"/>
      <c r="L25" s="28"/>
      <c r="O25" s="114"/>
      <c r="P25" s="28"/>
      <c r="S25" s="113"/>
    </row>
    <row r="26" spans="1:20" ht="24" customHeight="1">
      <c r="A26" s="84" t="str">
        <f>VLOOKUP("WG_1052_ST_TXT_0012",Translation!A:B,2,FALSE)</f>
        <v>Vertragsnummer:</v>
      </c>
      <c r="B26" s="84"/>
      <c r="C26" s="177" t="str">
        <f>Stammdaten!A2</f>
        <v>1355045080</v>
      </c>
      <c r="D26" s="177"/>
      <c r="E26" s="27"/>
      <c r="F26" s="84" t="str">
        <f>VLOOKUP("WG_1052_ST_TXT_0015",Translation!A:B,2,FALSE)</f>
        <v>Zuständige Person Vertrag:</v>
      </c>
      <c r="G26" s="84"/>
      <c r="H26" s="91"/>
      <c r="I26" s="175" t="str">
        <f>Stammdaten!G2</f>
        <v>Schulz Nicole</v>
      </c>
      <c r="J26" s="175"/>
      <c r="K26" s="175"/>
      <c r="L26" s="27"/>
      <c r="O26" s="93" t="str">
        <f>VLOOKUP("WG_1052_ST_TXT_0018",Translation!A:B,2,FALSE)</f>
        <v>Firma:</v>
      </c>
      <c r="P26" s="94"/>
      <c r="Q26" s="162"/>
      <c r="R26" s="162"/>
      <c r="S26" s="163"/>
      <c r="T26" s="29" t="str">
        <f>Stammdaten!AV2</f>
        <v>80793130</v>
      </c>
    </row>
    <row r="27" spans="1:20" ht="3.95" customHeight="1">
      <c r="A27" s="32"/>
      <c r="B27" s="32"/>
      <c r="C27" s="32"/>
      <c r="D27" s="32"/>
      <c r="E27" s="27"/>
      <c r="F27" s="32"/>
      <c r="G27" s="32"/>
      <c r="H27" s="32"/>
      <c r="I27" s="35"/>
      <c r="J27" s="35"/>
      <c r="K27" s="35"/>
      <c r="L27" s="27"/>
      <c r="O27" s="114"/>
      <c r="S27" s="113"/>
    </row>
    <row r="28" spans="1:20" ht="26.1" customHeight="1">
      <c r="A28" s="84" t="str">
        <f>CONCATENATE(VLOOKUP("GLO_GT_TXT_0101",Translation!A:B,2,FALSE),":")</f>
        <v>Vertragsbezeichnung:</v>
      </c>
      <c r="B28" s="84"/>
      <c r="C28" s="178" t="str">
        <f>Stammdaten!B2</f>
        <v>PV Bau/BSA</v>
      </c>
      <c r="D28" s="178"/>
      <c r="E28" s="27"/>
      <c r="F28" s="82" t="str">
        <f>VLOOKUP("WG_1052_ST_TXT_0016",Translation!A:B,2,FALSE)</f>
        <v>Bestellnummer:</v>
      </c>
      <c r="G28" s="84"/>
      <c r="H28" s="91"/>
      <c r="I28" s="174" t="str">
        <f>Stammdaten!E2</f>
        <v>1357043803</v>
      </c>
      <c r="J28" s="174"/>
      <c r="K28" s="174"/>
      <c r="L28" s="27"/>
      <c r="O28" s="93" t="str">
        <f>VLOOKUP("WG_1052_ST_TXT_0019",Translation!A:B,2,FALSE)</f>
        <v>Prüfperson:</v>
      </c>
      <c r="P28" s="94"/>
      <c r="Q28" s="156"/>
      <c r="R28" s="156"/>
      <c r="S28" s="157"/>
    </row>
    <row r="29" spans="1:20" ht="3.95" customHeight="1">
      <c r="A29" s="47"/>
      <c r="B29" s="47"/>
      <c r="C29" s="38"/>
      <c r="D29" s="32"/>
      <c r="E29" s="27"/>
      <c r="F29" s="32"/>
      <c r="G29" s="32"/>
      <c r="H29" s="32"/>
      <c r="I29" s="35"/>
      <c r="J29" s="35"/>
      <c r="K29" s="35"/>
      <c r="L29" s="27"/>
      <c r="O29" s="114"/>
      <c r="S29" s="113"/>
    </row>
    <row r="30" spans="1:20" ht="24" customHeight="1">
      <c r="A30" s="84" t="str">
        <f>CONCATENATE(VLOOKUP("GLO_FT_TV_TVCBEGDA_MMIO_01_001",Translation!A:B,2,FALSE),":")</f>
        <v>Vertragsbeginn:</v>
      </c>
      <c r="B30" s="84"/>
      <c r="C30" s="173" t="str">
        <f>Stammdaten!C2</f>
        <v>01.07.2018</v>
      </c>
      <c r="D30" s="173"/>
      <c r="E30" s="27"/>
      <c r="F30" s="84" t="str">
        <f>VLOOKUP("WG_1052_ST_TXT_0017",Translation!A:B,2,FALSE)</f>
        <v>Vertragssumme inkl. MwSt:</v>
      </c>
      <c r="G30" s="84"/>
      <c r="H30" s="91"/>
      <c r="I30" s="116">
        <f>SUM(IFERROR(VALUE(Stammdaten!BQ2),SUBSTITUTE(Stammdaten!BQ2,".",",")),IFERROR(VALUE(Stammdaten!BQ3),SUBSTITUTE(Stammdaten!BQ3,".",",")),IFERROR(VALUE(Stammdaten!BQ4),SUBSTITUTE(Stammdaten!BQ4,".",",")),IFERROR(VALUE(Stammdaten!BQ5),SUBSTITUTE(Stammdaten!BQ5,".",",")),IFERROR(VALUE(Stammdaten!BQ6),SUBSTITUTE(Stammdaten!BQ6,".",",")),IFERROR(VALUE(Stammdaten!BQ7),SUBSTITUTE(Stammdaten!BQ7,".",",")),IFERROR(VALUE(Stammdaten!BQ8),SUBSTITUTE(Stammdaten!BQ8,".",",")),IFERROR(VALUE(Stammdaten!BQ9),SUBSTITUTE(Stammdaten!BQ9,".",",")),IFERROR(VALUE(Stammdaten!BQ10),SUBSTITUTE(Stammdaten!BQ10,".",",")),IFERROR(VALUE(Stammdaten!BQ11),SUBSTITUTE(Stammdaten!BQ11,".",",")),IFERROR(VALUE(Stammdaten!BQ12),SUBSTITUTE(Stammdaten!BQ12,".",",")),IFERROR(VALUE(Stammdaten!BQ13),SUBSTITUTE(Stammdaten!BQ13,".",",")))</f>
        <v>4225129.28</v>
      </c>
      <c r="J30" s="92" t="str">
        <f>RIGHT(Stammdaten!BS2,3)</f>
        <v>CHF</v>
      </c>
      <c r="K30" s="92"/>
      <c r="L30" s="27"/>
      <c r="O30" s="93" t="str">
        <f>VLOOKUP("WG_1052_ST_TXT_0020",Translation!A:B,2,FALSE)</f>
        <v>Email:</v>
      </c>
      <c r="P30" s="94"/>
      <c r="Q30" s="158"/>
      <c r="R30" s="158"/>
      <c r="S30" s="159"/>
    </row>
    <row r="31" spans="1:20" ht="3.95" customHeight="1">
      <c r="A31" s="32"/>
      <c r="B31" s="32"/>
      <c r="C31" s="32"/>
      <c r="D31" s="32"/>
      <c r="E31" s="27"/>
      <c r="F31" s="38"/>
      <c r="G31" s="27"/>
      <c r="H31" s="27"/>
      <c r="I31" s="35"/>
      <c r="J31" s="35"/>
      <c r="K31" s="35"/>
      <c r="L31" s="27"/>
      <c r="O31" s="114"/>
      <c r="S31" s="113"/>
    </row>
    <row r="32" spans="1:20" ht="28.5" customHeight="1">
      <c r="A32" s="84" t="str">
        <f>CONCATENATE(VLOOKUP("GLO_FT_ TV_TVCENDDA_MMIO_01_001",Translation!A:B,2,FALSE),":")</f>
        <v>Vertragsende:</v>
      </c>
      <c r="B32" s="84"/>
      <c r="C32" s="181" t="str">
        <f>Stammdaten!D2</f>
        <v>31.12.2022</v>
      </c>
      <c r="D32" s="181"/>
      <c r="E32" s="27"/>
      <c r="F32" s="84" t="str">
        <f>CONCATENATE(VLOOKUP("WGCVENARG_TXT_0001",Translation!A:B,2,FALSE),":")</f>
        <v>Kreditor:</v>
      </c>
      <c r="G32" s="83"/>
      <c r="H32" s="84"/>
      <c r="I32" s="112" t="str">
        <f>CONCATENATE(Stammdaten!H2," ",Stammdaten!I2)</f>
        <v>1358012497 INGE EP RF BB</v>
      </c>
      <c r="J32" s="83"/>
      <c r="K32" s="83"/>
      <c r="L32" s="27"/>
      <c r="O32" s="164" t="str">
        <f>CONCATENATE(VLOOKUP("WG_1052_ST_TXT_0021",Translation!A:B,2,FALSE),CHAR(10),
VLOOKUP("WG_1052_ST_TXT_0022",Translation!A:B,2,FALSE))</f>
        <v>Stempel / Datum / Unterschrift
oder Digitale Signatur</v>
      </c>
      <c r="P32" s="166"/>
      <c r="Q32" s="187"/>
      <c r="R32" s="187"/>
      <c r="S32" s="188"/>
    </row>
    <row r="33" spans="1:19" ht="3.95" customHeight="1">
      <c r="A33" s="32"/>
      <c r="B33" s="32"/>
      <c r="C33" s="48"/>
      <c r="D33" s="48"/>
      <c r="E33" s="27"/>
      <c r="F33" s="31"/>
      <c r="G33" s="35"/>
      <c r="H33" s="32"/>
      <c r="I33" s="35"/>
      <c r="J33" s="35"/>
      <c r="K33" s="35"/>
      <c r="L33" s="27"/>
      <c r="O33" s="164"/>
      <c r="P33" s="166"/>
      <c r="Q33" s="187"/>
      <c r="R33" s="187"/>
      <c r="S33" s="188"/>
    </row>
    <row r="34" spans="1:19" ht="27" customHeight="1">
      <c r="A34" s="84" t="str">
        <f>VLOOKUP("WG_1052_ST_TXT_0062",Translation!A:B,2,FALSE)</f>
        <v>Alte Vertragsnummer:</v>
      </c>
      <c r="B34" s="84"/>
      <c r="C34" s="152" t="str">
        <f>Stammdaten!AH2</f>
        <v>3</v>
      </c>
      <c r="D34" s="152"/>
      <c r="E34" s="49"/>
      <c r="F34" s="152" t="str">
        <f>VLOOKUP("WG_1052_ST_TXT_0076",Translation!A:B,2,FALSE)</f>
        <v>E-Mail-Adresse:</v>
      </c>
      <c r="G34" s="152"/>
      <c r="H34" s="49"/>
      <c r="I34" s="176" t="s">
        <v>2373</v>
      </c>
      <c r="J34" s="176"/>
      <c r="K34" s="176"/>
      <c r="L34" s="27"/>
      <c r="O34" s="164"/>
      <c r="P34" s="166"/>
      <c r="Q34" s="187"/>
      <c r="R34" s="187"/>
      <c r="S34" s="188"/>
    </row>
    <row r="35" spans="1:19" ht="3.95" customHeight="1">
      <c r="A35" s="32"/>
      <c r="B35" s="32"/>
      <c r="C35" s="48"/>
      <c r="D35" s="48"/>
      <c r="E35" s="27"/>
      <c r="F35" s="31"/>
      <c r="G35" s="35"/>
      <c r="H35" s="32"/>
      <c r="I35" s="35"/>
      <c r="J35" s="35"/>
      <c r="K35" s="35"/>
      <c r="L35" s="27"/>
      <c r="O35" s="164"/>
      <c r="P35" s="166"/>
      <c r="Q35" s="187"/>
      <c r="R35" s="187"/>
      <c r="S35" s="188"/>
    </row>
    <row r="36" spans="1:19" ht="24" hidden="1" customHeight="1">
      <c r="A36" s="154" t="str">
        <f>IF(Stammdaten!N2="1018",(CONCATENATE(VLOOKUP("WG_1052_ST_TXT_0043",Translation!A:B,2,FALSE),CHAR(10),VLOOKUP("WG_1052_ST_TXT_0043_1",Translation!A:B,2,FALSE))),"")</f>
        <v/>
      </c>
      <c r="B36" s="154"/>
      <c r="C36" s="182"/>
      <c r="D36" s="182"/>
      <c r="F36" s="172"/>
      <c r="G36" s="172"/>
      <c r="H36" s="172"/>
      <c r="I36" s="172"/>
      <c r="J36" s="172"/>
      <c r="K36" s="172"/>
      <c r="L36" s="27"/>
      <c r="O36" s="164"/>
      <c r="P36" s="166"/>
      <c r="Q36" s="187"/>
      <c r="R36" s="187"/>
      <c r="S36" s="188"/>
    </row>
    <row r="37" spans="1:19" ht="24" hidden="1" customHeight="1">
      <c r="A37" s="50"/>
      <c r="B37" s="50"/>
      <c r="C37" s="171" t="str">
        <f>IF(Stammdaten!N2="1018",(CONCATENATE(VLOOKUP("WG_1052_ST_TXT_0044_1",Translation!A:B,2,FALSE)," ",VLOOKUP("WG_1052_ST_TXT_0044_2",Translation!A:B,2,FALSE)," ",VLOOKUP("WG_1052_ST_TXT_0044_3",Translation!A:B,2,FALSE)," ",VLOOKUP("WG_1052_ST_TXT_0044_4",Translation!A:B,2,FALSE))),"")</f>
        <v/>
      </c>
      <c r="D37" s="171"/>
      <c r="E37" s="171"/>
      <c r="F37" s="171"/>
      <c r="G37" s="171"/>
      <c r="H37" s="171"/>
      <c r="I37" s="171"/>
      <c r="J37" s="171"/>
      <c r="K37" s="171"/>
      <c r="L37" s="27"/>
      <c r="O37" s="164"/>
      <c r="P37" s="166"/>
      <c r="Q37" s="187"/>
      <c r="R37" s="187"/>
      <c r="S37" s="188"/>
    </row>
    <row r="38" spans="1:19" ht="3.75" customHeight="1">
      <c r="A38" s="50"/>
      <c r="B38" s="50"/>
      <c r="C38" s="51"/>
      <c r="D38" s="52"/>
      <c r="H38" s="32"/>
      <c r="I38" s="35"/>
      <c r="J38" s="35"/>
      <c r="K38" s="35"/>
      <c r="L38" s="27"/>
      <c r="O38" s="164"/>
      <c r="P38" s="166"/>
      <c r="Q38" s="187"/>
      <c r="R38" s="187"/>
      <c r="S38" s="188"/>
    </row>
    <row r="39" spans="1:19" ht="37.5" customHeight="1">
      <c r="A39" s="151" t="str">
        <f>IF(I8=(VLOOKUP("WG_1052_ST_TXT_0027",Translation!A:B,2,FALSE)),VLOOKUP("WG_1052_ST_TXT_0014",Translation!A:B,2,FALSE),"")</f>
        <v/>
      </c>
      <c r="B39" s="151"/>
      <c r="C39" s="151" t="str">
        <f>IF(I8=(VLOOKUP("WG_1052_ST_TXT_0027",Translation!A:B,2,FALSE)),IF(Stammdaten!N2&lt;&gt;"1018",(CONCATENATE(VLOOKUP("WG_1052_ST_TXT_0042_1",Translation!A:B,2,FALSE)," ",VLOOKUP("WG_1052_ST_TXT_0042_2",Translation!A:B,2,FALSE)," ",VLOOKUP("WG_1052_ST_TXT_0042_3",Translation!A:B,2,FALSE)," ",VLOOKUP("WG_1052_ST_TXT_0042_4",Translation!A:B,2,FALSE)," ",VLOOKUP("WG_1052_ST_TXT_0042_5",Translation!A:B,2,FALSE)," ",VLOOKUP("WG_1052_ST_TXT_0042_6",Translation!A:B,2,FALSE)," ",VLOOKUP("WG_1052_ST_TXT_0042_7",Translation!A:B,2,FALSE))),(CONCATENATE(VLOOKUP("WG_1052_ST_TXT_0041_1",Translation!A:B,2,FALSE)," ",VLOOKUP("WG_1052_ST_TXT_0041_2",Translation!A:B,2,FALSE)," ",VLOOKUP("WG_1052_ST_TXT_0041_3",Translation!A:B,2,FALSE)," ",VLOOKUP("WG_1052_ST_TXT_0041_4",Translation!A:B,2,FALSE)," ",VLOOKUP("WG_1052_ST_TXT_0041_5",Translation!A:B,2,FALSE)," ",VLOOKUP("WG_1052_ST_TXT_0041_6",Translation!A:B,2,FALSE)))),"")</f>
        <v/>
      </c>
      <c r="D39" s="151"/>
      <c r="E39" s="151"/>
      <c r="F39" s="151"/>
      <c r="G39" s="151"/>
      <c r="H39" s="151"/>
      <c r="I39" s="151"/>
      <c r="J39" s="151"/>
      <c r="K39" s="151"/>
      <c r="L39" s="27"/>
      <c r="O39" s="165"/>
      <c r="P39" s="167"/>
      <c r="Q39" s="190"/>
      <c r="R39" s="190"/>
      <c r="S39" s="191"/>
    </row>
    <row r="40" spans="1:19" ht="24" hidden="1" customHeight="1">
      <c r="A40" s="53"/>
      <c r="B40" s="120"/>
      <c r="C40" s="151"/>
      <c r="D40" s="151"/>
      <c r="E40" s="151"/>
      <c r="F40" s="151"/>
      <c r="G40" s="151"/>
      <c r="H40" s="151"/>
      <c r="I40" s="151"/>
      <c r="J40" s="151"/>
      <c r="K40" s="151"/>
      <c r="L40" s="27"/>
      <c r="M40" s="27"/>
    </row>
    <row r="41" spans="1:19" ht="22.5" hidden="1" customHeight="1">
      <c r="A41" s="53"/>
      <c r="B41" s="153" t="str">
        <f>VLOOKUP("WG_1052_ST_TXT_0073",Translation!A:B,2,FALSE)</f>
        <v>Laufweg Rechnungsfreigabe</v>
      </c>
      <c r="C41" s="153"/>
      <c r="D41" s="153"/>
      <c r="E41" s="153"/>
      <c r="F41" s="54"/>
      <c r="G41" s="54"/>
      <c r="H41" s="54"/>
      <c r="I41" s="54"/>
      <c r="J41" s="54"/>
      <c r="K41" s="31"/>
      <c r="L41" s="27"/>
      <c r="M41" s="27"/>
    </row>
    <row r="42" spans="1:19" ht="21.75" hidden="1" customHeight="1">
      <c r="A42" s="32"/>
      <c r="B42" s="32"/>
      <c r="C42" s="55"/>
      <c r="D42" s="32"/>
      <c r="E42" s="27"/>
      <c r="F42" s="31"/>
      <c r="G42" s="31"/>
      <c r="H42" s="32"/>
      <c r="I42" s="32"/>
      <c r="J42" s="32"/>
      <c r="K42" s="32"/>
      <c r="L42" s="32"/>
      <c r="M42" s="27"/>
      <c r="O42" s="56"/>
      <c r="P42" s="56"/>
    </row>
    <row r="43" spans="1:19" ht="24" hidden="1" customHeight="1">
      <c r="A43" s="26"/>
      <c r="B43" s="117">
        <v>1</v>
      </c>
      <c r="C43" s="150" t="str">
        <f>IF(Stammdaten!L2="1018",(VLOOKUP("WG_1052_ST_TXT_0039",Translation!A:B,2,FALSE)),(VLOOKUP("WG_1052_ST_TXT_0040",Translation!A:B,2,FALSE)))</f>
        <v>BHU</v>
      </c>
      <c r="D43" s="150"/>
      <c r="E43" s="118"/>
      <c r="F43" s="26"/>
      <c r="G43" s="117">
        <v>2</v>
      </c>
      <c r="H43" s="150" t="str">
        <f>IF(Stammdaten!L2="1018",(VLOOKUP("WG_1052_ST_TXT_0074",Translation!A:B,2,FALSE)),"")</f>
        <v/>
      </c>
      <c r="I43" s="150"/>
      <c r="J43" s="118"/>
      <c r="K43" s="26"/>
      <c r="L43" s="117">
        <v>3</v>
      </c>
      <c r="M43" s="169"/>
      <c r="N43" s="169"/>
      <c r="O43" s="150"/>
      <c r="P43" s="150"/>
      <c r="Q43" s="150"/>
      <c r="R43" s="118"/>
      <c r="S43" s="136"/>
    </row>
    <row r="44" spans="1:19" ht="24" hidden="1" customHeight="1">
      <c r="B44" s="93" t="str">
        <f>VLOOKUP("WG_1052_ST_TXT_0018",Translation!A:B,2,FALSE)</f>
        <v>Firma:</v>
      </c>
      <c r="C44" s="94"/>
      <c r="D44" s="162"/>
      <c r="E44" s="163"/>
      <c r="F44" s="26"/>
      <c r="G44" s="93" t="str">
        <f>VLOOKUP("WG_1052_ST_TXT_0018",Translation!A:B,2,FALSE)</f>
        <v>Firma:</v>
      </c>
      <c r="H44" s="162"/>
      <c r="I44" s="162"/>
      <c r="J44" s="163"/>
      <c r="K44" s="26"/>
      <c r="L44" s="93" t="str">
        <f>VLOOKUP("WG_1052_ST_TXT_0018",Translation!A:B,2,FALSE)</f>
        <v>Firma:</v>
      </c>
      <c r="M44" s="195"/>
      <c r="N44" s="195"/>
      <c r="O44" s="195"/>
      <c r="P44" s="195"/>
      <c r="Q44" s="195"/>
      <c r="R44" s="196"/>
      <c r="S44" s="136"/>
    </row>
    <row r="45" spans="1:19" ht="24" hidden="1" customHeight="1">
      <c r="B45" s="93" t="str">
        <f>VLOOKUP("WG_1052_ST_TXT_0019",Translation!A:B,2,FALSE)</f>
        <v>Prüfperson:</v>
      </c>
      <c r="C45" s="94"/>
      <c r="D45" s="156"/>
      <c r="E45" s="157"/>
      <c r="F45" s="26"/>
      <c r="G45" s="93" t="str">
        <f>VLOOKUP("WG_1052_ST_TXT_0019",Translation!A:B,2,FALSE)</f>
        <v>Prüfperson:</v>
      </c>
      <c r="H45" s="162"/>
      <c r="I45" s="162"/>
      <c r="J45" s="163"/>
      <c r="K45" s="26"/>
      <c r="L45" s="93" t="str">
        <f>VLOOKUP("WG_1052_ST_TXT_0019",Translation!A:B,2,FALSE)</f>
        <v>Prüfperson:</v>
      </c>
      <c r="M45" s="195"/>
      <c r="N45" s="195"/>
      <c r="O45" s="195"/>
      <c r="P45" s="195"/>
      <c r="Q45" s="195"/>
      <c r="R45" s="196"/>
      <c r="S45" s="136"/>
    </row>
    <row r="46" spans="1:19" ht="24" hidden="1" customHeight="1">
      <c r="B46" s="93" t="str">
        <f>VLOOKUP("WG_1052_ST_TXT_0020",Translation!A:B,2,FALSE)</f>
        <v>Email:</v>
      </c>
      <c r="C46" s="94"/>
      <c r="D46" s="158"/>
      <c r="E46" s="159"/>
      <c r="F46" s="26"/>
      <c r="G46" s="93" t="str">
        <f>VLOOKUP("WG_1052_ST_TXT_0020",Translation!A:B,2,FALSE)</f>
        <v>Email:</v>
      </c>
      <c r="H46" s="160"/>
      <c r="I46" s="160"/>
      <c r="J46" s="161"/>
      <c r="K46" s="26"/>
      <c r="L46" s="93" t="str">
        <f>VLOOKUP("WG_1052_ST_TXT_0020",Translation!A:B,2,FALSE)</f>
        <v>Email:</v>
      </c>
      <c r="M46" s="195"/>
      <c r="N46" s="195"/>
      <c r="O46" s="195"/>
      <c r="P46" s="195"/>
      <c r="Q46" s="195"/>
      <c r="R46" s="196"/>
      <c r="S46" s="136"/>
    </row>
    <row r="47" spans="1:19" ht="24" hidden="1" customHeight="1">
      <c r="B47" s="95"/>
      <c r="C47" s="96"/>
      <c r="D47" s="96"/>
      <c r="E47" s="97"/>
      <c r="G47" s="100"/>
      <c r="H47" s="91"/>
      <c r="I47" s="85"/>
      <c r="J47" s="101"/>
      <c r="L47" s="100"/>
      <c r="M47" s="87"/>
      <c r="N47" s="87"/>
      <c r="O47" s="87"/>
      <c r="P47" s="87"/>
      <c r="Q47" s="87"/>
      <c r="R47" s="101"/>
      <c r="S47" s="28"/>
    </row>
    <row r="48" spans="1:19" ht="24" hidden="1" customHeight="1">
      <c r="A48" s="26"/>
      <c r="B48" s="98"/>
      <c r="C48" s="148"/>
      <c r="D48" s="148"/>
      <c r="E48" s="149"/>
      <c r="F48" s="26"/>
      <c r="G48" s="130"/>
      <c r="H48" s="102"/>
      <c r="I48" s="103"/>
      <c r="J48" s="104"/>
      <c r="K48" s="26"/>
      <c r="L48" s="192"/>
      <c r="M48" s="193"/>
      <c r="N48" s="193"/>
      <c r="O48" s="193"/>
      <c r="P48" s="193"/>
      <c r="Q48" s="193"/>
      <c r="R48" s="194"/>
      <c r="S48" s="136"/>
    </row>
    <row r="49" spans="1:22" ht="26.1" hidden="1" customHeight="1">
      <c r="B49" s="164" t="str">
        <f>CONCATENATE(VLOOKUP("WG_1052_ST_TXT_0021",Translation!A:B,2,FALSE),CHAR(10),
VLOOKUP("WG_1052_ST_TXT_0022",Translation!A:B,2,FALSE))</f>
        <v>Stempel / Datum / Unterschrift
oder Digitale Signatur</v>
      </c>
      <c r="C49" s="166"/>
      <c r="D49" s="166"/>
      <c r="E49" s="135"/>
      <c r="G49" s="164" t="str">
        <f>CONCATENATE(VLOOKUP("WG_1052_ST_TXT_0021",Translation!A:B,2,FALSE),CHAR(10),
VLOOKUP("WG_1052_ST_TXT_0022",Translation!A:B,2,FALSE))</f>
        <v>Stempel / Datum / Unterschrift
oder Digitale Signatur</v>
      </c>
      <c r="H49" s="105"/>
      <c r="I49" s="105"/>
      <c r="J49" s="106"/>
      <c r="L49" s="164" t="str">
        <f>CONCATENATE(VLOOKUP("WG_1052_ST_TXT_0021",Translation!A:B,2,FALSE),CHAR(10),
VLOOKUP("WG_1052_ST_TXT_0022",Translation!A:B,2,FALSE))</f>
        <v>Stempel / Datum / Unterschrift
oder Digitale Signatur</v>
      </c>
      <c r="M49" s="166"/>
      <c r="N49" s="166"/>
      <c r="O49" s="105"/>
      <c r="P49" s="105"/>
      <c r="Q49" s="105"/>
      <c r="R49" s="134"/>
      <c r="S49" s="136"/>
    </row>
    <row r="50" spans="1:22" ht="54.75" hidden="1" customHeight="1">
      <c r="B50" s="165"/>
      <c r="C50" s="167"/>
      <c r="D50" s="167"/>
      <c r="E50" s="99"/>
      <c r="G50" s="165"/>
      <c r="H50" s="107"/>
      <c r="I50" s="107"/>
      <c r="J50" s="108"/>
      <c r="L50" s="165"/>
      <c r="M50" s="167"/>
      <c r="N50" s="167"/>
      <c r="O50" s="60"/>
      <c r="P50" s="60"/>
      <c r="Q50" s="60"/>
      <c r="R50" s="61"/>
      <c r="S50" s="28"/>
    </row>
    <row r="51" spans="1:22" ht="5.25" hidden="1" customHeight="1">
      <c r="B51" s="59"/>
      <c r="C51" s="59"/>
      <c r="D51" s="54"/>
      <c r="F51" s="27"/>
      <c r="G51" s="54"/>
      <c r="H51" s="54"/>
      <c r="I51" s="54"/>
      <c r="J51" s="54"/>
      <c r="L51" s="54"/>
      <c r="M51" s="54"/>
      <c r="N51" s="54"/>
      <c r="O51" s="54"/>
      <c r="P51" s="54"/>
      <c r="Q51" s="54"/>
      <c r="R51" s="54"/>
    </row>
    <row r="52" spans="1:22" ht="15.75" hidden="1" customHeight="1">
      <c r="A52" s="32"/>
      <c r="B52" s="32"/>
      <c r="C52" s="62"/>
      <c r="D52" s="32"/>
      <c r="E52" s="27"/>
      <c r="F52" s="32"/>
      <c r="G52" s="32"/>
      <c r="H52" s="32"/>
      <c r="I52" s="27"/>
      <c r="J52" s="56"/>
      <c r="K52" s="56"/>
      <c r="L52" s="27"/>
      <c r="M52" s="27"/>
      <c r="O52" s="56"/>
      <c r="P52" s="56"/>
    </row>
    <row r="53" spans="1:22" ht="43.5" customHeight="1">
      <c r="A53" s="155" t="str">
        <f>CONCATENATE(VLOOKUP("WG_1052_ST_TXT_0023",Translation!A:B,2,FALSE)," ",
VLOOKUP("WG_1052_ST_TXT_0024",Translation!A:B,2,FALSE))</f>
        <v>Rechnungsbeträge gegliedert nach Vertragsposition</v>
      </c>
      <c r="B53" s="155"/>
      <c r="C53" s="155"/>
      <c r="D53" s="155"/>
      <c r="E53" s="155"/>
      <c r="F53" s="155"/>
      <c r="G53" s="63"/>
      <c r="H53" s="63"/>
      <c r="I53" s="63"/>
      <c r="J53" s="63"/>
      <c r="K53" s="63"/>
      <c r="L53" s="63"/>
      <c r="M53" s="63"/>
      <c r="N53" s="63"/>
      <c r="O53" s="63"/>
      <c r="P53" s="63"/>
    </row>
    <row r="54" spans="1:22" ht="25.5">
      <c r="A54" s="29" t="s">
        <v>0</v>
      </c>
      <c r="B54" s="29" t="s">
        <v>0</v>
      </c>
      <c r="C54" s="29" t="s">
        <v>0</v>
      </c>
      <c r="D54" s="29" t="s">
        <v>0</v>
      </c>
      <c r="E54" s="63" t="s">
        <v>0</v>
      </c>
      <c r="F54" s="63" t="s">
        <v>0</v>
      </c>
      <c r="G54" s="63" t="s">
        <v>0</v>
      </c>
      <c r="H54" s="68" t="str">
        <f>CONCATENATE(VLOOKUP("WG_1052_ST_TXT_0051",Translation!A:B,2,FALSE),CHAR(10),VLOOKUP("WGCMWSTA_TXT_0003",Translation!A:B,2,FALSE))</f>
        <v>Leistung
exkl. MWST</v>
      </c>
      <c r="I54" s="69" t="str">
        <f>VLOOKUP("WG_1052_ST_TXT_0052",Translation!A:B,2,FALSE)</f>
        <v>Rabatt</v>
      </c>
      <c r="J54" s="70" t="str">
        <f>VLOOKUP("WG_1052_ST_TXT_0053",Translation!A:B,2,FALSE)</f>
        <v>Zwischentotal</v>
      </c>
      <c r="K54" s="68" t="str">
        <f>CONCATENATE(VLOOKUP("WG_1052_ST_TXT_0054",Translation!A:B,2,FALSE),,CHAR(10),VLOOKUP("WGCMWSTA_TXT_0003",Translation!A:B,2,FALSE))</f>
        <v>Leistungen / NK ohne Rabatt
exkl. MWST</v>
      </c>
      <c r="L54" s="70" t="str">
        <f>CONCATENATE(VLOOKUP("WG_1052_ST_TXT_0055",Translation!A:B,2,FALSE),CHAR(10),VLOOKUP("WGCMWSTA_TXT_0003",Translation!A:B,2,FALSE))</f>
        <v>TOTAL
exkl. MWST</v>
      </c>
      <c r="M54" s="70" t="str">
        <f>VLOOKUP("WG_1052_ST_TXT_0058",Translation!A:B,2,FALSE)</f>
        <v>Rückbehalt</v>
      </c>
      <c r="N54" s="68" t="str">
        <f>VLOOKUP("WG_1052_ST_TXT_0063",Translation!A:B,2,FALSE)</f>
        <v>Rückbehalt in CHF</v>
      </c>
      <c r="O54" s="68" t="str">
        <f>VLOOKUP("WG_1052_ST_TXT_0056",Translation!A:B,2,FALSE)</f>
        <v>MwSt.</v>
      </c>
      <c r="P54" s="71" t="str">
        <f>CONCATENATE(VLOOKUP("WG_1052_ST_TXT_0055",Translation!A:B,2,FALSE),CHAR(10),VLOOKUP("WGCMWSTA_TXT_0002",Translation!A:B,2,FALSE))</f>
        <v>TOTAL
inkl. MWST</v>
      </c>
      <c r="Q54" s="70" t="str">
        <f>VLOOKUP("WG_1052_ST_TXT_0060",Translation!A:B,2,FALSE)</f>
        <v>Skonto</v>
      </c>
      <c r="R54" s="70" t="str">
        <f>VLOOKUP("WG_1052_ST_TXT_0061",Translation!A:B,2,FALSE)</f>
        <v>Skonto in CHF</v>
      </c>
      <c r="S54" s="70" t="str">
        <f>VLOOKUP("WG_1052_ST_TXT_0059",Translation!A:B,2,FALSE)</f>
        <v>Auszahlung inkl. MWST abzgl. Skonto und Rückbehalt</v>
      </c>
    </row>
    <row r="55" spans="1:22">
      <c r="A55" s="64" t="str">
        <f>VLOOKUP("WG_1052_ST_TXT_0046",Translation!A:B,2,FALSE)</f>
        <v>Pos.</v>
      </c>
      <c r="B55" s="64" t="str">
        <f>VLOOKUP("WG_1052_ST_TXT_0047",Translation!A:B,2,FALSE)</f>
        <v>PSP-Element</v>
      </c>
      <c r="C55" s="64"/>
      <c r="D55" s="64" t="str">
        <f>VLOOKUP("WG_1052_ST_TXT_0048",Translation!A:B,2,FALSE)</f>
        <v>Inventarobjekt</v>
      </c>
      <c r="E55" s="64"/>
      <c r="F55" s="64" t="str">
        <f>VLOOKUP("WG_1052_ST_TXT_0050",Translation!A:B,2,FALSE)</f>
        <v>Baukostenart</v>
      </c>
      <c r="G55" s="64"/>
      <c r="H55" s="67" t="s">
        <v>0</v>
      </c>
      <c r="I55" s="65" t="s">
        <v>1</v>
      </c>
      <c r="J55" s="65" t="s">
        <v>0</v>
      </c>
      <c r="K55" s="67" t="s">
        <v>0</v>
      </c>
      <c r="L55" s="65" t="s">
        <v>0</v>
      </c>
      <c r="M55" s="65" t="s">
        <v>1</v>
      </c>
      <c r="N55" s="66"/>
      <c r="O55" s="66" t="s">
        <v>1</v>
      </c>
      <c r="P55" s="65"/>
      <c r="Q55" s="65" t="s">
        <v>1</v>
      </c>
      <c r="R55" s="65"/>
      <c r="S55" s="65" t="s">
        <v>0</v>
      </c>
    </row>
    <row r="56" spans="1:22">
      <c r="A56" s="79" t="s">
        <v>284</v>
      </c>
      <c r="B56" s="73" t="s">
        <v>285</v>
      </c>
      <c r="C56" s="73" t="s">
        <v>286</v>
      </c>
      <c r="D56" s="73" t="s">
        <v>287</v>
      </c>
      <c r="E56" s="73" t="s">
        <v>288</v>
      </c>
      <c r="F56" s="73" t="s">
        <v>290</v>
      </c>
      <c r="G56" s="73" t="s">
        <v>291</v>
      </c>
      <c r="H56" s="131">
        <v>15788</v>
      </c>
      <c r="I56" s="74">
        <f>IF(NOT(IFERROR(Rechnungsart="TE",FALSE)),IFERROR(_xlfn.NUMBERVALUE(Rabatt,"."),_xlfn.NUMBERVALUE(Rabatt,",")),0)</f>
        <v>0</v>
      </c>
      <c r="J56" s="75">
        <f>IF(AND(ISERROR(SEARCH({"Teuerung","Renchérissement","Rincaro"},G56)),NOT(IFERROR(Rechnungsart,"")="TE")),ROUND(H56-(H56*IFERROR(VALUE(I56),VALUE(SUBSTITUTE(I56,".",","))))%,2),ROUND(H56,2))</f>
        <v>15788</v>
      </c>
      <c r="K56" s="131">
        <v>115.74</v>
      </c>
      <c r="L56" s="74">
        <f t="shared" ref="L56:L57" si="0">ROUND(J56+K56,2)</f>
        <v>15903.74</v>
      </c>
      <c r="M56" s="75">
        <f>IF(IFERROR(Schlussrechnung="JA",FALSE),0,IF(Rückbehalt,IFERROR(_xlfn.NUMBERVALUE(RB_Prozent,"."),_xlfn.NUMBERVALUE(RB_Prozent,",")),0))</f>
        <v>0</v>
      </c>
      <c r="N56" s="131">
        <f>IF(Rückbehalt,ROUND(L56*IFERROR(VALUE(M56),VALUE(SUBSTITUTE(M56,".",",")))%,2),0)</f>
        <v>0</v>
      </c>
      <c r="O56" s="131">
        <f>MWST</f>
        <v>7.7</v>
      </c>
      <c r="P56" s="74">
        <f>ROUND(IF(Rückbehalt,(IF(IFERROR(Schlussrechnung="JA",FALSE),L56+N56,L56-N56)),L56)*(100+IFERROR(VALUE(O56),VALUE(SUBSTITUTE(O56,".",","))))%,2)</f>
        <v>17128.330000000002</v>
      </c>
      <c r="Q56" s="75" t="s">
        <v>292</v>
      </c>
      <c r="R56" s="75">
        <f t="shared" ref="R56:R57" si="1">ROUND(P56*IFERROR(VALUE(Q56),VALUE(SUBSTITUTE(Q56,".",",")))%,2)</f>
        <v>0</v>
      </c>
      <c r="S56" s="75">
        <f t="shared" ref="S56:S57" si="2">ROUND(P56-R56,2)</f>
        <v>17128.330000000002</v>
      </c>
      <c r="T56" s="140" t="s">
        <v>289</v>
      </c>
      <c r="U56" s="75">
        <f t="shared" ref="U56:U57" si="3">ROUND(L56+(L56*O56)/100,2)</f>
        <v>17128.330000000002</v>
      </c>
      <c r="V56" s="75">
        <f>IF(IFERROR(Schlussrechnung="JA",FALSE),P56-U56, U56-P56)</f>
        <v>0</v>
      </c>
    </row>
    <row r="57" spans="1:22">
      <c r="A57" s="79" t="s">
        <v>284</v>
      </c>
      <c r="B57" s="73" t="s">
        <v>285</v>
      </c>
      <c r="C57" s="73" t="s">
        <v>286</v>
      </c>
      <c r="D57" s="73" t="s">
        <v>287</v>
      </c>
      <c r="E57" s="73" t="s">
        <v>288</v>
      </c>
      <c r="F57" s="73" t="s">
        <v>294</v>
      </c>
      <c r="G57" s="73" t="s">
        <v>295</v>
      </c>
      <c r="H57" s="131"/>
      <c r="I57" s="74">
        <f>IF(NOT(IFERROR(Rechnungsart="TE",FALSE)),IFERROR(_xlfn.NUMBERVALUE(Rabatt,"."),_xlfn.NUMBERVALUE(Rabatt,",")),0)</f>
        <v>0</v>
      </c>
      <c r="J57" s="75">
        <f>IF(AND(ISERROR(SEARCH({"Teuerung","Renchérissement","Rincaro"},G57)),NOT(IFERROR(Rechnungsart,"")="TE")),ROUND(H57-(H57*IFERROR(VALUE(I57),VALUE(SUBSTITUTE(I57,".",","))))%,2),ROUND(H57,2))</f>
        <v>0</v>
      </c>
      <c r="K57" s="131"/>
      <c r="L57" s="74">
        <f t="shared" si="0"/>
        <v>0</v>
      </c>
      <c r="M57" s="75">
        <f>IF(IFERROR(Schlussrechnung="JA",FALSE),0,IF(Rückbehalt,IFERROR(_xlfn.NUMBERVALUE(RB_Prozent,"."),_xlfn.NUMBERVALUE(RB_Prozent,",")),0))</f>
        <v>0</v>
      </c>
      <c r="N57" s="131">
        <f>IF(Rückbehalt,ROUND(L57*IFERROR(VALUE(M57),VALUE(SUBSTITUTE(M57,".",",")))%,2),0)</f>
        <v>0</v>
      </c>
      <c r="O57" s="131">
        <f>MWST</f>
        <v>7.7</v>
      </c>
      <c r="P57" s="74">
        <f>ROUND(IF(Rückbehalt,(IF(IFERROR(Schlussrechnung="JA",FALSE),L57+N57,L57-N57)),L57)*(100+IFERROR(VALUE(O57),VALUE(SUBSTITUTE(O57,".",","))))%,2)</f>
        <v>0</v>
      </c>
      <c r="Q57" s="75" t="s">
        <v>292</v>
      </c>
      <c r="R57" s="75">
        <f t="shared" si="1"/>
        <v>0</v>
      </c>
      <c r="S57" s="75">
        <f t="shared" si="2"/>
        <v>0</v>
      </c>
      <c r="T57" s="75" t="s">
        <v>289</v>
      </c>
      <c r="U57" s="75">
        <f t="shared" si="3"/>
        <v>0</v>
      </c>
      <c r="V57" s="75">
        <f>IF(IFERROR(Schlussrechnung="JA",FALSE),P57-U57, U57-P57)</f>
        <v>0</v>
      </c>
    </row>
    <row r="58" spans="1:22" ht="14.25">
      <c r="A58" s="142" t="s">
        <v>284</v>
      </c>
      <c r="B58" s="143" t="s">
        <v>0</v>
      </c>
      <c r="C58" s="143"/>
      <c r="D58" s="143" t="s">
        <v>0</v>
      </c>
      <c r="E58" s="143"/>
      <c r="F58" s="143" t="s">
        <v>0</v>
      </c>
      <c r="G58" s="143" t="s">
        <v>296</v>
      </c>
      <c r="H58" s="146">
        <f>IFERROR(SUM(H56:H57),0)</f>
        <v>15788</v>
      </c>
      <c r="I58" s="145"/>
      <c r="J58" s="144">
        <f>IFERROR(SUM(J56:J57),0)</f>
        <v>15788</v>
      </c>
      <c r="K58" s="146">
        <f>IFERROR(SUM(K56:K57),0)</f>
        <v>115.74</v>
      </c>
      <c r="L58" s="145">
        <f>IFERROR(SUM(L56:L57),0)</f>
        <v>15903.74</v>
      </c>
      <c r="M58" s="144"/>
      <c r="N58" s="146">
        <f>IF(Rückbehalt,IFERROR(SUM(N56:N57),0),0)</f>
        <v>0</v>
      </c>
      <c r="O58" s="146"/>
      <c r="P58" s="145">
        <f>IFERROR(SUM(P56:P57),0)</f>
        <v>17128.330000000002</v>
      </c>
      <c r="Q58" s="144"/>
      <c r="R58" s="144">
        <f>IFERROR(SUM(R56:R57),0)</f>
        <v>0</v>
      </c>
      <c r="S58" s="144">
        <f>IFERROR(SUM(S56:S57),0)</f>
        <v>17128.330000000002</v>
      </c>
      <c r="T58" s="144" t="s">
        <v>0</v>
      </c>
      <c r="U58" s="144">
        <f>IFERROR(SUM(U56:U57),0)</f>
        <v>17128.330000000002</v>
      </c>
      <c r="V58" s="144">
        <f>IFERROR(SUM(V56:V57),0)</f>
        <v>0</v>
      </c>
    </row>
    <row r="59" spans="1:22" ht="15.75" thickBot="1">
      <c r="A59" s="80" t="s">
        <v>0</v>
      </c>
      <c r="B59" s="76" t="str">
        <f>VLOOKUP("GLO_GT_TXT_0008",Translation!A:B,2,FALSE)</f>
        <v>TOTAL</v>
      </c>
      <c r="C59" s="76"/>
      <c r="D59" s="76" t="s">
        <v>0</v>
      </c>
      <c r="E59" s="76"/>
      <c r="F59" s="76" t="s">
        <v>0</v>
      </c>
      <c r="G59" s="76"/>
      <c r="H59" s="132">
        <f>IFERROR(SUM(ROUND(H58,2)),0)</f>
        <v>15788</v>
      </c>
      <c r="I59" s="77"/>
      <c r="J59" s="78">
        <f>IFERROR(SUM(ROUND(J58,2)),0)</f>
        <v>15788</v>
      </c>
      <c r="K59" s="132">
        <f>IFERROR(SUM(ROUND(K58,2)),0)</f>
        <v>115.74</v>
      </c>
      <c r="L59" s="77">
        <f>IFERROR(SUM(ROUND(L58,2)),0)</f>
        <v>15903.74</v>
      </c>
      <c r="M59" s="78"/>
      <c r="N59" s="132">
        <f>IFERROR(SUM(ROUND(N58,2)),0)</f>
        <v>0</v>
      </c>
      <c r="O59" s="132"/>
      <c r="P59" s="77">
        <f>IFERROR(SUM(ROUND(P58,2)),0)</f>
        <v>17128.330000000002</v>
      </c>
      <c r="Q59" s="78"/>
      <c r="R59" s="78">
        <f>IFERROR(SUM(ROUND(R58,2)),0)</f>
        <v>0</v>
      </c>
      <c r="S59" s="137">
        <f>IFERROR(SUM(ROUND(S58,2)),0)</f>
        <v>17128.330000000002</v>
      </c>
      <c r="T59" s="78" t="s">
        <v>0</v>
      </c>
      <c r="U59" s="78">
        <f>IFERROR(SUM(ROUND(U58,2)),0)</f>
        <v>17128.330000000002</v>
      </c>
      <c r="V59" s="78">
        <f>IFERROR(SUM(ROUND(V58,2)),0)</f>
        <v>0</v>
      </c>
    </row>
    <row r="60" spans="1:22" ht="13.5" thickTop="1">
      <c r="A60"/>
      <c r="B60"/>
      <c r="C60"/>
      <c r="D60"/>
      <c r="E60"/>
      <c r="F60"/>
      <c r="G60"/>
      <c r="H60" s="22"/>
      <c r="I60"/>
      <c r="J60"/>
      <c r="K60" s="22"/>
      <c r="L60"/>
      <c r="M60"/>
      <c r="N60" s="22"/>
      <c r="O60" s="22"/>
      <c r="P60"/>
      <c r="Q60"/>
      <c r="R60"/>
      <c r="S60"/>
      <c r="T60"/>
      <c r="U60" s="75"/>
      <c r="V60" s="75"/>
    </row>
    <row r="61" spans="1:22" ht="14.25">
      <c r="A61"/>
      <c r="B61"/>
      <c r="C61"/>
      <c r="D61"/>
      <c r="E61"/>
      <c r="F61"/>
      <c r="G61"/>
      <c r="H61" s="22"/>
      <c r="I61"/>
      <c r="J61"/>
      <c r="K61" s="22"/>
      <c r="L61"/>
      <c r="M61"/>
      <c r="N61" s="22"/>
      <c r="O61" s="22"/>
      <c r="P61"/>
      <c r="Q61"/>
      <c r="R61"/>
      <c r="S61"/>
      <c r="T61"/>
      <c r="U61" s="144"/>
      <c r="V61" s="144"/>
    </row>
    <row r="62" spans="1:22" ht="15.75" thickBot="1">
      <c r="A62"/>
      <c r="B62"/>
      <c r="C62"/>
      <c r="D62"/>
      <c r="E62"/>
      <c r="F62"/>
      <c r="G62"/>
      <c r="H62" s="22"/>
      <c r="I62"/>
      <c r="J62"/>
      <c r="K62" s="22"/>
      <c r="L62"/>
      <c r="M62"/>
      <c r="N62" s="22"/>
      <c r="O62" s="22"/>
      <c r="P62"/>
      <c r="Q62"/>
      <c r="R62"/>
      <c r="S62"/>
      <c r="T62"/>
      <c r="U62" s="78"/>
      <c r="V62" s="78"/>
    </row>
    <row r="63" spans="1:22" ht="13.5" thickTop="1">
      <c r="A63"/>
      <c r="B63"/>
      <c r="C63"/>
      <c r="D63"/>
      <c r="E63"/>
      <c r="F63"/>
      <c r="G63"/>
      <c r="H63" s="22"/>
      <c r="I63"/>
      <c r="J63"/>
      <c r="K63" s="22"/>
      <c r="L63"/>
      <c r="M63"/>
      <c r="N63" s="22"/>
      <c r="O63" s="22"/>
      <c r="P63"/>
      <c r="Q63"/>
      <c r="R63"/>
      <c r="S63"/>
      <c r="T63"/>
      <c r="U63" s="75"/>
      <c r="V63" s="75"/>
    </row>
    <row r="64" spans="1:22">
      <c r="A64"/>
      <c r="B64"/>
      <c r="C64"/>
      <c r="D64"/>
      <c r="E64"/>
      <c r="F64"/>
      <c r="G64"/>
      <c r="H64" s="22"/>
      <c r="I64"/>
      <c r="J64"/>
      <c r="K64" s="22"/>
      <c r="L64"/>
      <c r="M64"/>
      <c r="N64" s="22"/>
      <c r="O64" s="22"/>
      <c r="P64"/>
      <c r="Q64"/>
      <c r="R64"/>
      <c r="S64"/>
      <c r="T64"/>
      <c r="U64" s="75"/>
      <c r="V64" s="75"/>
    </row>
    <row r="65" spans="1:22">
      <c r="A65"/>
      <c r="B65"/>
      <c r="C65"/>
      <c r="D65"/>
      <c r="E65"/>
      <c r="F65"/>
      <c r="G65"/>
      <c r="H65" s="22"/>
      <c r="I65"/>
      <c r="J65"/>
      <c r="K65" s="22"/>
      <c r="L65"/>
      <c r="M65"/>
      <c r="N65" s="22"/>
      <c r="O65" s="22"/>
      <c r="P65"/>
      <c r="Q65"/>
      <c r="R65"/>
      <c r="S65"/>
      <c r="T65"/>
      <c r="U65" s="75"/>
      <c r="V65" s="75"/>
    </row>
    <row r="66" spans="1:22">
      <c r="A66"/>
      <c r="B66"/>
      <c r="C66"/>
      <c r="D66"/>
      <c r="E66"/>
      <c r="F66"/>
      <c r="G66"/>
      <c r="H66" s="22"/>
      <c r="I66"/>
      <c r="J66"/>
      <c r="K66" s="22"/>
      <c r="L66"/>
      <c r="M66"/>
      <c r="N66" s="22"/>
      <c r="O66" s="22"/>
      <c r="P66"/>
      <c r="Q66"/>
      <c r="R66"/>
      <c r="S66"/>
      <c r="T66"/>
      <c r="U66" s="75"/>
      <c r="V66" s="75"/>
    </row>
    <row r="67" spans="1:22">
      <c r="A67"/>
      <c r="B67"/>
      <c r="C67"/>
      <c r="D67"/>
      <c r="E67"/>
      <c r="F67"/>
      <c r="G67"/>
      <c r="H67" s="22"/>
      <c r="I67"/>
      <c r="J67"/>
      <c r="K67" s="22"/>
      <c r="L67"/>
      <c r="M67"/>
      <c r="N67" s="22"/>
      <c r="O67" s="22"/>
      <c r="P67"/>
      <c r="Q67"/>
      <c r="R67"/>
      <c r="S67"/>
      <c r="T67"/>
      <c r="U67" s="75"/>
      <c r="V67" s="75"/>
    </row>
    <row r="68" spans="1:22">
      <c r="A68"/>
      <c r="B68"/>
      <c r="C68"/>
      <c r="D68"/>
      <c r="E68"/>
      <c r="F68"/>
      <c r="G68"/>
      <c r="H68" s="22"/>
      <c r="I68"/>
      <c r="J68"/>
      <c r="K68" s="22"/>
      <c r="L68"/>
      <c r="M68"/>
      <c r="N68" s="22"/>
      <c r="O68" s="22"/>
      <c r="P68"/>
      <c r="Q68"/>
      <c r="R68"/>
      <c r="S68"/>
      <c r="T68"/>
      <c r="U68" s="75"/>
      <c r="V68" s="75"/>
    </row>
    <row r="69" spans="1:22">
      <c r="A69"/>
      <c r="B69"/>
      <c r="C69"/>
      <c r="D69"/>
      <c r="E69"/>
      <c r="F69"/>
      <c r="G69"/>
      <c r="H69" s="22"/>
      <c r="I69"/>
      <c r="J69"/>
      <c r="K69" s="22"/>
      <c r="L69"/>
      <c r="M69"/>
      <c r="N69" s="22"/>
      <c r="O69" s="22"/>
      <c r="P69"/>
      <c r="Q69"/>
      <c r="R69"/>
      <c r="S69"/>
      <c r="T69"/>
      <c r="U69" s="75"/>
      <c r="V69" s="75"/>
    </row>
    <row r="70" spans="1:22">
      <c r="A70"/>
      <c r="B70"/>
      <c r="C70"/>
      <c r="D70"/>
      <c r="E70"/>
      <c r="F70"/>
      <c r="G70"/>
      <c r="H70" s="22"/>
      <c r="I70"/>
      <c r="J70"/>
      <c r="K70" s="22"/>
      <c r="L70"/>
      <c r="M70"/>
      <c r="N70" s="22"/>
      <c r="O70" s="22"/>
      <c r="P70"/>
      <c r="Q70"/>
      <c r="R70"/>
      <c r="S70"/>
      <c r="T70"/>
      <c r="U70" s="75"/>
      <c r="V70" s="75"/>
    </row>
    <row r="71" spans="1:22">
      <c r="A71"/>
      <c r="B71"/>
      <c r="C71"/>
      <c r="D71"/>
      <c r="E71"/>
      <c r="F71"/>
      <c r="G71"/>
      <c r="H71" s="22"/>
      <c r="I71"/>
      <c r="J71"/>
      <c r="K71" s="22"/>
      <c r="L71"/>
      <c r="M71"/>
      <c r="N71" s="22"/>
      <c r="O71" s="22"/>
      <c r="P71"/>
      <c r="Q71"/>
      <c r="R71"/>
      <c r="S71"/>
      <c r="T71"/>
      <c r="U71" s="75"/>
      <c r="V71" s="75"/>
    </row>
    <row r="72" spans="1:22">
      <c r="A72"/>
      <c r="B72"/>
      <c r="C72"/>
      <c r="D72"/>
      <c r="E72"/>
      <c r="F72"/>
      <c r="G72"/>
      <c r="H72" s="22"/>
      <c r="I72"/>
      <c r="J72"/>
      <c r="K72" s="22"/>
      <c r="L72"/>
      <c r="M72"/>
      <c r="N72" s="22"/>
      <c r="O72" s="22"/>
      <c r="P72"/>
      <c r="Q72"/>
      <c r="R72"/>
      <c r="S72"/>
      <c r="T72"/>
      <c r="U72" s="75"/>
      <c r="V72" s="75"/>
    </row>
    <row r="73" spans="1:22">
      <c r="A73"/>
      <c r="B73"/>
      <c r="C73"/>
      <c r="D73"/>
      <c r="E73"/>
      <c r="F73"/>
      <c r="G73"/>
      <c r="H73" s="22"/>
      <c r="I73"/>
      <c r="J73"/>
      <c r="K73" s="22"/>
      <c r="L73"/>
      <c r="M73"/>
      <c r="N73" s="22"/>
      <c r="O73" s="22"/>
      <c r="P73"/>
      <c r="Q73"/>
      <c r="R73"/>
      <c r="S73"/>
      <c r="T73"/>
      <c r="U73" s="75"/>
      <c r="V73" s="75"/>
    </row>
    <row r="74" spans="1:22">
      <c r="A74"/>
      <c r="B74"/>
      <c r="C74"/>
      <c r="D74"/>
      <c r="E74"/>
      <c r="F74"/>
      <c r="G74"/>
      <c r="H74" s="22"/>
      <c r="I74"/>
      <c r="J74"/>
      <c r="K74" s="22"/>
      <c r="L74"/>
      <c r="M74"/>
      <c r="N74" s="22"/>
      <c r="O74" s="22"/>
      <c r="P74"/>
      <c r="Q74"/>
      <c r="R74"/>
      <c r="S74"/>
      <c r="T74"/>
      <c r="U74" s="75"/>
      <c r="V74" s="75"/>
    </row>
    <row r="75" spans="1:22">
      <c r="A75"/>
      <c r="B75"/>
      <c r="C75"/>
      <c r="D75"/>
      <c r="E75"/>
      <c r="F75"/>
      <c r="G75"/>
      <c r="H75" s="22"/>
      <c r="I75"/>
      <c r="J75"/>
      <c r="K75" s="22"/>
      <c r="L75"/>
      <c r="M75"/>
      <c r="N75" s="22"/>
      <c r="O75" s="22"/>
      <c r="P75"/>
      <c r="Q75"/>
      <c r="R75"/>
      <c r="S75"/>
      <c r="T75"/>
      <c r="U75" s="75"/>
      <c r="V75" s="75"/>
    </row>
    <row r="76" spans="1:22">
      <c r="A76"/>
      <c r="B76"/>
      <c r="C76"/>
      <c r="D76"/>
      <c r="E76"/>
      <c r="F76"/>
      <c r="G76"/>
      <c r="H76" s="22"/>
      <c r="I76"/>
      <c r="J76"/>
      <c r="K76" s="22"/>
      <c r="L76"/>
      <c r="M76"/>
      <c r="N76" s="22"/>
      <c r="O76" s="22"/>
      <c r="P76"/>
      <c r="Q76"/>
      <c r="R76"/>
      <c r="S76"/>
      <c r="T76"/>
      <c r="U76" s="75"/>
      <c r="V76" s="75"/>
    </row>
    <row r="77" spans="1:22">
      <c r="A77"/>
      <c r="B77"/>
      <c r="C77"/>
      <c r="D77"/>
      <c r="E77"/>
      <c r="F77"/>
      <c r="G77"/>
      <c r="H77" s="22"/>
      <c r="I77"/>
      <c r="J77"/>
      <c r="K77" s="22"/>
      <c r="L77"/>
      <c r="M77"/>
      <c r="N77" s="22"/>
      <c r="O77" s="22"/>
      <c r="P77"/>
      <c r="Q77"/>
      <c r="R77"/>
      <c r="S77"/>
      <c r="T77"/>
      <c r="U77" s="75"/>
      <c r="V77" s="75"/>
    </row>
    <row r="78" spans="1:22">
      <c r="A78"/>
      <c r="B78"/>
      <c r="C78"/>
      <c r="D78"/>
      <c r="E78"/>
      <c r="F78"/>
      <c r="G78"/>
      <c r="H78" s="22"/>
      <c r="I78"/>
      <c r="J78"/>
      <c r="K78" s="22"/>
      <c r="L78"/>
      <c r="M78"/>
      <c r="N78" s="22"/>
      <c r="O78" s="22"/>
      <c r="P78"/>
      <c r="Q78"/>
      <c r="R78"/>
      <c r="S78"/>
      <c r="T78"/>
      <c r="U78" s="75"/>
      <c r="V78" s="75"/>
    </row>
    <row r="79" spans="1:22">
      <c r="A79"/>
      <c r="B79"/>
      <c r="C79"/>
      <c r="D79"/>
      <c r="E79"/>
      <c r="F79"/>
      <c r="G79"/>
      <c r="H79" s="22"/>
      <c r="I79"/>
      <c r="J79"/>
      <c r="K79" s="22"/>
      <c r="L79"/>
      <c r="M79"/>
      <c r="N79" s="22"/>
      <c r="O79" s="22"/>
      <c r="P79"/>
      <c r="Q79"/>
      <c r="R79"/>
      <c r="S79"/>
      <c r="T79"/>
      <c r="U79" s="75"/>
      <c r="V79" s="75"/>
    </row>
    <row r="80" spans="1:22">
      <c r="A80"/>
      <c r="B80"/>
      <c r="C80"/>
      <c r="D80"/>
      <c r="E80"/>
      <c r="F80"/>
      <c r="G80"/>
      <c r="H80" s="22"/>
      <c r="I80"/>
      <c r="J80"/>
      <c r="K80" s="22"/>
      <c r="L80"/>
      <c r="M80"/>
      <c r="N80" s="22"/>
      <c r="O80" s="22"/>
      <c r="P80"/>
      <c r="Q80"/>
      <c r="R80"/>
      <c r="S80"/>
      <c r="T80"/>
      <c r="U80" s="75"/>
      <c r="V80" s="75"/>
    </row>
    <row r="81" spans="1:22">
      <c r="A81"/>
      <c r="B81"/>
      <c r="C81"/>
      <c r="D81"/>
      <c r="E81"/>
      <c r="F81"/>
      <c r="G81"/>
      <c r="H81" s="22"/>
      <c r="I81"/>
      <c r="J81"/>
      <c r="K81" s="22"/>
      <c r="L81"/>
      <c r="M81"/>
      <c r="N81" s="22"/>
      <c r="O81" s="22"/>
      <c r="P81"/>
      <c r="Q81"/>
      <c r="R81"/>
      <c r="S81"/>
      <c r="T81"/>
      <c r="U81" s="75"/>
      <c r="V81" s="75"/>
    </row>
    <row r="82" spans="1:22">
      <c r="A82"/>
      <c r="B82"/>
      <c r="C82"/>
      <c r="D82"/>
      <c r="E82"/>
      <c r="F82"/>
      <c r="G82"/>
      <c r="H82" s="22"/>
      <c r="I82"/>
      <c r="J82"/>
      <c r="K82" s="22"/>
      <c r="L82"/>
      <c r="M82"/>
      <c r="N82" s="22"/>
      <c r="O82" s="22"/>
      <c r="P82"/>
      <c r="Q82"/>
      <c r="R82"/>
      <c r="S82"/>
      <c r="T82"/>
      <c r="U82" s="75"/>
      <c r="V82" s="75"/>
    </row>
    <row r="83" spans="1:22">
      <c r="A83"/>
      <c r="B83"/>
      <c r="C83"/>
      <c r="D83"/>
      <c r="E83"/>
      <c r="F83"/>
      <c r="G83"/>
      <c r="H83" s="22"/>
      <c r="I83"/>
      <c r="J83"/>
      <c r="K83" s="22"/>
      <c r="L83"/>
      <c r="M83"/>
      <c r="N83" s="22"/>
      <c r="O83" s="22"/>
      <c r="P83"/>
      <c r="Q83"/>
      <c r="R83"/>
      <c r="S83"/>
      <c r="T83"/>
      <c r="U83" s="75"/>
      <c r="V83" s="75"/>
    </row>
    <row r="84" spans="1:22">
      <c r="A84"/>
      <c r="B84"/>
      <c r="C84"/>
      <c r="D84"/>
      <c r="E84"/>
      <c r="F84"/>
      <c r="G84"/>
      <c r="H84" s="22"/>
      <c r="I84"/>
      <c r="J84"/>
      <c r="K84" s="22"/>
      <c r="L84"/>
      <c r="M84"/>
      <c r="N84" s="22"/>
      <c r="O84" s="22"/>
      <c r="P84"/>
      <c r="Q84"/>
      <c r="R84"/>
      <c r="S84"/>
      <c r="T84"/>
      <c r="U84" s="75"/>
      <c r="V84" s="75"/>
    </row>
    <row r="85" spans="1:22">
      <c r="A85"/>
      <c r="B85"/>
      <c r="C85"/>
      <c r="D85"/>
      <c r="E85"/>
      <c r="F85"/>
      <c r="G85"/>
      <c r="H85" s="22"/>
      <c r="I85"/>
      <c r="J85"/>
      <c r="K85" s="22"/>
      <c r="L85"/>
      <c r="M85"/>
      <c r="N85" s="22"/>
      <c r="O85" s="22"/>
      <c r="P85"/>
      <c r="Q85"/>
      <c r="R85"/>
      <c r="S85"/>
      <c r="T85"/>
      <c r="U85" s="75"/>
      <c r="V85" s="75"/>
    </row>
    <row r="86" spans="1:22">
      <c r="A86"/>
      <c r="B86"/>
      <c r="C86"/>
      <c r="D86"/>
      <c r="E86"/>
      <c r="F86"/>
      <c r="G86"/>
      <c r="H86" s="22"/>
      <c r="I86"/>
      <c r="J86"/>
      <c r="K86" s="22"/>
      <c r="L86"/>
      <c r="M86"/>
      <c r="N86" s="22"/>
      <c r="O86" s="22"/>
      <c r="P86"/>
      <c r="Q86"/>
      <c r="R86"/>
      <c r="S86"/>
      <c r="T86"/>
      <c r="U86" s="75"/>
      <c r="V86" s="75"/>
    </row>
    <row r="87" spans="1:22">
      <c r="A87"/>
      <c r="B87"/>
      <c r="C87"/>
      <c r="D87"/>
      <c r="E87"/>
      <c r="F87"/>
      <c r="G87"/>
      <c r="H87" s="22"/>
      <c r="I87"/>
      <c r="J87"/>
      <c r="K87" s="22"/>
      <c r="L87"/>
      <c r="M87"/>
      <c r="N87" s="22"/>
      <c r="O87" s="22"/>
      <c r="P87"/>
      <c r="Q87"/>
      <c r="R87"/>
      <c r="S87"/>
      <c r="T87"/>
      <c r="U87" s="75"/>
      <c r="V87" s="75"/>
    </row>
    <row r="88" spans="1:22">
      <c r="A88"/>
      <c r="B88"/>
      <c r="C88"/>
      <c r="D88"/>
      <c r="E88"/>
      <c r="F88"/>
      <c r="G88"/>
      <c r="H88" s="22"/>
      <c r="I88"/>
      <c r="J88"/>
      <c r="K88" s="22"/>
      <c r="L88"/>
      <c r="M88"/>
      <c r="N88" s="22"/>
      <c r="O88" s="22"/>
      <c r="P88"/>
      <c r="Q88"/>
      <c r="R88"/>
      <c r="S88"/>
      <c r="T88"/>
      <c r="U88" s="75"/>
      <c r="V88" s="75"/>
    </row>
    <row r="89" spans="1:22">
      <c r="A89"/>
      <c r="B89"/>
      <c r="C89"/>
      <c r="D89"/>
      <c r="E89"/>
      <c r="F89"/>
      <c r="G89"/>
      <c r="H89" s="22"/>
      <c r="I89"/>
      <c r="J89"/>
      <c r="K89" s="22"/>
      <c r="L89"/>
      <c r="M89"/>
      <c r="N89" s="22"/>
      <c r="O89" s="22"/>
      <c r="P89"/>
      <c r="Q89"/>
      <c r="R89"/>
      <c r="S89"/>
      <c r="T89"/>
      <c r="U89" s="75"/>
      <c r="V89" s="75"/>
    </row>
    <row r="90" spans="1:22">
      <c r="A90"/>
      <c r="B90"/>
      <c r="C90"/>
      <c r="D90"/>
      <c r="E90"/>
      <c r="F90"/>
      <c r="G90"/>
      <c r="H90" s="22"/>
      <c r="I90"/>
      <c r="J90"/>
      <c r="K90" s="22"/>
      <c r="L90"/>
      <c r="M90"/>
      <c r="N90" s="22"/>
      <c r="O90" s="22"/>
      <c r="P90"/>
      <c r="Q90"/>
      <c r="R90"/>
      <c r="S90"/>
      <c r="T90"/>
      <c r="U90" s="75"/>
      <c r="V90" s="75"/>
    </row>
    <row r="91" spans="1:22">
      <c r="A91"/>
      <c r="B91"/>
      <c r="C91"/>
      <c r="D91"/>
      <c r="E91"/>
      <c r="F91"/>
      <c r="G91"/>
      <c r="H91" s="22"/>
      <c r="I91"/>
      <c r="J91"/>
      <c r="K91" s="22"/>
      <c r="L91"/>
      <c r="M91"/>
      <c r="N91" s="22"/>
      <c r="O91" s="22"/>
      <c r="P91"/>
      <c r="Q91"/>
      <c r="R91"/>
      <c r="S91"/>
      <c r="T91"/>
      <c r="U91" s="75"/>
      <c r="V91" s="75"/>
    </row>
    <row r="92" spans="1:22">
      <c r="A92"/>
      <c r="B92"/>
      <c r="C92"/>
      <c r="D92"/>
      <c r="E92"/>
      <c r="F92"/>
      <c r="G92"/>
      <c r="H92" s="22"/>
      <c r="I92"/>
      <c r="J92"/>
      <c r="K92" s="22"/>
      <c r="L92"/>
      <c r="M92"/>
      <c r="N92" s="22"/>
      <c r="O92" s="22"/>
      <c r="P92"/>
      <c r="Q92"/>
      <c r="R92"/>
      <c r="S92"/>
      <c r="T92"/>
      <c r="U92" s="75"/>
      <c r="V92" s="75"/>
    </row>
    <row r="93" spans="1:22">
      <c r="A93"/>
      <c r="B93"/>
      <c r="C93"/>
      <c r="D93"/>
      <c r="E93"/>
      <c r="F93"/>
      <c r="G93"/>
      <c r="H93" s="22"/>
      <c r="I93"/>
      <c r="J93"/>
      <c r="K93" s="22"/>
      <c r="L93"/>
      <c r="M93"/>
      <c r="N93" s="22"/>
      <c r="O93" s="22"/>
      <c r="P93"/>
      <c r="Q93"/>
      <c r="R93"/>
      <c r="S93"/>
      <c r="T93"/>
      <c r="U93" s="75"/>
      <c r="V93" s="75"/>
    </row>
    <row r="94" spans="1:22">
      <c r="A94"/>
      <c r="B94"/>
      <c r="C94"/>
      <c r="D94"/>
      <c r="E94"/>
      <c r="F94"/>
      <c r="G94"/>
      <c r="H94" s="22"/>
      <c r="I94"/>
      <c r="J94"/>
      <c r="K94" s="22"/>
      <c r="L94"/>
      <c r="M94"/>
      <c r="N94" s="22"/>
      <c r="O94" s="22"/>
      <c r="P94"/>
      <c r="Q94"/>
      <c r="R94"/>
      <c r="S94"/>
      <c r="T94"/>
      <c r="U94" s="75"/>
      <c r="V94" s="75"/>
    </row>
    <row r="95" spans="1:22">
      <c r="A95"/>
      <c r="B95"/>
      <c r="C95"/>
      <c r="D95"/>
      <c r="E95"/>
      <c r="F95"/>
      <c r="G95"/>
      <c r="H95" s="22"/>
      <c r="I95"/>
      <c r="J95"/>
      <c r="K95" s="22"/>
      <c r="L95"/>
      <c r="M95"/>
      <c r="N95" s="22"/>
      <c r="O95" s="22"/>
      <c r="P95"/>
      <c r="Q95"/>
      <c r="R95"/>
      <c r="S95"/>
      <c r="T95"/>
      <c r="U95" s="75"/>
      <c r="V95" s="75"/>
    </row>
    <row r="96" spans="1:22">
      <c r="A96"/>
      <c r="B96"/>
      <c r="C96"/>
      <c r="D96"/>
      <c r="E96"/>
      <c r="F96"/>
      <c r="G96"/>
      <c r="H96" s="22"/>
      <c r="I96"/>
      <c r="J96"/>
      <c r="K96" s="22"/>
      <c r="L96"/>
      <c r="M96"/>
      <c r="N96" s="22"/>
      <c r="O96" s="22"/>
      <c r="P96"/>
      <c r="Q96"/>
      <c r="R96"/>
      <c r="S96"/>
      <c r="T96"/>
      <c r="U96" s="75"/>
      <c r="V96" s="75"/>
    </row>
    <row r="97" spans="1:22">
      <c r="A97"/>
      <c r="B97"/>
      <c r="C97"/>
      <c r="D97"/>
      <c r="E97"/>
      <c r="F97"/>
      <c r="G97"/>
      <c r="H97" s="22"/>
      <c r="I97"/>
      <c r="J97"/>
      <c r="K97" s="22"/>
      <c r="L97"/>
      <c r="M97"/>
      <c r="N97" s="22"/>
      <c r="O97" s="22"/>
      <c r="P97"/>
      <c r="Q97"/>
      <c r="R97"/>
      <c r="S97"/>
      <c r="T97"/>
      <c r="U97" s="75"/>
      <c r="V97" s="75"/>
    </row>
    <row r="98" spans="1:22">
      <c r="A98"/>
      <c r="B98"/>
      <c r="C98"/>
      <c r="D98"/>
      <c r="E98"/>
      <c r="F98"/>
      <c r="G98"/>
      <c r="H98" s="22"/>
      <c r="I98"/>
      <c r="J98"/>
      <c r="K98" s="22"/>
      <c r="L98"/>
      <c r="M98"/>
      <c r="N98" s="22"/>
      <c r="O98" s="22"/>
      <c r="P98"/>
      <c r="Q98"/>
      <c r="R98"/>
      <c r="S98"/>
      <c r="T98"/>
      <c r="U98" s="75"/>
      <c r="V98" s="75"/>
    </row>
    <row r="99" spans="1:22">
      <c r="A99"/>
      <c r="B99"/>
      <c r="C99"/>
      <c r="D99"/>
      <c r="E99"/>
      <c r="F99"/>
      <c r="G99"/>
      <c r="H99" s="22"/>
      <c r="I99"/>
      <c r="J99"/>
      <c r="K99" s="22"/>
      <c r="L99"/>
      <c r="M99"/>
      <c r="N99" s="22"/>
      <c r="O99" s="22"/>
      <c r="P99"/>
      <c r="Q99"/>
      <c r="R99"/>
      <c r="S99"/>
      <c r="T99"/>
      <c r="U99" s="75"/>
      <c r="V99" s="75"/>
    </row>
    <row r="100" spans="1:22">
      <c r="A100"/>
      <c r="B100"/>
      <c r="C100"/>
      <c r="D100"/>
      <c r="E100"/>
      <c r="F100"/>
      <c r="G100"/>
      <c r="H100" s="22"/>
      <c r="I100"/>
      <c r="J100"/>
      <c r="K100" s="22"/>
      <c r="L100"/>
      <c r="M100"/>
      <c r="N100" s="22"/>
      <c r="O100" s="22"/>
      <c r="P100"/>
      <c r="Q100"/>
      <c r="R100"/>
      <c r="S100"/>
      <c r="T100"/>
      <c r="U100" s="75"/>
      <c r="V100" s="75"/>
    </row>
    <row r="101" spans="1:22">
      <c r="A101"/>
      <c r="B101"/>
      <c r="C101"/>
      <c r="D101"/>
      <c r="E101"/>
      <c r="F101"/>
      <c r="G101"/>
      <c r="H101" s="22"/>
      <c r="I101"/>
      <c r="J101"/>
      <c r="K101" s="22"/>
      <c r="L101"/>
      <c r="M101"/>
      <c r="N101" s="22"/>
      <c r="O101" s="22"/>
      <c r="P101"/>
      <c r="Q101"/>
      <c r="R101"/>
      <c r="S101"/>
      <c r="T101"/>
      <c r="U101" s="75"/>
      <c r="V101" s="75"/>
    </row>
    <row r="102" spans="1:22">
      <c r="A102"/>
      <c r="B102"/>
      <c r="C102"/>
      <c r="D102"/>
      <c r="E102"/>
      <c r="F102"/>
      <c r="G102"/>
      <c r="H102" s="22"/>
      <c r="I102"/>
      <c r="J102"/>
      <c r="K102" s="22"/>
      <c r="L102"/>
      <c r="M102"/>
      <c r="N102" s="22"/>
      <c r="O102" s="22"/>
      <c r="P102"/>
      <c r="Q102"/>
      <c r="R102"/>
      <c r="S102"/>
      <c r="T102"/>
      <c r="U102" s="75"/>
      <c r="V102" s="75"/>
    </row>
    <row r="103" spans="1:22">
      <c r="A103"/>
      <c r="B103"/>
      <c r="C103"/>
      <c r="D103"/>
      <c r="E103"/>
      <c r="F103"/>
      <c r="G103"/>
      <c r="H103" s="22"/>
      <c r="I103"/>
      <c r="J103"/>
      <c r="K103" s="22"/>
      <c r="L103"/>
      <c r="M103"/>
      <c r="N103" s="22"/>
      <c r="O103" s="22"/>
      <c r="P103"/>
      <c r="Q103"/>
      <c r="R103"/>
      <c r="S103"/>
      <c r="T103"/>
      <c r="U103" s="75"/>
      <c r="V103" s="75"/>
    </row>
    <row r="104" spans="1:22">
      <c r="A104"/>
      <c r="B104"/>
      <c r="C104"/>
      <c r="D104"/>
      <c r="E104"/>
      <c r="F104"/>
      <c r="G104"/>
      <c r="H104" s="22"/>
      <c r="I104"/>
      <c r="J104"/>
      <c r="K104" s="22"/>
      <c r="L104"/>
      <c r="M104"/>
      <c r="N104" s="22"/>
      <c r="O104" s="22"/>
      <c r="P104"/>
      <c r="Q104"/>
      <c r="R104"/>
      <c r="S104"/>
      <c r="T104"/>
      <c r="U104" s="75"/>
      <c r="V104" s="75"/>
    </row>
    <row r="105" spans="1:22">
      <c r="A105"/>
      <c r="B105"/>
      <c r="C105"/>
      <c r="D105"/>
      <c r="E105"/>
      <c r="F105"/>
      <c r="G105"/>
      <c r="H105" s="22"/>
      <c r="I105"/>
      <c r="J105"/>
      <c r="K105" s="22"/>
      <c r="L105"/>
      <c r="M105"/>
      <c r="N105" s="22"/>
      <c r="O105" s="22"/>
      <c r="P105"/>
      <c r="Q105"/>
      <c r="R105"/>
      <c r="S105"/>
      <c r="T105"/>
      <c r="U105" s="75"/>
      <c r="V105" s="75"/>
    </row>
    <row r="106" spans="1:22">
      <c r="A106"/>
      <c r="B106"/>
      <c r="C106"/>
      <c r="D106"/>
      <c r="E106"/>
      <c r="F106"/>
      <c r="G106"/>
      <c r="H106" s="22"/>
      <c r="I106"/>
      <c r="J106"/>
      <c r="K106" s="22"/>
      <c r="L106"/>
      <c r="M106"/>
      <c r="N106" s="22"/>
      <c r="O106" s="22"/>
      <c r="P106"/>
      <c r="Q106"/>
      <c r="R106"/>
      <c r="S106"/>
      <c r="T106"/>
      <c r="U106" s="75"/>
      <c r="V106" s="75"/>
    </row>
    <row r="107" spans="1:22">
      <c r="A107"/>
      <c r="B107"/>
      <c r="C107"/>
      <c r="D107"/>
      <c r="E107"/>
      <c r="F107"/>
      <c r="G107"/>
      <c r="H107" s="22"/>
      <c r="I107"/>
      <c r="J107"/>
      <c r="K107" s="22"/>
      <c r="L107"/>
      <c r="M107"/>
      <c r="N107" s="22"/>
      <c r="O107" s="22"/>
      <c r="P107"/>
      <c r="Q107"/>
      <c r="R107"/>
      <c r="S107"/>
      <c r="T107"/>
      <c r="U107" s="75"/>
      <c r="V107" s="75"/>
    </row>
    <row r="108" spans="1:22">
      <c r="A108"/>
      <c r="B108"/>
      <c r="C108"/>
      <c r="D108"/>
      <c r="E108"/>
      <c r="F108"/>
      <c r="G108"/>
      <c r="H108" s="22"/>
      <c r="I108"/>
      <c r="J108"/>
      <c r="K108" s="22"/>
      <c r="L108"/>
      <c r="M108"/>
      <c r="N108" s="22"/>
      <c r="O108" s="22"/>
      <c r="P108"/>
      <c r="Q108"/>
      <c r="R108"/>
      <c r="S108"/>
      <c r="T108"/>
      <c r="U108" s="75"/>
      <c r="V108" s="75"/>
    </row>
    <row r="109" spans="1:22">
      <c r="A109"/>
      <c r="B109"/>
      <c r="C109"/>
      <c r="D109"/>
      <c r="E109"/>
      <c r="F109"/>
      <c r="G109"/>
      <c r="H109" s="22"/>
      <c r="I109"/>
      <c r="J109"/>
      <c r="K109" s="22"/>
      <c r="L109"/>
      <c r="M109"/>
      <c r="N109" s="22"/>
      <c r="O109" s="22"/>
      <c r="P109"/>
      <c r="Q109"/>
      <c r="R109"/>
      <c r="S109"/>
      <c r="T109"/>
      <c r="U109" s="75"/>
      <c r="V109" s="75"/>
    </row>
    <row r="110" spans="1:22">
      <c r="A110"/>
      <c r="B110"/>
      <c r="C110"/>
      <c r="D110"/>
      <c r="E110"/>
      <c r="F110"/>
      <c r="G110"/>
      <c r="H110" s="22"/>
      <c r="I110"/>
      <c r="J110"/>
      <c r="K110" s="22"/>
      <c r="L110"/>
      <c r="M110"/>
      <c r="N110" s="22"/>
      <c r="O110" s="22"/>
      <c r="P110"/>
      <c r="Q110"/>
      <c r="R110"/>
      <c r="S110"/>
      <c r="T110"/>
      <c r="U110" s="75"/>
      <c r="V110" s="75"/>
    </row>
    <row r="111" spans="1:22">
      <c r="A111"/>
      <c r="B111"/>
      <c r="C111"/>
      <c r="D111"/>
      <c r="E111"/>
      <c r="F111"/>
      <c r="G111"/>
      <c r="H111" s="22"/>
      <c r="I111"/>
      <c r="J111"/>
      <c r="K111" s="22"/>
      <c r="L111"/>
      <c r="M111"/>
      <c r="N111" s="22"/>
      <c r="O111" s="22"/>
      <c r="P111"/>
      <c r="Q111"/>
      <c r="R111"/>
      <c r="S111"/>
      <c r="T111"/>
      <c r="U111" s="75"/>
      <c r="V111" s="75"/>
    </row>
    <row r="112" spans="1:22">
      <c r="A112"/>
      <c r="B112"/>
      <c r="C112"/>
      <c r="D112"/>
      <c r="E112"/>
      <c r="F112"/>
      <c r="G112"/>
      <c r="H112" s="22"/>
      <c r="I112"/>
      <c r="J112"/>
      <c r="K112" s="22"/>
      <c r="L112"/>
      <c r="M112"/>
      <c r="N112" s="22"/>
      <c r="O112" s="22"/>
      <c r="P112"/>
      <c r="Q112"/>
      <c r="R112"/>
      <c r="S112"/>
      <c r="T112"/>
      <c r="U112" s="75"/>
      <c r="V112" s="75"/>
    </row>
    <row r="113" spans="1:22">
      <c r="A113"/>
      <c r="B113"/>
      <c r="C113"/>
      <c r="D113"/>
      <c r="E113"/>
      <c r="F113"/>
      <c r="G113"/>
      <c r="H113" s="22"/>
      <c r="I113"/>
      <c r="J113"/>
      <c r="K113" s="22"/>
      <c r="L113"/>
      <c r="M113"/>
      <c r="N113" s="22"/>
      <c r="O113" s="22"/>
      <c r="P113"/>
      <c r="Q113"/>
      <c r="R113"/>
      <c r="S113"/>
      <c r="T113"/>
      <c r="U113" s="75"/>
      <c r="V113" s="75"/>
    </row>
    <row r="114" spans="1:22" ht="14.25">
      <c r="A114"/>
      <c r="B114"/>
      <c r="C114"/>
      <c r="D114"/>
      <c r="E114"/>
      <c r="F114"/>
      <c r="G114"/>
      <c r="H114" s="22"/>
      <c r="I114"/>
      <c r="J114"/>
      <c r="K114" s="22"/>
      <c r="L114"/>
      <c r="M114"/>
      <c r="N114" s="22"/>
      <c r="O114" s="22"/>
      <c r="P114"/>
      <c r="Q114"/>
      <c r="R114"/>
      <c r="S114"/>
      <c r="T114"/>
      <c r="U114" s="141"/>
      <c r="V114" s="141"/>
    </row>
    <row r="115" spans="1:22" ht="15.75" thickBot="1">
      <c r="A115"/>
      <c r="B115"/>
      <c r="C115"/>
      <c r="D115"/>
      <c r="E115"/>
      <c r="F115"/>
      <c r="G115"/>
      <c r="H115" s="22"/>
      <c r="I115"/>
      <c r="J115"/>
      <c r="K115" s="22"/>
      <c r="L115"/>
      <c r="M115"/>
      <c r="N115" s="22"/>
      <c r="O115" s="22"/>
      <c r="P115"/>
      <c r="Q115"/>
      <c r="R115"/>
      <c r="S115"/>
      <c r="T115"/>
      <c r="U115" s="78"/>
      <c r="V115" s="78"/>
    </row>
    <row r="116" spans="1:22" ht="13.5" thickTop="1">
      <c r="A116"/>
      <c r="B116"/>
      <c r="C116"/>
      <c r="D116"/>
      <c r="E116"/>
      <c r="F116"/>
      <c r="G116"/>
      <c r="H116" s="22"/>
      <c r="I116"/>
      <c r="J116"/>
      <c r="K116" s="22"/>
      <c r="L116"/>
      <c r="M116"/>
      <c r="N116" s="22"/>
      <c r="O116" s="22"/>
      <c r="P116"/>
      <c r="Q116"/>
      <c r="R116"/>
      <c r="S116"/>
      <c r="T116"/>
    </row>
    <row r="117" spans="1:22">
      <c r="A117"/>
      <c r="B117"/>
      <c r="C117"/>
      <c r="D117"/>
      <c r="E117"/>
      <c r="F117"/>
      <c r="G117"/>
      <c r="H117" s="22"/>
      <c r="I117"/>
      <c r="J117"/>
      <c r="K117" s="22"/>
      <c r="L117"/>
      <c r="M117"/>
      <c r="N117" s="22"/>
      <c r="O117" s="22"/>
      <c r="P117"/>
      <c r="Q117"/>
      <c r="R117"/>
      <c r="S117"/>
      <c r="T117"/>
    </row>
    <row r="118" spans="1:22">
      <c r="A118"/>
      <c r="B118"/>
      <c r="C118"/>
      <c r="D118"/>
      <c r="E118"/>
      <c r="F118"/>
      <c r="G118"/>
      <c r="H118" s="22"/>
      <c r="I118"/>
      <c r="J118"/>
      <c r="K118" s="22"/>
      <c r="L118"/>
      <c r="M118"/>
      <c r="N118" s="22"/>
      <c r="O118" s="22"/>
      <c r="P118"/>
      <c r="Q118"/>
      <c r="R118"/>
      <c r="S118"/>
      <c r="T118"/>
    </row>
    <row r="119" spans="1:22">
      <c r="A119"/>
      <c r="B119"/>
      <c r="C119"/>
      <c r="D119"/>
      <c r="E119"/>
      <c r="F119"/>
      <c r="G119"/>
      <c r="H119" s="22"/>
      <c r="I119"/>
      <c r="J119"/>
      <c r="K119" s="22"/>
      <c r="L119"/>
      <c r="M119"/>
      <c r="N119" s="22"/>
      <c r="O119" s="22"/>
      <c r="P119"/>
      <c r="Q119"/>
      <c r="R119"/>
      <c r="S119"/>
      <c r="T119"/>
    </row>
    <row r="120" spans="1:22">
      <c r="A120"/>
      <c r="B120"/>
      <c r="C120"/>
      <c r="D120"/>
      <c r="E120"/>
      <c r="F120"/>
      <c r="G120"/>
      <c r="H120" s="22"/>
      <c r="I120"/>
      <c r="J120"/>
      <c r="K120" s="22"/>
      <c r="L120"/>
      <c r="M120"/>
      <c r="N120" s="22"/>
      <c r="O120" s="22"/>
      <c r="P120"/>
      <c r="Q120"/>
      <c r="R120"/>
      <c r="S120"/>
      <c r="T120"/>
    </row>
    <row r="121" spans="1:22">
      <c r="A121"/>
      <c r="B121"/>
      <c r="C121"/>
      <c r="D121"/>
      <c r="E121"/>
      <c r="F121"/>
      <c r="G121"/>
      <c r="H121" s="22"/>
      <c r="I121"/>
      <c r="J121"/>
      <c r="K121" s="22"/>
      <c r="L121"/>
      <c r="M121"/>
      <c r="N121" s="22"/>
      <c r="O121" s="22"/>
      <c r="P121"/>
      <c r="Q121"/>
      <c r="R121"/>
      <c r="S121"/>
      <c r="T121"/>
    </row>
    <row r="122" spans="1:22">
      <c r="A122"/>
      <c r="B122"/>
      <c r="C122"/>
      <c r="D122"/>
      <c r="E122"/>
      <c r="F122"/>
      <c r="G122"/>
      <c r="H122" s="22"/>
      <c r="I122"/>
      <c r="J122"/>
      <c r="K122" s="22"/>
      <c r="L122"/>
      <c r="M122"/>
      <c r="N122" s="22"/>
      <c r="O122" s="22"/>
      <c r="P122"/>
      <c r="Q122"/>
      <c r="R122"/>
      <c r="S122"/>
      <c r="T122"/>
    </row>
    <row r="123" spans="1:22">
      <c r="A123"/>
      <c r="B123"/>
      <c r="C123"/>
      <c r="D123"/>
      <c r="E123"/>
      <c r="F123"/>
      <c r="G123"/>
      <c r="H123" s="22"/>
      <c r="I123"/>
      <c r="J123"/>
      <c r="K123" s="22"/>
      <c r="L123"/>
      <c r="M123"/>
      <c r="N123" s="22"/>
      <c r="O123" s="22"/>
      <c r="P123"/>
      <c r="Q123"/>
      <c r="R123"/>
      <c r="S123"/>
      <c r="T123"/>
    </row>
    <row r="124" spans="1:22">
      <c r="A124"/>
      <c r="B124"/>
      <c r="C124"/>
      <c r="D124"/>
      <c r="E124"/>
      <c r="F124"/>
      <c r="G124"/>
      <c r="H124" s="22"/>
      <c r="I124"/>
      <c r="J124"/>
      <c r="K124" s="22"/>
      <c r="L124"/>
      <c r="M124"/>
      <c r="N124" s="22"/>
      <c r="O124" s="22"/>
      <c r="P124"/>
      <c r="Q124"/>
      <c r="R124"/>
      <c r="S124"/>
      <c r="T124"/>
    </row>
    <row r="125" spans="1:22">
      <c r="A125"/>
      <c r="B125"/>
      <c r="C125"/>
      <c r="D125"/>
      <c r="E125"/>
      <c r="F125"/>
      <c r="G125"/>
      <c r="H125" s="22"/>
      <c r="I125"/>
      <c r="J125"/>
      <c r="K125" s="22"/>
      <c r="L125"/>
      <c r="M125"/>
      <c r="N125" s="22"/>
      <c r="O125" s="22"/>
      <c r="P125"/>
      <c r="Q125"/>
      <c r="R125"/>
      <c r="S125"/>
      <c r="T125"/>
    </row>
    <row r="126" spans="1:22">
      <c r="A126"/>
      <c r="B126"/>
      <c r="C126"/>
      <c r="D126"/>
      <c r="E126"/>
      <c r="F126"/>
      <c r="G126"/>
      <c r="H126" s="22"/>
      <c r="I126"/>
      <c r="J126"/>
      <c r="K126" s="22"/>
      <c r="L126"/>
      <c r="M126"/>
      <c r="N126" s="22"/>
      <c r="O126" s="22"/>
      <c r="P126"/>
      <c r="Q126"/>
      <c r="R126"/>
      <c r="S126"/>
      <c r="T126"/>
    </row>
    <row r="127" spans="1:22">
      <c r="A127"/>
      <c r="B127"/>
      <c r="C127"/>
      <c r="D127"/>
      <c r="E127"/>
      <c r="F127"/>
      <c r="G127"/>
      <c r="H127" s="22"/>
      <c r="I127"/>
      <c r="J127"/>
      <c r="K127" s="22"/>
      <c r="L127"/>
      <c r="M127"/>
      <c r="N127" s="22"/>
      <c r="O127" s="22"/>
      <c r="P127"/>
      <c r="Q127"/>
      <c r="R127"/>
      <c r="S127"/>
      <c r="T127"/>
    </row>
    <row r="128" spans="1:22">
      <c r="A128"/>
      <c r="B128"/>
      <c r="C128"/>
      <c r="D128"/>
      <c r="E128"/>
      <c r="F128"/>
      <c r="G128"/>
      <c r="H128" s="22"/>
      <c r="I128"/>
      <c r="J128"/>
      <c r="K128" s="22"/>
      <c r="L128"/>
      <c r="M128"/>
      <c r="N128" s="22"/>
      <c r="O128" s="22"/>
      <c r="P128"/>
      <c r="Q128"/>
      <c r="R128"/>
      <c r="S128"/>
      <c r="T128"/>
    </row>
    <row r="129" spans="1:20">
      <c r="A129"/>
      <c r="B129"/>
      <c r="C129"/>
      <c r="D129"/>
      <c r="E129"/>
      <c r="F129"/>
      <c r="G129"/>
      <c r="H129" s="22"/>
      <c r="I129"/>
      <c r="J129"/>
      <c r="K129" s="22"/>
      <c r="L129"/>
      <c r="M129"/>
      <c r="N129" s="22"/>
      <c r="O129" s="22"/>
      <c r="P129"/>
      <c r="Q129"/>
      <c r="R129"/>
      <c r="S129"/>
      <c r="T129"/>
    </row>
    <row r="130" spans="1:20">
      <c r="A130"/>
      <c r="B130"/>
      <c r="C130"/>
      <c r="D130"/>
      <c r="E130"/>
      <c r="F130"/>
      <c r="G130"/>
      <c r="H130" s="22"/>
      <c r="I130"/>
      <c r="J130"/>
      <c r="K130" s="22"/>
      <c r="L130"/>
      <c r="M130"/>
      <c r="N130" s="22"/>
      <c r="O130" s="22"/>
      <c r="P130"/>
      <c r="Q130"/>
      <c r="R130"/>
      <c r="S130"/>
      <c r="T130"/>
    </row>
    <row r="131" spans="1:20">
      <c r="A131"/>
      <c r="B131"/>
      <c r="C131"/>
      <c r="D131"/>
      <c r="E131"/>
      <c r="F131"/>
      <c r="G131"/>
      <c r="H131" s="22"/>
      <c r="I131"/>
      <c r="J131"/>
      <c r="K131" s="22"/>
      <c r="L131"/>
      <c r="M131"/>
      <c r="N131" s="22"/>
      <c r="O131" s="22"/>
      <c r="P131"/>
      <c r="Q131"/>
      <c r="R131"/>
      <c r="S131"/>
      <c r="T131"/>
    </row>
    <row r="132" spans="1:20">
      <c r="A132"/>
      <c r="B132"/>
      <c r="C132"/>
      <c r="D132"/>
      <c r="E132"/>
      <c r="F132"/>
      <c r="G132"/>
      <c r="H132" s="22"/>
      <c r="I132"/>
      <c r="J132"/>
      <c r="K132" s="22"/>
      <c r="L132"/>
      <c r="M132"/>
      <c r="N132" s="22"/>
      <c r="O132" s="22"/>
      <c r="P132"/>
      <c r="Q132"/>
      <c r="R132"/>
      <c r="S132"/>
      <c r="T132"/>
    </row>
    <row r="133" spans="1:20">
      <c r="A133"/>
      <c r="B133"/>
      <c r="C133"/>
      <c r="D133"/>
      <c r="E133"/>
      <c r="F133"/>
      <c r="G133"/>
      <c r="H133" s="22"/>
      <c r="I133"/>
      <c r="J133"/>
      <c r="K133" s="22"/>
      <c r="L133"/>
      <c r="M133"/>
      <c r="N133" s="22"/>
      <c r="O133" s="22"/>
      <c r="P133"/>
      <c r="Q133"/>
      <c r="R133"/>
      <c r="S133"/>
      <c r="T133"/>
    </row>
    <row r="134" spans="1:20">
      <c r="A134"/>
      <c r="B134"/>
      <c r="C134"/>
      <c r="D134"/>
      <c r="E134"/>
      <c r="F134"/>
      <c r="G134"/>
      <c r="H134" s="22"/>
      <c r="I134"/>
      <c r="J134"/>
      <c r="K134" s="22"/>
      <c r="L134"/>
      <c r="M134"/>
      <c r="N134" s="22"/>
      <c r="O134" s="22"/>
      <c r="P134"/>
      <c r="Q134"/>
      <c r="R134"/>
      <c r="S134"/>
      <c r="T134"/>
    </row>
    <row r="135" spans="1:20">
      <c r="A135"/>
      <c r="B135"/>
      <c r="C135"/>
      <c r="D135"/>
      <c r="E135"/>
      <c r="F135"/>
      <c r="G135"/>
      <c r="H135" s="22"/>
      <c r="I135"/>
      <c r="J135"/>
      <c r="K135" s="22"/>
      <c r="L135"/>
      <c r="M135"/>
      <c r="N135" s="22"/>
      <c r="O135" s="22"/>
      <c r="P135"/>
      <c r="Q135"/>
      <c r="R135"/>
      <c r="S135"/>
      <c r="T135"/>
    </row>
    <row r="136" spans="1:20">
      <c r="A136"/>
      <c r="B136"/>
      <c r="C136"/>
      <c r="D136"/>
      <c r="E136"/>
      <c r="F136"/>
      <c r="G136"/>
      <c r="H136" s="22"/>
      <c r="I136"/>
      <c r="J136"/>
      <c r="K136" s="22"/>
      <c r="L136"/>
      <c r="M136"/>
      <c r="N136" s="22"/>
      <c r="O136" s="22"/>
      <c r="P136"/>
      <c r="Q136"/>
      <c r="R136"/>
      <c r="S136"/>
      <c r="T136"/>
    </row>
    <row r="137" spans="1:20">
      <c r="A137"/>
      <c r="B137"/>
      <c r="C137"/>
      <c r="D137"/>
      <c r="E137"/>
      <c r="F137"/>
      <c r="G137"/>
      <c r="H137" s="22"/>
      <c r="I137"/>
      <c r="J137"/>
      <c r="K137" s="22"/>
      <c r="L137"/>
      <c r="M137"/>
      <c r="N137" s="22"/>
      <c r="O137" s="22"/>
      <c r="P137"/>
      <c r="Q137"/>
      <c r="R137"/>
      <c r="S137"/>
      <c r="T137"/>
    </row>
    <row r="138" spans="1:20">
      <c r="A138"/>
      <c r="B138"/>
      <c r="C138"/>
      <c r="D138"/>
      <c r="E138"/>
      <c r="F138"/>
      <c r="G138"/>
      <c r="H138" s="22"/>
      <c r="I138"/>
      <c r="J138"/>
      <c r="K138" s="22"/>
      <c r="L138"/>
      <c r="M138"/>
      <c r="N138" s="22"/>
      <c r="O138" s="22"/>
      <c r="P138"/>
      <c r="Q138"/>
      <c r="R138"/>
      <c r="S138"/>
      <c r="T138"/>
    </row>
    <row r="139" spans="1:20">
      <c r="A139"/>
      <c r="B139"/>
      <c r="C139"/>
      <c r="D139"/>
      <c r="E139"/>
      <c r="F139"/>
      <c r="G139"/>
      <c r="H139" s="22"/>
      <c r="I139"/>
      <c r="J139"/>
      <c r="K139" s="22"/>
      <c r="L139"/>
      <c r="M139"/>
      <c r="N139" s="22"/>
      <c r="O139" s="22"/>
      <c r="P139"/>
      <c r="Q139"/>
      <c r="R139"/>
      <c r="S139"/>
      <c r="T139"/>
    </row>
    <row r="140" spans="1:20">
      <c r="A140"/>
      <c r="B140"/>
      <c r="C140"/>
      <c r="D140"/>
      <c r="E140"/>
      <c r="F140"/>
      <c r="G140"/>
      <c r="H140" s="22"/>
      <c r="I140"/>
      <c r="J140"/>
      <c r="K140" s="22"/>
      <c r="L140"/>
      <c r="M140"/>
      <c r="N140" s="22"/>
      <c r="O140" s="22"/>
      <c r="P140"/>
      <c r="Q140"/>
      <c r="R140"/>
      <c r="S140"/>
      <c r="T140"/>
    </row>
    <row r="141" spans="1:20">
      <c r="A141"/>
      <c r="B141"/>
      <c r="C141"/>
      <c r="D141"/>
      <c r="E141"/>
      <c r="F141"/>
      <c r="G141"/>
      <c r="H141" s="22"/>
      <c r="I141"/>
      <c r="J141"/>
      <c r="K141" s="22"/>
      <c r="L141"/>
      <c r="M141"/>
      <c r="N141" s="22"/>
      <c r="O141" s="22"/>
      <c r="P141"/>
      <c r="Q141"/>
      <c r="R141"/>
      <c r="S141"/>
      <c r="T141"/>
    </row>
    <row r="142" spans="1:20">
      <c r="A142"/>
      <c r="B142"/>
      <c r="C142"/>
      <c r="D142"/>
      <c r="E142"/>
      <c r="F142"/>
      <c r="G142"/>
      <c r="H142" s="22"/>
      <c r="I142"/>
      <c r="J142"/>
      <c r="K142" s="22"/>
      <c r="L142"/>
      <c r="M142"/>
      <c r="N142" s="22"/>
      <c r="O142" s="22"/>
      <c r="P142"/>
      <c r="Q142"/>
      <c r="R142"/>
      <c r="S142"/>
      <c r="T142"/>
    </row>
    <row r="143" spans="1:20">
      <c r="A143"/>
      <c r="B143"/>
      <c r="C143"/>
      <c r="D143"/>
      <c r="E143"/>
      <c r="F143"/>
      <c r="G143"/>
      <c r="H143" s="22"/>
      <c r="I143"/>
      <c r="J143"/>
      <c r="K143" s="22"/>
      <c r="L143"/>
      <c r="M143"/>
      <c r="N143" s="22"/>
      <c r="O143" s="22"/>
      <c r="P143"/>
      <c r="Q143"/>
      <c r="R143"/>
      <c r="S143"/>
      <c r="T143"/>
    </row>
    <row r="144" spans="1:20">
      <c r="A144"/>
      <c r="B144"/>
      <c r="C144"/>
      <c r="D144"/>
      <c r="E144"/>
      <c r="F144"/>
      <c r="G144"/>
      <c r="H144" s="22"/>
      <c r="I144"/>
      <c r="J144"/>
      <c r="K144" s="22"/>
      <c r="L144"/>
      <c r="M144"/>
      <c r="N144" s="22"/>
      <c r="O144" s="22"/>
      <c r="P144"/>
      <c r="Q144"/>
      <c r="R144"/>
      <c r="S144"/>
      <c r="T144"/>
    </row>
    <row r="145" spans="1:20">
      <c r="A145"/>
      <c r="B145"/>
      <c r="C145"/>
      <c r="D145"/>
      <c r="E145"/>
      <c r="F145"/>
      <c r="G145"/>
      <c r="H145" s="22"/>
      <c r="I145"/>
      <c r="J145"/>
      <c r="K145" s="22"/>
      <c r="L145"/>
      <c r="M145"/>
      <c r="N145" s="22"/>
      <c r="O145" s="22"/>
      <c r="P145"/>
      <c r="Q145"/>
      <c r="R145"/>
      <c r="S145"/>
      <c r="T145"/>
    </row>
    <row r="146" spans="1:20">
      <c r="A146"/>
      <c r="B146"/>
      <c r="C146"/>
      <c r="D146"/>
      <c r="E146"/>
      <c r="F146"/>
      <c r="G146"/>
      <c r="H146" s="22"/>
      <c r="I146"/>
      <c r="J146"/>
      <c r="K146" s="22"/>
      <c r="L146"/>
      <c r="M146"/>
      <c r="N146" s="22"/>
      <c r="O146" s="22"/>
      <c r="P146"/>
      <c r="Q146"/>
      <c r="R146"/>
      <c r="S146"/>
      <c r="T146"/>
    </row>
    <row r="147" spans="1:20">
      <c r="A147"/>
      <c r="B147"/>
      <c r="C147"/>
      <c r="D147"/>
      <c r="E147"/>
      <c r="F147"/>
      <c r="G147"/>
      <c r="H147" s="22"/>
      <c r="I147"/>
      <c r="J147"/>
      <c r="K147" s="22"/>
      <c r="L147"/>
      <c r="M147"/>
      <c r="N147" s="22"/>
      <c r="O147" s="22"/>
      <c r="P147"/>
      <c r="Q147"/>
      <c r="R147"/>
      <c r="S147"/>
      <c r="T147"/>
    </row>
    <row r="148" spans="1:20">
      <c r="A148"/>
      <c r="B148"/>
      <c r="C148"/>
      <c r="D148"/>
      <c r="E148"/>
      <c r="F148"/>
      <c r="G148"/>
      <c r="H148" s="22"/>
      <c r="I148"/>
      <c r="J148"/>
      <c r="K148" s="22"/>
      <c r="L148"/>
      <c r="M148"/>
      <c r="N148" s="22"/>
      <c r="O148" s="22"/>
      <c r="P148"/>
      <c r="Q148"/>
      <c r="R148"/>
      <c r="S148"/>
      <c r="T148"/>
    </row>
    <row r="149" spans="1:20">
      <c r="A149"/>
      <c r="B149"/>
      <c r="C149"/>
      <c r="D149"/>
      <c r="E149"/>
      <c r="F149"/>
      <c r="G149"/>
      <c r="H149" s="22"/>
      <c r="I149"/>
      <c r="J149"/>
      <c r="K149" s="22"/>
      <c r="L149"/>
      <c r="M149"/>
      <c r="N149" s="22"/>
      <c r="O149" s="22"/>
      <c r="P149"/>
      <c r="Q149"/>
      <c r="R149"/>
      <c r="S149"/>
      <c r="T149"/>
    </row>
    <row r="150" spans="1:20">
      <c r="A150"/>
      <c r="B150"/>
      <c r="C150"/>
      <c r="D150"/>
      <c r="E150"/>
      <c r="F150"/>
      <c r="G150"/>
      <c r="H150" s="22"/>
      <c r="I150"/>
      <c r="J150"/>
      <c r="K150" s="22"/>
      <c r="L150"/>
      <c r="M150"/>
      <c r="N150" s="22"/>
      <c r="O150" s="22"/>
      <c r="P150"/>
      <c r="Q150"/>
      <c r="R150"/>
      <c r="S150"/>
      <c r="T150"/>
    </row>
    <row r="151" spans="1:20">
      <c r="A151"/>
      <c r="B151"/>
      <c r="C151"/>
      <c r="D151"/>
      <c r="E151"/>
      <c r="F151"/>
      <c r="G151"/>
      <c r="H151" s="22"/>
      <c r="I151"/>
      <c r="J151"/>
      <c r="K151" s="22"/>
      <c r="L151"/>
      <c r="M151"/>
      <c r="N151" s="22"/>
      <c r="O151" s="22"/>
      <c r="P151"/>
      <c r="Q151"/>
      <c r="R151"/>
      <c r="S151"/>
      <c r="T151"/>
    </row>
    <row r="152" spans="1:20">
      <c r="A152"/>
      <c r="B152"/>
      <c r="C152"/>
      <c r="D152"/>
      <c r="E152"/>
      <c r="F152"/>
      <c r="G152"/>
      <c r="H152" s="22"/>
      <c r="I152"/>
      <c r="J152"/>
      <c r="K152" s="22"/>
      <c r="L152"/>
      <c r="M152"/>
      <c r="N152" s="22"/>
      <c r="O152" s="22"/>
      <c r="P152"/>
      <c r="Q152"/>
      <c r="R152"/>
      <c r="S152"/>
      <c r="T152"/>
    </row>
    <row r="153" spans="1:20">
      <c r="A153"/>
      <c r="B153"/>
      <c r="C153"/>
      <c r="D153"/>
      <c r="E153"/>
      <c r="F153"/>
      <c r="G153"/>
      <c r="H153" s="22"/>
      <c r="I153"/>
      <c r="J153"/>
      <c r="K153" s="22"/>
      <c r="L153"/>
      <c r="M153"/>
      <c r="N153" s="22"/>
      <c r="O153" s="22"/>
      <c r="P153"/>
      <c r="Q153"/>
      <c r="R153"/>
      <c r="S153"/>
      <c r="T153"/>
    </row>
    <row r="154" spans="1:20">
      <c r="A154"/>
      <c r="B154"/>
      <c r="C154"/>
      <c r="D154"/>
      <c r="E154"/>
      <c r="F154"/>
      <c r="G154"/>
      <c r="H154" s="22"/>
      <c r="I154"/>
      <c r="J154"/>
      <c r="K154" s="22"/>
      <c r="L154"/>
      <c r="M154"/>
      <c r="N154" s="22"/>
      <c r="O154" s="22"/>
      <c r="P154"/>
      <c r="Q154"/>
      <c r="R154"/>
      <c r="S154"/>
      <c r="T154"/>
    </row>
    <row r="155" spans="1:20">
      <c r="A155"/>
      <c r="B155"/>
      <c r="C155"/>
      <c r="D155"/>
      <c r="E155"/>
      <c r="F155"/>
      <c r="G155"/>
      <c r="H155" s="22"/>
      <c r="I155"/>
      <c r="J155"/>
      <c r="K155" s="22"/>
      <c r="L155"/>
      <c r="M155"/>
      <c r="N155" s="22"/>
      <c r="O155" s="22"/>
      <c r="P155"/>
      <c r="Q155"/>
      <c r="R155"/>
      <c r="S155"/>
      <c r="T155"/>
    </row>
    <row r="156" spans="1:20">
      <c r="A156"/>
      <c r="B156"/>
      <c r="C156"/>
      <c r="D156"/>
      <c r="E156"/>
      <c r="F156"/>
      <c r="G156"/>
      <c r="H156" s="22"/>
      <c r="I156"/>
      <c r="J156"/>
      <c r="K156" s="22"/>
      <c r="L156"/>
      <c r="M156"/>
      <c r="N156" s="22"/>
      <c r="O156" s="22"/>
      <c r="P156"/>
      <c r="Q156"/>
      <c r="R156"/>
      <c r="S156"/>
      <c r="T156"/>
    </row>
    <row r="157" spans="1:20">
      <c r="H157" s="26"/>
      <c r="K157" s="26"/>
      <c r="M157" s="26"/>
      <c r="N157" s="26"/>
      <c r="O157" s="26"/>
      <c r="P157" s="26"/>
      <c r="Q157" s="26"/>
      <c r="R157" s="26"/>
    </row>
    <row r="158" spans="1:20">
      <c r="H158" s="26"/>
      <c r="K158" s="26"/>
      <c r="M158" s="26"/>
      <c r="N158" s="26"/>
      <c r="O158" s="26"/>
      <c r="P158" s="26"/>
      <c r="Q158" s="26"/>
      <c r="R158" s="26"/>
    </row>
    <row r="159" spans="1:20">
      <c r="H159" s="26"/>
      <c r="K159" s="26"/>
      <c r="M159" s="26"/>
      <c r="N159" s="26"/>
      <c r="O159" s="26"/>
      <c r="P159" s="26"/>
      <c r="Q159" s="26"/>
      <c r="R159" s="26"/>
    </row>
    <row r="160" spans="1:20">
      <c r="H160" s="26"/>
      <c r="K160" s="26"/>
      <c r="M160" s="26"/>
      <c r="N160" s="26"/>
      <c r="O160" s="26"/>
      <c r="P160" s="26"/>
      <c r="Q160" s="26"/>
      <c r="R160" s="26"/>
    </row>
    <row r="161" spans="8:18">
      <c r="H161" s="26"/>
      <c r="K161" s="26"/>
      <c r="M161" s="26"/>
      <c r="N161" s="26"/>
      <c r="O161" s="26"/>
      <c r="P161" s="26"/>
      <c r="Q161" s="26"/>
      <c r="R161" s="26"/>
    </row>
    <row r="162" spans="8:18">
      <c r="H162" s="26"/>
      <c r="K162" s="26"/>
      <c r="M162" s="26"/>
      <c r="N162" s="26"/>
      <c r="O162" s="26"/>
      <c r="P162" s="26"/>
      <c r="Q162" s="26"/>
      <c r="R162" s="26"/>
    </row>
    <row r="163" spans="8:18">
      <c r="H163" s="26"/>
      <c r="K163" s="26"/>
      <c r="M163" s="26"/>
      <c r="N163" s="26"/>
      <c r="O163" s="26"/>
      <c r="P163" s="26"/>
      <c r="Q163" s="26"/>
      <c r="R163" s="26"/>
    </row>
    <row r="164" spans="8:18">
      <c r="H164" s="26"/>
      <c r="K164" s="26"/>
      <c r="M164" s="26"/>
      <c r="N164" s="26"/>
      <c r="O164" s="26"/>
      <c r="P164" s="26"/>
      <c r="Q164" s="26"/>
      <c r="R164" s="26"/>
    </row>
    <row r="165" spans="8:18">
      <c r="H165" s="26"/>
      <c r="K165" s="26"/>
      <c r="M165" s="26"/>
      <c r="N165" s="26"/>
      <c r="O165" s="26"/>
      <c r="P165" s="26"/>
      <c r="Q165" s="26"/>
      <c r="R165" s="26"/>
    </row>
    <row r="166" spans="8:18">
      <c r="H166" s="26"/>
      <c r="K166" s="26"/>
      <c r="M166" s="26"/>
      <c r="N166" s="26"/>
      <c r="O166" s="26"/>
      <c r="P166" s="26"/>
      <c r="Q166" s="26"/>
      <c r="R166" s="26"/>
    </row>
    <row r="167" spans="8:18">
      <c r="H167" s="26"/>
      <c r="K167" s="26"/>
      <c r="M167" s="26"/>
      <c r="N167" s="26"/>
      <c r="O167" s="26"/>
      <c r="P167" s="26"/>
      <c r="Q167" s="26"/>
      <c r="R167" s="26"/>
    </row>
    <row r="168" spans="8:18">
      <c r="H168" s="26"/>
      <c r="K168" s="26"/>
      <c r="M168" s="26"/>
      <c r="N168" s="26"/>
      <c r="O168" s="26"/>
      <c r="P168" s="26"/>
      <c r="Q168" s="26"/>
      <c r="R168" s="26"/>
    </row>
    <row r="169" spans="8:18">
      <c r="H169" s="26"/>
      <c r="K169" s="26"/>
      <c r="M169" s="26"/>
      <c r="N169" s="26"/>
      <c r="O169" s="26"/>
      <c r="P169" s="26"/>
      <c r="Q169" s="26"/>
      <c r="R169" s="26"/>
    </row>
    <row r="170" spans="8:18">
      <c r="H170" s="26"/>
      <c r="K170" s="26"/>
      <c r="M170" s="26"/>
      <c r="N170" s="26"/>
      <c r="O170" s="26"/>
      <c r="P170" s="26"/>
      <c r="Q170" s="26"/>
      <c r="R170" s="26"/>
    </row>
    <row r="171" spans="8:18">
      <c r="H171" s="26"/>
      <c r="K171" s="26"/>
      <c r="M171" s="26"/>
      <c r="N171" s="26"/>
      <c r="O171" s="26"/>
      <c r="P171" s="26"/>
      <c r="Q171" s="26"/>
      <c r="R171" s="26"/>
    </row>
    <row r="172" spans="8:18">
      <c r="H172" s="26"/>
      <c r="K172" s="26"/>
      <c r="M172" s="26"/>
      <c r="N172" s="26"/>
      <c r="O172" s="26"/>
      <c r="P172" s="26"/>
      <c r="Q172" s="26"/>
      <c r="R172" s="26"/>
    </row>
    <row r="173" spans="8:18">
      <c r="H173" s="26"/>
      <c r="K173" s="26"/>
      <c r="M173" s="26"/>
      <c r="N173" s="26"/>
      <c r="O173" s="26"/>
      <c r="P173" s="26"/>
      <c r="Q173" s="26"/>
      <c r="R173" s="26"/>
    </row>
    <row r="174" spans="8:18">
      <c r="H174" s="26"/>
      <c r="K174" s="26"/>
      <c r="M174" s="26"/>
      <c r="N174" s="26"/>
      <c r="O174" s="26"/>
      <c r="P174" s="26"/>
      <c r="Q174" s="26"/>
      <c r="R174" s="26"/>
    </row>
    <row r="175" spans="8:18">
      <c r="H175" s="26"/>
      <c r="K175" s="26"/>
      <c r="M175" s="26"/>
      <c r="N175" s="26"/>
      <c r="O175" s="26"/>
      <c r="P175" s="26"/>
      <c r="Q175" s="26"/>
      <c r="R175" s="26"/>
    </row>
    <row r="176" spans="8:18">
      <c r="H176" s="26"/>
      <c r="K176" s="26"/>
      <c r="M176" s="26"/>
      <c r="N176" s="26"/>
      <c r="O176" s="26"/>
      <c r="P176" s="26"/>
      <c r="Q176" s="26"/>
      <c r="R176" s="26"/>
    </row>
    <row r="177" spans="8:18">
      <c r="H177" s="26"/>
      <c r="K177" s="26"/>
      <c r="M177" s="26"/>
      <c r="N177" s="26"/>
      <c r="O177" s="26"/>
      <c r="P177" s="26"/>
      <c r="Q177" s="26"/>
      <c r="R177" s="26"/>
    </row>
    <row r="178" spans="8:18">
      <c r="H178" s="26"/>
      <c r="K178" s="26"/>
      <c r="M178" s="26"/>
      <c r="N178" s="26"/>
      <c r="O178" s="26"/>
      <c r="P178" s="26"/>
      <c r="Q178" s="26"/>
      <c r="R178" s="26"/>
    </row>
    <row r="179" spans="8:18">
      <c r="H179" s="26"/>
      <c r="K179" s="26"/>
      <c r="M179" s="26"/>
      <c r="N179" s="26"/>
      <c r="O179" s="26"/>
      <c r="P179" s="26"/>
      <c r="Q179" s="26"/>
      <c r="R179" s="26"/>
    </row>
    <row r="180" spans="8:18">
      <c r="H180" s="26"/>
      <c r="K180" s="26"/>
      <c r="M180" s="26"/>
      <c r="N180" s="26"/>
      <c r="O180" s="26"/>
      <c r="P180" s="26"/>
      <c r="Q180" s="26"/>
      <c r="R180" s="26"/>
    </row>
    <row r="181" spans="8:18">
      <c r="H181" s="26"/>
      <c r="K181" s="26"/>
      <c r="M181" s="26"/>
      <c r="N181" s="26"/>
      <c r="O181" s="26"/>
      <c r="P181" s="26"/>
      <c r="Q181" s="26"/>
      <c r="R181" s="26"/>
    </row>
    <row r="182" spans="8:18">
      <c r="H182" s="26"/>
      <c r="K182" s="26"/>
      <c r="M182" s="26"/>
      <c r="N182" s="26"/>
      <c r="O182" s="26"/>
      <c r="P182" s="26"/>
      <c r="Q182" s="26"/>
      <c r="R182" s="26"/>
    </row>
    <row r="183" spans="8:18">
      <c r="H183" s="26"/>
      <c r="K183" s="26"/>
      <c r="M183" s="26"/>
      <c r="N183" s="26"/>
      <c r="O183" s="26"/>
      <c r="P183" s="26"/>
      <c r="Q183" s="26"/>
      <c r="R183" s="26"/>
    </row>
    <row r="184" spans="8:18">
      <c r="H184" s="26"/>
      <c r="K184" s="26"/>
      <c r="M184" s="26"/>
      <c r="N184" s="26"/>
      <c r="O184" s="26"/>
      <c r="P184" s="26"/>
      <c r="Q184" s="26"/>
      <c r="R184" s="26"/>
    </row>
    <row r="185" spans="8:18">
      <c r="H185" s="26"/>
      <c r="K185" s="26"/>
      <c r="M185" s="26"/>
      <c r="N185" s="26"/>
      <c r="O185" s="26"/>
      <c r="P185" s="26"/>
      <c r="Q185" s="26"/>
      <c r="R185" s="26"/>
    </row>
    <row r="186" spans="8:18">
      <c r="H186" s="26"/>
      <c r="K186" s="26"/>
      <c r="M186" s="26"/>
      <c r="N186" s="26"/>
      <c r="O186" s="26"/>
      <c r="P186" s="26"/>
      <c r="Q186" s="26"/>
      <c r="R186" s="26"/>
    </row>
    <row r="187" spans="8:18">
      <c r="H187" s="26"/>
      <c r="K187" s="26"/>
      <c r="M187" s="26"/>
      <c r="N187" s="26"/>
      <c r="O187" s="26"/>
      <c r="P187" s="26"/>
      <c r="Q187" s="26"/>
      <c r="R187" s="26"/>
    </row>
    <row r="188" spans="8:18">
      <c r="H188" s="26"/>
      <c r="K188" s="26"/>
      <c r="M188" s="26"/>
      <c r="N188" s="26"/>
      <c r="O188" s="26"/>
      <c r="P188" s="26"/>
      <c r="Q188" s="26"/>
      <c r="R188" s="26"/>
    </row>
    <row r="189" spans="8:18">
      <c r="H189" s="26"/>
      <c r="K189" s="26"/>
      <c r="M189" s="26"/>
      <c r="N189" s="26"/>
      <c r="O189" s="26"/>
      <c r="P189" s="26"/>
      <c r="Q189" s="26"/>
      <c r="R189" s="26"/>
    </row>
    <row r="190" spans="8:18">
      <c r="H190" s="26"/>
      <c r="K190" s="26"/>
      <c r="M190" s="26"/>
      <c r="N190" s="26"/>
      <c r="O190" s="26"/>
      <c r="P190" s="26"/>
      <c r="Q190" s="26"/>
      <c r="R190" s="26"/>
    </row>
    <row r="191" spans="8:18">
      <c r="H191" s="26"/>
      <c r="K191" s="26"/>
      <c r="M191" s="26"/>
      <c r="N191" s="26"/>
      <c r="O191" s="26"/>
      <c r="P191" s="26"/>
      <c r="Q191" s="26"/>
      <c r="R191" s="26"/>
    </row>
    <row r="192" spans="8:18">
      <c r="H192" s="26"/>
      <c r="K192" s="26"/>
      <c r="M192" s="26"/>
      <c r="N192" s="26"/>
      <c r="O192" s="26"/>
      <c r="P192" s="26"/>
      <c r="Q192" s="26"/>
      <c r="R192" s="26"/>
    </row>
    <row r="193" spans="8:18">
      <c r="H193" s="26"/>
      <c r="K193" s="26"/>
      <c r="M193" s="26"/>
      <c r="N193" s="26"/>
      <c r="O193" s="26"/>
      <c r="P193" s="26"/>
      <c r="Q193" s="26"/>
      <c r="R193" s="26"/>
    </row>
    <row r="194" spans="8:18">
      <c r="H194" s="26"/>
      <c r="K194" s="26"/>
      <c r="M194" s="26"/>
      <c r="N194" s="26"/>
      <c r="O194" s="26"/>
      <c r="P194" s="26"/>
      <c r="Q194" s="26"/>
      <c r="R194" s="26"/>
    </row>
    <row r="195" spans="8:18">
      <c r="H195" s="26"/>
      <c r="K195" s="26"/>
      <c r="M195" s="26"/>
      <c r="N195" s="26"/>
      <c r="O195" s="26"/>
      <c r="P195" s="26"/>
      <c r="Q195" s="26"/>
      <c r="R195" s="26"/>
    </row>
    <row r="196" spans="8:18">
      <c r="H196" s="26"/>
      <c r="K196" s="26"/>
      <c r="M196" s="26"/>
      <c r="N196" s="26"/>
      <c r="O196" s="26"/>
      <c r="P196" s="26"/>
      <c r="Q196" s="26"/>
      <c r="R196" s="26"/>
    </row>
    <row r="197" spans="8:18">
      <c r="H197" s="26"/>
      <c r="K197" s="26"/>
      <c r="M197" s="26"/>
      <c r="N197" s="26"/>
      <c r="O197" s="26"/>
      <c r="P197" s="26"/>
      <c r="Q197" s="26"/>
      <c r="R197" s="26"/>
    </row>
    <row r="198" spans="8:18">
      <c r="H198" s="26"/>
      <c r="K198" s="26"/>
      <c r="M198" s="26"/>
      <c r="N198" s="26"/>
      <c r="O198" s="26"/>
      <c r="P198" s="26"/>
      <c r="Q198" s="26"/>
      <c r="R198" s="26"/>
    </row>
    <row r="199" spans="8:18">
      <c r="H199" s="26"/>
      <c r="K199" s="26"/>
      <c r="M199" s="26"/>
      <c r="N199" s="26"/>
      <c r="O199" s="26"/>
      <c r="P199" s="26"/>
      <c r="Q199" s="26"/>
      <c r="R199" s="26"/>
    </row>
    <row r="200" spans="8:18">
      <c r="H200" s="26"/>
      <c r="K200" s="26"/>
      <c r="M200" s="26"/>
      <c r="N200" s="26"/>
      <c r="O200" s="26"/>
      <c r="P200" s="26"/>
      <c r="Q200" s="26"/>
      <c r="R200" s="26"/>
    </row>
    <row r="201" spans="8:18">
      <c r="H201" s="26"/>
      <c r="K201" s="26"/>
      <c r="M201" s="26"/>
      <c r="N201" s="26"/>
      <c r="O201" s="26"/>
      <c r="P201" s="26"/>
      <c r="Q201" s="26"/>
      <c r="R201" s="26"/>
    </row>
    <row r="202" spans="8:18">
      <c r="H202" s="26"/>
      <c r="K202" s="26"/>
      <c r="M202" s="26"/>
      <c r="N202" s="26"/>
      <c r="O202" s="26"/>
      <c r="P202" s="26"/>
      <c r="Q202" s="26"/>
      <c r="R202" s="26"/>
    </row>
    <row r="203" spans="8:18">
      <c r="H203" s="26"/>
      <c r="K203" s="26"/>
      <c r="M203" s="26"/>
      <c r="N203" s="26"/>
      <c r="O203" s="26"/>
      <c r="P203" s="26"/>
      <c r="Q203" s="26"/>
      <c r="R203" s="26"/>
    </row>
    <row r="204" spans="8:18">
      <c r="H204" s="26"/>
      <c r="K204" s="26"/>
      <c r="M204" s="26"/>
      <c r="N204" s="26"/>
      <c r="O204" s="26"/>
      <c r="P204" s="26"/>
      <c r="Q204" s="26"/>
      <c r="R204" s="26"/>
    </row>
    <row r="205" spans="8:18">
      <c r="H205" s="26"/>
      <c r="K205" s="26"/>
      <c r="M205" s="26"/>
      <c r="N205" s="26"/>
      <c r="O205" s="26"/>
      <c r="P205" s="26"/>
      <c r="Q205" s="26"/>
      <c r="R205" s="26"/>
    </row>
    <row r="206" spans="8:18">
      <c r="H206" s="26"/>
      <c r="K206" s="26"/>
      <c r="M206" s="26"/>
      <c r="N206" s="26"/>
      <c r="O206" s="26"/>
      <c r="P206" s="26"/>
      <c r="Q206" s="26"/>
      <c r="R206" s="26"/>
    </row>
    <row r="207" spans="8:18">
      <c r="H207" s="26"/>
      <c r="K207" s="26"/>
      <c r="M207" s="26"/>
      <c r="N207" s="26"/>
      <c r="O207" s="26"/>
      <c r="P207" s="26"/>
      <c r="Q207" s="26"/>
      <c r="R207" s="26"/>
    </row>
    <row r="208" spans="8:18">
      <c r="H208" s="26"/>
      <c r="K208" s="26"/>
      <c r="M208" s="26"/>
      <c r="N208" s="26"/>
      <c r="O208" s="26"/>
      <c r="P208" s="26"/>
      <c r="Q208" s="26"/>
      <c r="R208" s="26"/>
    </row>
    <row r="209" spans="8:18">
      <c r="H209" s="26"/>
      <c r="K209" s="26"/>
      <c r="M209" s="26"/>
      <c r="N209" s="26"/>
      <c r="O209" s="26"/>
      <c r="P209" s="26"/>
      <c r="Q209" s="26"/>
      <c r="R209" s="26"/>
    </row>
    <row r="210" spans="8:18">
      <c r="H210" s="26"/>
      <c r="K210" s="26"/>
      <c r="M210" s="26"/>
      <c r="N210" s="26"/>
      <c r="O210" s="26"/>
      <c r="P210" s="26"/>
      <c r="Q210" s="26"/>
      <c r="R210" s="26"/>
    </row>
    <row r="211" spans="8:18">
      <c r="H211" s="26"/>
      <c r="K211" s="26"/>
      <c r="M211" s="26"/>
      <c r="N211" s="26"/>
      <c r="O211" s="26"/>
      <c r="P211" s="26"/>
      <c r="Q211" s="26"/>
      <c r="R211" s="26"/>
    </row>
    <row r="212" spans="8:18">
      <c r="H212" s="26"/>
      <c r="K212" s="26"/>
      <c r="M212" s="26"/>
      <c r="N212" s="26"/>
      <c r="O212" s="26"/>
      <c r="P212" s="26"/>
      <c r="Q212" s="26"/>
      <c r="R212" s="26"/>
    </row>
    <row r="213" spans="8:18">
      <c r="H213" s="26"/>
      <c r="K213" s="26"/>
      <c r="M213" s="26"/>
      <c r="N213" s="26"/>
      <c r="O213" s="26"/>
      <c r="P213" s="26"/>
      <c r="Q213" s="26"/>
      <c r="R213" s="26"/>
    </row>
    <row r="214" spans="8:18">
      <c r="H214" s="26"/>
      <c r="K214" s="26"/>
      <c r="M214" s="26"/>
      <c r="N214" s="26"/>
      <c r="O214" s="26"/>
      <c r="P214" s="26"/>
      <c r="Q214" s="26"/>
      <c r="R214" s="26"/>
    </row>
    <row r="215" spans="8:18">
      <c r="H215" s="26"/>
      <c r="K215" s="26"/>
      <c r="M215" s="26"/>
      <c r="N215" s="26"/>
      <c r="O215" s="26"/>
      <c r="P215" s="26"/>
      <c r="Q215" s="26"/>
      <c r="R215" s="26"/>
    </row>
    <row r="216" spans="8:18">
      <c r="H216" s="26"/>
      <c r="K216" s="26"/>
      <c r="M216" s="26"/>
      <c r="N216" s="26"/>
      <c r="O216" s="26"/>
      <c r="P216" s="26"/>
      <c r="Q216" s="26"/>
      <c r="R216" s="26"/>
    </row>
    <row r="217" spans="8:18">
      <c r="H217" s="26"/>
      <c r="K217" s="26"/>
      <c r="M217" s="26"/>
      <c r="N217" s="26"/>
      <c r="O217" s="26"/>
      <c r="P217" s="26"/>
      <c r="Q217" s="26"/>
      <c r="R217" s="26"/>
    </row>
    <row r="218" spans="8:18">
      <c r="H218" s="26"/>
      <c r="K218" s="26"/>
      <c r="M218" s="26"/>
      <c r="N218" s="26"/>
      <c r="O218" s="26"/>
      <c r="P218" s="26"/>
      <c r="Q218" s="26"/>
      <c r="R218" s="26"/>
    </row>
    <row r="219" spans="8:18">
      <c r="H219" s="26"/>
      <c r="K219" s="26"/>
      <c r="M219" s="26"/>
      <c r="N219" s="26"/>
      <c r="O219" s="26"/>
      <c r="P219" s="26"/>
      <c r="Q219" s="26"/>
      <c r="R219" s="26"/>
    </row>
    <row r="220" spans="8:18">
      <c r="H220" s="26"/>
      <c r="K220" s="26"/>
      <c r="M220" s="26"/>
      <c r="N220" s="26"/>
      <c r="O220" s="26"/>
      <c r="P220" s="26"/>
      <c r="Q220" s="26"/>
      <c r="R220" s="26"/>
    </row>
    <row r="221" spans="8:18">
      <c r="H221" s="26"/>
      <c r="K221" s="26"/>
      <c r="M221" s="26"/>
      <c r="N221" s="26"/>
      <c r="O221" s="26"/>
      <c r="P221" s="26"/>
      <c r="Q221" s="26"/>
      <c r="R221" s="26"/>
    </row>
    <row r="222" spans="8:18">
      <c r="H222" s="26"/>
      <c r="K222" s="26"/>
      <c r="M222" s="26"/>
      <c r="N222" s="26"/>
      <c r="O222" s="26"/>
      <c r="P222" s="26"/>
      <c r="Q222" s="26"/>
      <c r="R222" s="26"/>
    </row>
    <row r="223" spans="8:18">
      <c r="H223" s="26"/>
      <c r="K223" s="26"/>
      <c r="M223" s="26"/>
      <c r="N223" s="26"/>
      <c r="O223" s="26"/>
      <c r="P223" s="26"/>
      <c r="Q223" s="26"/>
      <c r="R223" s="26"/>
    </row>
    <row r="224" spans="8:18">
      <c r="H224" s="26"/>
      <c r="K224" s="26"/>
      <c r="M224" s="26"/>
      <c r="N224" s="26"/>
      <c r="O224" s="26"/>
      <c r="P224" s="26"/>
      <c r="Q224" s="26"/>
      <c r="R224" s="26"/>
    </row>
    <row r="225" spans="8:18">
      <c r="H225" s="26"/>
      <c r="K225" s="26"/>
      <c r="M225" s="26"/>
      <c r="N225" s="26"/>
      <c r="O225" s="26"/>
      <c r="P225" s="26"/>
      <c r="Q225" s="26"/>
      <c r="R225" s="26"/>
    </row>
    <row r="226" spans="8:18">
      <c r="H226" s="26"/>
      <c r="K226" s="26"/>
      <c r="M226" s="26"/>
      <c r="N226" s="26"/>
      <c r="O226" s="26"/>
      <c r="P226" s="26"/>
      <c r="Q226" s="26"/>
      <c r="R226" s="26"/>
    </row>
    <row r="227" spans="8:18">
      <c r="H227" s="26"/>
      <c r="K227" s="26"/>
      <c r="M227" s="26"/>
      <c r="N227" s="26"/>
      <c r="O227" s="26"/>
      <c r="P227" s="26"/>
      <c r="Q227" s="26"/>
      <c r="R227" s="26"/>
    </row>
    <row r="228" spans="8:18">
      <c r="H228" s="26"/>
      <c r="K228" s="26"/>
      <c r="M228" s="26"/>
      <c r="N228" s="26"/>
      <c r="O228" s="26"/>
      <c r="P228" s="26"/>
      <c r="Q228" s="26"/>
      <c r="R228" s="26"/>
    </row>
    <row r="229" spans="8:18">
      <c r="H229" s="26"/>
      <c r="K229" s="26"/>
      <c r="M229" s="26"/>
      <c r="N229" s="26"/>
      <c r="O229" s="26"/>
      <c r="P229" s="26"/>
      <c r="Q229" s="26"/>
      <c r="R229" s="26"/>
    </row>
    <row r="230" spans="8:18">
      <c r="H230" s="26"/>
      <c r="K230" s="26"/>
      <c r="M230" s="26"/>
      <c r="N230" s="26"/>
      <c r="O230" s="26"/>
      <c r="P230" s="26"/>
      <c r="Q230" s="26"/>
      <c r="R230" s="26"/>
    </row>
    <row r="231" spans="8:18">
      <c r="H231" s="26"/>
      <c r="K231" s="26"/>
      <c r="M231" s="26"/>
      <c r="N231" s="26"/>
      <c r="O231" s="26"/>
      <c r="P231" s="26"/>
      <c r="Q231" s="26"/>
      <c r="R231" s="26"/>
    </row>
    <row r="232" spans="8:18">
      <c r="H232" s="26"/>
      <c r="K232" s="26"/>
      <c r="M232" s="26"/>
      <c r="N232" s="26"/>
      <c r="O232" s="26"/>
      <c r="P232" s="26"/>
      <c r="Q232" s="26"/>
      <c r="R232" s="26"/>
    </row>
    <row r="233" spans="8:18">
      <c r="H233" s="26"/>
      <c r="K233" s="26"/>
      <c r="M233" s="26"/>
      <c r="N233" s="26"/>
      <c r="O233" s="26"/>
      <c r="P233" s="26"/>
      <c r="Q233" s="26"/>
      <c r="R233" s="26"/>
    </row>
    <row r="234" spans="8:18">
      <c r="H234" s="26"/>
      <c r="K234" s="26"/>
      <c r="M234" s="26"/>
      <c r="N234" s="26"/>
      <c r="O234" s="26"/>
      <c r="P234" s="26"/>
      <c r="Q234" s="26"/>
      <c r="R234" s="26"/>
    </row>
    <row r="235" spans="8:18">
      <c r="H235" s="26"/>
      <c r="K235" s="26"/>
      <c r="M235" s="26"/>
      <c r="N235" s="26"/>
      <c r="O235" s="26"/>
      <c r="P235" s="26"/>
      <c r="Q235" s="26"/>
      <c r="R235" s="26"/>
    </row>
    <row r="236" spans="8:18">
      <c r="H236" s="26"/>
      <c r="K236" s="26"/>
      <c r="M236" s="26"/>
      <c r="N236" s="26"/>
      <c r="O236" s="26"/>
      <c r="P236" s="26"/>
      <c r="Q236" s="26"/>
      <c r="R236" s="26"/>
    </row>
    <row r="237" spans="8:18">
      <c r="H237" s="26"/>
      <c r="K237" s="26"/>
      <c r="M237" s="26"/>
      <c r="N237" s="26"/>
      <c r="O237" s="26"/>
      <c r="P237" s="26"/>
      <c r="Q237" s="26"/>
      <c r="R237" s="26"/>
    </row>
    <row r="238" spans="8:18">
      <c r="H238" s="26"/>
      <c r="K238" s="26"/>
      <c r="M238" s="26"/>
      <c r="N238" s="26"/>
      <c r="O238" s="26"/>
      <c r="P238" s="26"/>
      <c r="Q238" s="26"/>
      <c r="R238" s="26"/>
    </row>
    <row r="239" spans="8:18">
      <c r="H239" s="26"/>
      <c r="K239" s="26"/>
      <c r="M239" s="26"/>
      <c r="N239" s="26"/>
      <c r="O239" s="26"/>
      <c r="P239" s="26"/>
      <c r="Q239" s="26"/>
      <c r="R239" s="26"/>
    </row>
    <row r="240" spans="8:18">
      <c r="H240" s="26"/>
      <c r="K240" s="26"/>
      <c r="M240" s="26"/>
      <c r="N240" s="26"/>
      <c r="O240" s="26"/>
      <c r="P240" s="26"/>
      <c r="Q240" s="26"/>
      <c r="R240" s="26"/>
    </row>
    <row r="241" spans="8:18">
      <c r="H241" s="26"/>
      <c r="K241" s="26"/>
      <c r="M241" s="26"/>
      <c r="N241" s="26"/>
      <c r="O241" s="26"/>
      <c r="P241" s="26"/>
      <c r="Q241" s="26"/>
      <c r="R241" s="26"/>
    </row>
    <row r="242" spans="8:18">
      <c r="H242" s="26"/>
      <c r="K242" s="26"/>
      <c r="M242" s="26"/>
      <c r="N242" s="26"/>
      <c r="O242" s="26"/>
      <c r="P242" s="26"/>
      <c r="Q242" s="26"/>
      <c r="R242" s="26"/>
    </row>
    <row r="243" spans="8:18">
      <c r="H243" s="26"/>
      <c r="K243" s="26"/>
      <c r="M243" s="26"/>
      <c r="N243" s="26"/>
      <c r="O243" s="26"/>
      <c r="P243" s="26"/>
      <c r="Q243" s="26"/>
      <c r="R243" s="26"/>
    </row>
    <row r="244" spans="8:18">
      <c r="H244" s="26"/>
      <c r="K244" s="26"/>
      <c r="M244" s="26"/>
      <c r="N244" s="26"/>
      <c r="O244" s="26"/>
      <c r="P244" s="26"/>
      <c r="Q244" s="26"/>
      <c r="R244" s="26"/>
    </row>
    <row r="245" spans="8:18">
      <c r="H245" s="26"/>
      <c r="K245" s="26"/>
      <c r="M245" s="26"/>
      <c r="N245" s="26"/>
      <c r="O245" s="26"/>
      <c r="P245" s="26"/>
      <c r="Q245" s="26"/>
      <c r="R245" s="26"/>
    </row>
    <row r="246" spans="8:18">
      <c r="H246" s="26"/>
      <c r="K246" s="26"/>
      <c r="M246" s="26"/>
      <c r="N246" s="26"/>
      <c r="O246" s="26"/>
      <c r="P246" s="26"/>
      <c r="Q246" s="26"/>
      <c r="R246" s="26"/>
    </row>
    <row r="247" spans="8:18">
      <c r="H247" s="26"/>
      <c r="K247" s="26"/>
      <c r="M247" s="26"/>
      <c r="N247" s="26"/>
      <c r="O247" s="26"/>
      <c r="P247" s="26"/>
      <c r="Q247" s="26"/>
      <c r="R247" s="26"/>
    </row>
    <row r="248" spans="8:18">
      <c r="H248" s="26"/>
      <c r="K248" s="26"/>
      <c r="M248" s="26"/>
      <c r="N248" s="26"/>
      <c r="O248" s="26"/>
      <c r="P248" s="26"/>
      <c r="Q248" s="26"/>
      <c r="R248" s="26"/>
    </row>
    <row r="249" spans="8:18">
      <c r="H249" s="26"/>
      <c r="K249" s="26"/>
      <c r="M249" s="26"/>
      <c r="N249" s="26"/>
      <c r="O249" s="26"/>
      <c r="P249" s="26"/>
      <c r="Q249" s="26"/>
      <c r="R249" s="26"/>
    </row>
    <row r="250" spans="8:18">
      <c r="H250" s="26"/>
      <c r="K250" s="26"/>
      <c r="M250" s="26"/>
      <c r="N250" s="26"/>
      <c r="O250" s="26"/>
      <c r="P250" s="26"/>
      <c r="Q250" s="26"/>
      <c r="R250" s="26"/>
    </row>
    <row r="251" spans="8:18">
      <c r="H251" s="26"/>
      <c r="K251" s="26"/>
      <c r="M251" s="26"/>
      <c r="N251" s="26"/>
      <c r="O251" s="26"/>
      <c r="P251" s="26"/>
      <c r="Q251" s="26"/>
      <c r="R251" s="26"/>
    </row>
    <row r="252" spans="8:18">
      <c r="H252" s="26"/>
      <c r="K252" s="26"/>
      <c r="M252" s="26"/>
      <c r="N252" s="26"/>
      <c r="O252" s="26"/>
      <c r="P252" s="26"/>
      <c r="Q252" s="26"/>
      <c r="R252" s="26"/>
    </row>
    <row r="253" spans="8:18">
      <c r="H253" s="26"/>
      <c r="K253" s="26"/>
      <c r="M253" s="26"/>
      <c r="N253" s="26"/>
      <c r="O253" s="26"/>
      <c r="P253" s="26"/>
      <c r="Q253" s="26"/>
      <c r="R253" s="26"/>
    </row>
    <row r="254" spans="8:18">
      <c r="H254" s="26"/>
      <c r="K254" s="26"/>
      <c r="M254" s="26"/>
      <c r="N254" s="26"/>
      <c r="O254" s="26"/>
      <c r="P254" s="26"/>
      <c r="Q254" s="26"/>
      <c r="R254" s="26"/>
    </row>
    <row r="255" spans="8:18">
      <c r="H255" s="26"/>
      <c r="K255" s="26"/>
      <c r="M255" s="26"/>
      <c r="N255" s="26"/>
      <c r="O255" s="26"/>
      <c r="P255" s="26"/>
      <c r="Q255" s="26"/>
      <c r="R255" s="26"/>
    </row>
    <row r="256" spans="8:18">
      <c r="H256" s="26"/>
      <c r="K256" s="26"/>
      <c r="M256" s="26"/>
      <c r="N256" s="26"/>
      <c r="O256" s="26"/>
      <c r="P256" s="26"/>
      <c r="Q256" s="26"/>
      <c r="R256" s="26"/>
    </row>
    <row r="257" spans="8:18">
      <c r="H257" s="26"/>
      <c r="K257" s="26"/>
      <c r="M257" s="26"/>
      <c r="N257" s="26"/>
      <c r="O257" s="26"/>
      <c r="P257" s="26"/>
      <c r="Q257" s="26"/>
      <c r="R257" s="26"/>
    </row>
    <row r="258" spans="8:18">
      <c r="H258" s="26"/>
      <c r="K258" s="26"/>
      <c r="M258" s="26"/>
      <c r="N258" s="26"/>
      <c r="O258" s="26"/>
      <c r="P258" s="26"/>
      <c r="Q258" s="26"/>
      <c r="R258" s="26"/>
    </row>
    <row r="259" spans="8:18">
      <c r="H259" s="26"/>
      <c r="K259" s="26"/>
      <c r="M259" s="26"/>
      <c r="N259" s="26"/>
      <c r="O259" s="26"/>
      <c r="P259" s="26"/>
      <c r="Q259" s="26"/>
      <c r="R259" s="26"/>
    </row>
    <row r="260" spans="8:18">
      <c r="H260" s="26"/>
      <c r="K260" s="26"/>
      <c r="M260" s="26"/>
      <c r="N260" s="26"/>
      <c r="O260" s="26"/>
      <c r="P260" s="26"/>
      <c r="Q260" s="26"/>
      <c r="R260" s="26"/>
    </row>
    <row r="261" spans="8:18">
      <c r="H261" s="26"/>
      <c r="K261" s="26"/>
      <c r="M261" s="26"/>
      <c r="N261" s="26"/>
      <c r="O261" s="26"/>
      <c r="P261" s="26"/>
      <c r="Q261" s="26"/>
      <c r="R261" s="26"/>
    </row>
    <row r="262" spans="8:18">
      <c r="H262" s="26"/>
      <c r="K262" s="26"/>
      <c r="M262" s="26"/>
      <c r="N262" s="26"/>
      <c r="O262" s="26"/>
      <c r="P262" s="26"/>
      <c r="Q262" s="26"/>
      <c r="R262" s="26"/>
    </row>
    <row r="263" spans="8:18">
      <c r="H263" s="26"/>
      <c r="K263" s="26"/>
      <c r="M263" s="26"/>
      <c r="N263" s="26"/>
      <c r="O263" s="26"/>
      <c r="P263" s="26"/>
      <c r="Q263" s="26"/>
      <c r="R263" s="26"/>
    </row>
    <row r="264" spans="8:18">
      <c r="H264" s="26"/>
      <c r="K264" s="26"/>
      <c r="M264" s="26"/>
      <c r="N264" s="26"/>
      <c r="O264" s="26"/>
      <c r="P264" s="26"/>
      <c r="Q264" s="26"/>
      <c r="R264" s="26"/>
    </row>
    <row r="265" spans="8:18">
      <c r="H265" s="26"/>
      <c r="K265" s="26"/>
      <c r="M265" s="26"/>
      <c r="N265" s="26"/>
      <c r="O265" s="26"/>
      <c r="P265" s="26"/>
      <c r="Q265" s="26"/>
      <c r="R265" s="26"/>
    </row>
    <row r="266" spans="8:18">
      <c r="H266" s="26"/>
      <c r="K266" s="26"/>
      <c r="M266" s="26"/>
      <c r="N266" s="26"/>
      <c r="O266" s="26"/>
      <c r="P266" s="26"/>
      <c r="Q266" s="26"/>
      <c r="R266" s="26"/>
    </row>
    <row r="267" spans="8:18">
      <c r="H267" s="26"/>
      <c r="K267" s="26"/>
      <c r="M267" s="26"/>
      <c r="N267" s="26"/>
      <c r="O267" s="26"/>
      <c r="P267" s="26"/>
      <c r="Q267" s="26"/>
      <c r="R267" s="26"/>
    </row>
    <row r="268" spans="8:18">
      <c r="H268" s="26"/>
      <c r="K268" s="26"/>
      <c r="M268" s="26"/>
      <c r="N268" s="26"/>
      <c r="O268" s="26"/>
      <c r="P268" s="26"/>
      <c r="Q268" s="26"/>
      <c r="R268" s="26"/>
    </row>
    <row r="269" spans="8:18">
      <c r="H269" s="26"/>
      <c r="K269" s="26"/>
      <c r="M269" s="26"/>
      <c r="N269" s="26"/>
      <c r="O269" s="26"/>
      <c r="P269" s="26"/>
      <c r="Q269" s="26"/>
      <c r="R269" s="26"/>
    </row>
    <row r="270" spans="8:18">
      <c r="H270" s="26"/>
      <c r="K270" s="26"/>
      <c r="M270" s="26"/>
      <c r="N270" s="26"/>
      <c r="O270" s="26"/>
      <c r="P270" s="26"/>
      <c r="Q270" s="26"/>
      <c r="R270" s="26"/>
    </row>
    <row r="271" spans="8:18">
      <c r="H271" s="26"/>
      <c r="K271" s="26"/>
      <c r="M271" s="26"/>
      <c r="N271" s="26"/>
      <c r="O271" s="26"/>
      <c r="P271" s="26"/>
      <c r="Q271" s="26"/>
      <c r="R271" s="26"/>
    </row>
    <row r="272" spans="8:18">
      <c r="H272" s="26"/>
      <c r="K272" s="26"/>
      <c r="M272" s="26"/>
      <c r="N272" s="26"/>
      <c r="O272" s="26"/>
      <c r="P272" s="26"/>
      <c r="Q272" s="26"/>
      <c r="R272" s="26"/>
    </row>
    <row r="273" spans="8:18">
      <c r="H273" s="26"/>
      <c r="K273" s="26"/>
      <c r="M273" s="26"/>
      <c r="N273" s="26"/>
      <c r="O273" s="26"/>
      <c r="P273" s="26"/>
      <c r="Q273" s="26"/>
      <c r="R273" s="26"/>
    </row>
    <row r="274" spans="8:18">
      <c r="H274" s="26"/>
      <c r="K274" s="26"/>
      <c r="M274" s="26"/>
      <c r="N274" s="26"/>
      <c r="O274" s="26"/>
      <c r="P274" s="26"/>
      <c r="Q274" s="26"/>
      <c r="R274" s="26"/>
    </row>
    <row r="275" spans="8:18">
      <c r="H275" s="26"/>
      <c r="K275" s="26"/>
      <c r="M275" s="26"/>
      <c r="N275" s="26"/>
      <c r="O275" s="26"/>
      <c r="P275" s="26"/>
      <c r="Q275" s="26"/>
      <c r="R275" s="26"/>
    </row>
    <row r="276" spans="8:18">
      <c r="H276" s="26"/>
      <c r="K276" s="26"/>
      <c r="M276" s="26"/>
      <c r="N276" s="26"/>
      <c r="O276" s="26"/>
      <c r="P276" s="26"/>
      <c r="Q276" s="26"/>
      <c r="R276" s="26"/>
    </row>
    <row r="277" spans="8:18">
      <c r="H277" s="26"/>
      <c r="K277" s="26"/>
      <c r="M277" s="26"/>
      <c r="N277" s="26"/>
      <c r="O277" s="26"/>
      <c r="P277" s="26"/>
      <c r="Q277" s="26"/>
      <c r="R277" s="26"/>
    </row>
    <row r="278" spans="8:18">
      <c r="H278" s="26"/>
      <c r="K278" s="26"/>
      <c r="M278" s="26"/>
      <c r="N278" s="26"/>
      <c r="O278" s="26"/>
      <c r="P278" s="26"/>
      <c r="Q278" s="26"/>
      <c r="R278" s="26"/>
    </row>
    <row r="279" spans="8:18">
      <c r="H279" s="26"/>
      <c r="K279" s="26"/>
      <c r="M279" s="26"/>
      <c r="N279" s="26"/>
      <c r="O279" s="26"/>
      <c r="P279" s="26"/>
      <c r="Q279" s="26"/>
      <c r="R279" s="26"/>
    </row>
    <row r="280" spans="8:18">
      <c r="H280" s="26"/>
      <c r="K280" s="26"/>
      <c r="M280" s="26"/>
      <c r="N280" s="26"/>
      <c r="O280" s="26"/>
      <c r="P280" s="26"/>
      <c r="Q280" s="26"/>
      <c r="R280" s="26"/>
    </row>
    <row r="281" spans="8:18">
      <c r="H281" s="26"/>
      <c r="K281" s="26"/>
      <c r="M281" s="26"/>
      <c r="N281" s="26"/>
      <c r="O281" s="26"/>
      <c r="P281" s="26"/>
      <c r="Q281" s="26"/>
      <c r="R281" s="26"/>
    </row>
    <row r="282" spans="8:18">
      <c r="H282" s="26"/>
      <c r="K282" s="26"/>
      <c r="M282" s="26"/>
      <c r="N282" s="26"/>
      <c r="O282" s="26"/>
      <c r="P282" s="26"/>
      <c r="Q282" s="26"/>
      <c r="R282" s="26"/>
    </row>
    <row r="283" spans="8:18">
      <c r="H283" s="26"/>
      <c r="K283" s="26"/>
      <c r="M283" s="26"/>
      <c r="N283" s="26"/>
      <c r="O283" s="26"/>
      <c r="P283" s="26"/>
      <c r="Q283" s="26"/>
      <c r="R283" s="26"/>
    </row>
    <row r="284" spans="8:18">
      <c r="H284" s="26"/>
      <c r="K284" s="26"/>
      <c r="M284" s="26"/>
      <c r="N284" s="26"/>
      <c r="O284" s="26"/>
      <c r="P284" s="26"/>
      <c r="Q284" s="26"/>
      <c r="R284" s="26"/>
    </row>
    <row r="285" spans="8:18">
      <c r="H285" s="26"/>
      <c r="K285" s="26"/>
      <c r="M285" s="26"/>
      <c r="N285" s="26"/>
      <c r="O285" s="26"/>
      <c r="P285" s="26"/>
      <c r="Q285" s="26"/>
      <c r="R285" s="26"/>
    </row>
    <row r="286" spans="8:18">
      <c r="H286" s="26"/>
      <c r="K286" s="26"/>
      <c r="M286" s="26"/>
      <c r="N286" s="26"/>
      <c r="O286" s="26"/>
      <c r="P286" s="26"/>
      <c r="Q286" s="26"/>
      <c r="R286" s="26"/>
    </row>
    <row r="287" spans="8:18">
      <c r="H287" s="26"/>
      <c r="K287" s="26"/>
      <c r="M287" s="26"/>
      <c r="N287" s="26"/>
      <c r="O287" s="26"/>
      <c r="P287" s="26"/>
      <c r="Q287" s="26"/>
      <c r="R287" s="26"/>
    </row>
    <row r="288" spans="8:18">
      <c r="H288" s="26"/>
      <c r="K288" s="26"/>
      <c r="M288" s="26"/>
      <c r="N288" s="26"/>
      <c r="O288" s="26"/>
      <c r="P288" s="26"/>
      <c r="Q288" s="26"/>
      <c r="R288" s="26"/>
    </row>
    <row r="289" spans="8:18">
      <c r="H289" s="26"/>
      <c r="K289" s="26"/>
      <c r="M289" s="26"/>
      <c r="N289" s="26"/>
      <c r="O289" s="26"/>
      <c r="P289" s="26"/>
      <c r="Q289" s="26"/>
      <c r="R289" s="26"/>
    </row>
    <row r="290" spans="8:18">
      <c r="H290" s="26"/>
      <c r="K290" s="26"/>
      <c r="M290" s="26"/>
      <c r="N290" s="26"/>
      <c r="O290" s="26"/>
      <c r="P290" s="26"/>
      <c r="Q290" s="26"/>
      <c r="R290" s="26"/>
    </row>
    <row r="291" spans="8:18">
      <c r="H291" s="26"/>
      <c r="K291" s="26"/>
      <c r="M291" s="26"/>
      <c r="N291" s="26"/>
      <c r="O291" s="26"/>
      <c r="P291" s="26"/>
      <c r="Q291" s="26"/>
      <c r="R291" s="26"/>
    </row>
    <row r="292" spans="8:18">
      <c r="H292" s="26"/>
      <c r="K292" s="26"/>
      <c r="M292" s="26"/>
      <c r="N292" s="26"/>
      <c r="O292" s="26"/>
      <c r="P292" s="26"/>
      <c r="Q292" s="26"/>
      <c r="R292" s="26"/>
    </row>
    <row r="293" spans="8:18">
      <c r="H293" s="26"/>
      <c r="K293" s="26"/>
      <c r="M293" s="26"/>
      <c r="N293" s="26"/>
      <c r="O293" s="26"/>
      <c r="P293" s="26"/>
      <c r="Q293" s="26"/>
      <c r="R293" s="26"/>
    </row>
    <row r="294" spans="8:18">
      <c r="H294" s="26"/>
      <c r="K294" s="26"/>
      <c r="M294" s="26"/>
      <c r="N294" s="26"/>
      <c r="O294" s="26"/>
      <c r="P294" s="26"/>
      <c r="Q294" s="26"/>
      <c r="R294" s="26"/>
    </row>
    <row r="295" spans="8:18">
      <c r="H295" s="26"/>
      <c r="K295" s="26"/>
      <c r="M295" s="26"/>
      <c r="N295" s="26"/>
      <c r="O295" s="26"/>
      <c r="P295" s="26"/>
      <c r="Q295" s="26"/>
      <c r="R295" s="26"/>
    </row>
    <row r="296" spans="8:18">
      <c r="H296" s="26"/>
      <c r="K296" s="26"/>
      <c r="M296" s="26"/>
      <c r="N296" s="26"/>
      <c r="O296" s="26"/>
      <c r="P296" s="26"/>
      <c r="Q296" s="26"/>
      <c r="R296" s="26"/>
    </row>
    <row r="297" spans="8:18">
      <c r="H297" s="26"/>
      <c r="K297" s="26"/>
      <c r="M297" s="26"/>
      <c r="N297" s="26"/>
      <c r="O297" s="26"/>
      <c r="P297" s="26"/>
      <c r="Q297" s="26"/>
      <c r="R297" s="26"/>
    </row>
    <row r="298" spans="8:18">
      <c r="H298" s="26"/>
      <c r="K298" s="26"/>
      <c r="M298" s="26"/>
      <c r="N298" s="26"/>
      <c r="O298" s="26"/>
      <c r="P298" s="26"/>
      <c r="Q298" s="26"/>
      <c r="R298" s="26"/>
    </row>
    <row r="299" spans="8:18">
      <c r="H299" s="26"/>
      <c r="K299" s="26"/>
      <c r="M299" s="26"/>
      <c r="N299" s="26"/>
      <c r="O299" s="26"/>
      <c r="P299" s="26"/>
      <c r="Q299" s="26"/>
      <c r="R299" s="26"/>
    </row>
    <row r="300" spans="8:18">
      <c r="H300" s="26"/>
      <c r="K300" s="26"/>
      <c r="M300" s="26"/>
      <c r="N300" s="26"/>
      <c r="O300" s="26"/>
      <c r="P300" s="26"/>
      <c r="Q300" s="26"/>
      <c r="R300" s="26"/>
    </row>
    <row r="301" spans="8:18">
      <c r="H301" s="26"/>
      <c r="K301" s="26"/>
      <c r="M301" s="26"/>
      <c r="N301" s="26"/>
      <c r="O301" s="26"/>
      <c r="P301" s="26"/>
      <c r="Q301" s="26"/>
      <c r="R301" s="26"/>
    </row>
    <row r="302" spans="8:18">
      <c r="H302" s="26"/>
      <c r="K302" s="26"/>
      <c r="M302" s="26"/>
      <c r="N302" s="26"/>
      <c r="O302" s="26"/>
      <c r="P302" s="26"/>
      <c r="Q302" s="26"/>
      <c r="R302" s="26"/>
    </row>
    <row r="303" spans="8:18">
      <c r="H303" s="26"/>
      <c r="K303" s="26"/>
      <c r="M303" s="26"/>
      <c r="N303" s="26"/>
      <c r="O303" s="26"/>
      <c r="P303" s="26"/>
      <c r="Q303" s="26"/>
      <c r="R303" s="26"/>
    </row>
    <row r="304" spans="8:18">
      <c r="H304" s="26"/>
      <c r="K304" s="26"/>
      <c r="M304" s="26"/>
      <c r="N304" s="26"/>
      <c r="O304" s="26"/>
      <c r="P304" s="26"/>
      <c r="Q304" s="26"/>
      <c r="R304" s="26"/>
    </row>
    <row r="305" spans="8:18">
      <c r="H305" s="26"/>
      <c r="K305" s="26"/>
      <c r="M305" s="26"/>
      <c r="N305" s="26"/>
      <c r="O305" s="26"/>
      <c r="P305" s="26"/>
      <c r="Q305" s="26"/>
      <c r="R305" s="26"/>
    </row>
    <row r="306" spans="8:18">
      <c r="H306" s="26"/>
      <c r="K306" s="26"/>
      <c r="M306" s="26"/>
      <c r="N306" s="26"/>
      <c r="O306" s="26"/>
      <c r="P306" s="26"/>
      <c r="Q306" s="26"/>
      <c r="R306" s="26"/>
    </row>
    <row r="307" spans="8:18">
      <c r="H307" s="26"/>
      <c r="K307" s="26"/>
      <c r="M307" s="26"/>
      <c r="N307" s="26"/>
      <c r="O307" s="26"/>
      <c r="P307" s="26"/>
      <c r="Q307" s="26"/>
      <c r="R307" s="26"/>
    </row>
    <row r="308" spans="8:18">
      <c r="H308" s="26"/>
      <c r="K308" s="26"/>
      <c r="M308" s="26"/>
      <c r="N308" s="26"/>
      <c r="O308" s="26"/>
      <c r="P308" s="26"/>
      <c r="Q308" s="26"/>
      <c r="R308" s="26"/>
    </row>
    <row r="309" spans="8:18">
      <c r="H309" s="26"/>
      <c r="K309" s="26"/>
      <c r="M309" s="26"/>
      <c r="N309" s="26"/>
      <c r="O309" s="26"/>
      <c r="P309" s="26"/>
      <c r="Q309" s="26"/>
      <c r="R309" s="26"/>
    </row>
    <row r="310" spans="8:18">
      <c r="H310" s="26"/>
      <c r="K310" s="26"/>
      <c r="M310" s="26"/>
      <c r="N310" s="26"/>
      <c r="O310" s="26"/>
      <c r="P310" s="26"/>
      <c r="Q310" s="26"/>
      <c r="R310" s="26"/>
    </row>
    <row r="311" spans="8:18">
      <c r="H311" s="26"/>
      <c r="K311" s="26"/>
      <c r="M311" s="26"/>
      <c r="N311" s="26"/>
      <c r="O311" s="26"/>
      <c r="P311" s="26"/>
      <c r="Q311" s="26"/>
      <c r="R311" s="26"/>
    </row>
    <row r="312" spans="8:18">
      <c r="H312" s="26"/>
      <c r="K312" s="26"/>
      <c r="M312" s="26"/>
      <c r="N312" s="26"/>
      <c r="O312" s="26"/>
      <c r="P312" s="26"/>
      <c r="Q312" s="26"/>
      <c r="R312" s="26"/>
    </row>
    <row r="313" spans="8:18">
      <c r="H313" s="26"/>
      <c r="K313" s="26"/>
      <c r="M313" s="26"/>
      <c r="N313" s="26"/>
      <c r="O313" s="26"/>
      <c r="P313" s="26"/>
      <c r="Q313" s="26"/>
      <c r="R313" s="26"/>
    </row>
    <row r="314" spans="8:18">
      <c r="H314" s="26"/>
      <c r="K314" s="26"/>
      <c r="M314" s="26"/>
      <c r="N314" s="26"/>
      <c r="O314" s="26"/>
      <c r="P314" s="26"/>
      <c r="Q314" s="26"/>
      <c r="R314" s="26"/>
    </row>
    <row r="315" spans="8:18">
      <c r="H315" s="26"/>
      <c r="K315" s="26"/>
      <c r="M315" s="26"/>
      <c r="N315" s="26"/>
      <c r="O315" s="26"/>
      <c r="P315" s="26"/>
      <c r="Q315" s="26"/>
      <c r="R315" s="26"/>
    </row>
    <row r="316" spans="8:18">
      <c r="H316" s="26"/>
      <c r="K316" s="26"/>
      <c r="M316" s="26"/>
      <c r="N316" s="26"/>
      <c r="O316" s="26"/>
      <c r="P316" s="26"/>
      <c r="Q316" s="26"/>
      <c r="R316" s="26"/>
    </row>
    <row r="317" spans="8:18">
      <c r="H317" s="26"/>
      <c r="K317" s="26"/>
      <c r="M317" s="26"/>
      <c r="N317" s="26"/>
      <c r="O317" s="26"/>
      <c r="P317" s="26"/>
      <c r="Q317" s="26"/>
      <c r="R317" s="26"/>
    </row>
    <row r="318" spans="8:18">
      <c r="H318" s="26"/>
      <c r="K318" s="26"/>
      <c r="M318" s="26"/>
      <c r="N318" s="26"/>
      <c r="O318" s="26"/>
      <c r="P318" s="26"/>
      <c r="Q318" s="26"/>
      <c r="R318" s="26"/>
    </row>
    <row r="319" spans="8:18">
      <c r="H319" s="26"/>
      <c r="K319" s="26"/>
      <c r="M319" s="26"/>
      <c r="N319" s="26"/>
      <c r="O319" s="26"/>
      <c r="P319" s="26"/>
      <c r="Q319" s="26"/>
      <c r="R319" s="26"/>
    </row>
    <row r="320" spans="8:18">
      <c r="H320" s="26"/>
      <c r="K320" s="26"/>
      <c r="M320" s="26"/>
      <c r="N320" s="26"/>
      <c r="O320" s="26"/>
      <c r="P320" s="26"/>
      <c r="Q320" s="26"/>
      <c r="R320" s="26"/>
    </row>
    <row r="321" spans="8:18">
      <c r="H321" s="26"/>
      <c r="K321" s="26"/>
      <c r="M321" s="26"/>
      <c r="N321" s="26"/>
      <c r="O321" s="26"/>
      <c r="P321" s="26"/>
      <c r="Q321" s="26"/>
      <c r="R321" s="26"/>
    </row>
    <row r="322" spans="8:18">
      <c r="H322" s="26"/>
      <c r="K322" s="26"/>
      <c r="M322" s="26"/>
      <c r="N322" s="26"/>
      <c r="O322" s="26"/>
      <c r="P322" s="26"/>
      <c r="Q322" s="26"/>
      <c r="R322" s="26"/>
    </row>
    <row r="323" spans="8:18">
      <c r="H323" s="26"/>
      <c r="K323" s="26"/>
      <c r="M323" s="26"/>
      <c r="N323" s="26"/>
      <c r="O323" s="26"/>
      <c r="P323" s="26"/>
      <c r="Q323" s="26"/>
      <c r="R323" s="26"/>
    </row>
    <row r="324" spans="8:18">
      <c r="H324" s="26"/>
      <c r="K324" s="26"/>
      <c r="M324" s="26"/>
      <c r="N324" s="26"/>
      <c r="O324" s="26"/>
      <c r="P324" s="26"/>
      <c r="Q324" s="26"/>
      <c r="R324" s="26"/>
    </row>
    <row r="325" spans="8:18">
      <c r="H325" s="26"/>
      <c r="K325" s="26"/>
      <c r="M325" s="26"/>
      <c r="N325" s="26"/>
      <c r="O325" s="26"/>
      <c r="P325" s="26"/>
      <c r="Q325" s="26"/>
      <c r="R325" s="26"/>
    </row>
    <row r="326" spans="8:18">
      <c r="H326" s="26"/>
      <c r="K326" s="26"/>
      <c r="M326" s="26"/>
      <c r="N326" s="26"/>
      <c r="O326" s="26"/>
      <c r="P326" s="26"/>
      <c r="Q326" s="26"/>
      <c r="R326" s="26"/>
    </row>
    <row r="327" spans="8:18">
      <c r="H327" s="26"/>
      <c r="K327" s="26"/>
      <c r="M327" s="26"/>
      <c r="N327" s="26"/>
      <c r="O327" s="26"/>
      <c r="P327" s="26"/>
      <c r="Q327" s="26"/>
      <c r="R327" s="26"/>
    </row>
    <row r="328" spans="8:18">
      <c r="H328" s="26"/>
      <c r="K328" s="26"/>
      <c r="M328" s="26"/>
      <c r="N328" s="26"/>
      <c r="O328" s="26"/>
      <c r="P328" s="26"/>
      <c r="Q328" s="26"/>
      <c r="R328" s="26"/>
    </row>
    <row r="329" spans="8:18">
      <c r="H329" s="26"/>
      <c r="K329" s="26"/>
      <c r="M329" s="26"/>
      <c r="N329" s="26"/>
      <c r="O329" s="26"/>
      <c r="P329" s="26"/>
      <c r="Q329" s="26"/>
      <c r="R329" s="26"/>
    </row>
    <row r="330" spans="8:18">
      <c r="H330" s="26"/>
      <c r="K330" s="26"/>
      <c r="M330" s="26"/>
      <c r="N330" s="26"/>
      <c r="O330" s="26"/>
      <c r="P330" s="26"/>
      <c r="Q330" s="26"/>
      <c r="R330" s="26"/>
    </row>
    <row r="331" spans="8:18">
      <c r="H331" s="26"/>
      <c r="K331" s="26"/>
      <c r="M331" s="26"/>
      <c r="N331" s="26"/>
      <c r="O331" s="26"/>
      <c r="P331" s="26"/>
      <c r="Q331" s="26"/>
      <c r="R331" s="26"/>
    </row>
    <row r="332" spans="8:18">
      <c r="H332" s="26"/>
      <c r="K332" s="26"/>
      <c r="M332" s="26"/>
      <c r="N332" s="26"/>
      <c r="O332" s="26"/>
      <c r="P332" s="26"/>
      <c r="Q332" s="26"/>
      <c r="R332" s="26"/>
    </row>
    <row r="333" spans="8:18">
      <c r="H333" s="26"/>
      <c r="K333" s="26"/>
      <c r="M333" s="26"/>
      <c r="N333" s="26"/>
      <c r="O333" s="26"/>
      <c r="P333" s="26"/>
      <c r="Q333" s="26"/>
      <c r="R333" s="26"/>
    </row>
    <row r="334" spans="8:18">
      <c r="H334" s="26"/>
      <c r="K334" s="26"/>
      <c r="M334" s="26"/>
      <c r="N334" s="26"/>
      <c r="O334" s="26"/>
      <c r="P334" s="26"/>
      <c r="Q334" s="26"/>
      <c r="R334" s="26"/>
    </row>
    <row r="335" spans="8:18">
      <c r="H335" s="26"/>
      <c r="K335" s="26"/>
      <c r="M335" s="26"/>
      <c r="N335" s="26"/>
      <c r="O335" s="26"/>
      <c r="P335" s="26"/>
      <c r="Q335" s="26"/>
      <c r="R335" s="26"/>
    </row>
    <row r="336" spans="8:18">
      <c r="H336" s="26"/>
      <c r="K336" s="26"/>
      <c r="M336" s="26"/>
      <c r="N336" s="26"/>
      <c r="O336" s="26"/>
      <c r="P336" s="26"/>
      <c r="Q336" s="26"/>
      <c r="R336" s="26"/>
    </row>
    <row r="337" spans="8:18">
      <c r="H337" s="26"/>
      <c r="K337" s="26"/>
      <c r="M337" s="26"/>
      <c r="N337" s="26"/>
      <c r="O337" s="26"/>
      <c r="P337" s="26"/>
      <c r="Q337" s="26"/>
      <c r="R337" s="26"/>
    </row>
    <row r="338" spans="8:18">
      <c r="H338" s="26"/>
      <c r="K338" s="26"/>
      <c r="M338" s="26"/>
      <c r="N338" s="26"/>
      <c r="O338" s="26"/>
      <c r="P338" s="26"/>
      <c r="Q338" s="26"/>
      <c r="R338" s="26"/>
    </row>
    <row r="339" spans="8:18">
      <c r="H339" s="26"/>
      <c r="K339" s="26"/>
      <c r="M339" s="26"/>
      <c r="N339" s="26"/>
      <c r="O339" s="26"/>
      <c r="P339" s="26"/>
      <c r="Q339" s="26"/>
      <c r="R339" s="26"/>
    </row>
    <row r="340" spans="8:18">
      <c r="H340" s="26"/>
      <c r="K340" s="26"/>
      <c r="M340" s="26"/>
      <c r="N340" s="26"/>
      <c r="O340" s="26"/>
      <c r="P340" s="26"/>
      <c r="Q340" s="26"/>
      <c r="R340" s="26"/>
    </row>
    <row r="341" spans="8:18">
      <c r="H341" s="26"/>
      <c r="K341" s="26"/>
      <c r="M341" s="26"/>
      <c r="N341" s="26"/>
      <c r="O341" s="26"/>
      <c r="P341" s="26"/>
      <c r="Q341" s="26"/>
      <c r="R341" s="26"/>
    </row>
    <row r="342" spans="8:18">
      <c r="H342" s="26"/>
      <c r="K342" s="26"/>
      <c r="M342" s="26"/>
      <c r="N342" s="26"/>
      <c r="O342" s="26"/>
      <c r="P342" s="26"/>
      <c r="Q342" s="26"/>
      <c r="R342" s="26"/>
    </row>
    <row r="343" spans="8:18">
      <c r="H343" s="26"/>
      <c r="K343" s="26"/>
      <c r="M343" s="26"/>
      <c r="N343" s="26"/>
      <c r="O343" s="26"/>
      <c r="P343" s="26"/>
      <c r="Q343" s="26"/>
      <c r="R343" s="26"/>
    </row>
    <row r="344" spans="8:18">
      <c r="H344" s="26"/>
      <c r="K344" s="26"/>
      <c r="M344" s="26"/>
      <c r="N344" s="26"/>
      <c r="O344" s="26"/>
      <c r="P344" s="26"/>
      <c r="Q344" s="26"/>
      <c r="R344" s="26"/>
    </row>
    <row r="345" spans="8:18">
      <c r="H345" s="26"/>
      <c r="K345" s="26"/>
      <c r="M345" s="26"/>
      <c r="N345" s="26"/>
      <c r="O345" s="26"/>
      <c r="P345" s="26"/>
      <c r="Q345" s="26"/>
      <c r="R345" s="26"/>
    </row>
    <row r="346" spans="8:18">
      <c r="H346" s="26"/>
      <c r="K346" s="26"/>
      <c r="M346" s="26"/>
      <c r="N346" s="26"/>
      <c r="O346" s="26"/>
      <c r="P346" s="26"/>
      <c r="Q346" s="26"/>
      <c r="R346" s="26"/>
    </row>
    <row r="347" spans="8:18">
      <c r="H347" s="26"/>
      <c r="K347" s="26"/>
      <c r="M347" s="26"/>
      <c r="N347" s="26"/>
      <c r="O347" s="26"/>
      <c r="P347" s="26"/>
      <c r="Q347" s="26"/>
      <c r="R347" s="26"/>
    </row>
    <row r="348" spans="8:18">
      <c r="H348" s="26"/>
      <c r="K348" s="26"/>
      <c r="M348" s="26"/>
      <c r="N348" s="26"/>
      <c r="O348" s="26"/>
      <c r="P348" s="26"/>
      <c r="Q348" s="26"/>
      <c r="R348" s="26"/>
    </row>
    <row r="349" spans="8:18">
      <c r="H349" s="26"/>
      <c r="K349" s="26"/>
      <c r="M349" s="26"/>
      <c r="N349" s="26"/>
      <c r="O349" s="26"/>
      <c r="P349" s="26"/>
      <c r="Q349" s="26"/>
      <c r="R349" s="26"/>
    </row>
    <row r="350" spans="8:18">
      <c r="H350" s="26"/>
      <c r="K350" s="26"/>
      <c r="M350" s="26"/>
      <c r="N350" s="26"/>
      <c r="O350" s="26"/>
      <c r="P350" s="26"/>
      <c r="Q350" s="26"/>
      <c r="R350" s="26"/>
    </row>
    <row r="351" spans="8:18">
      <c r="H351" s="26"/>
      <c r="K351" s="26"/>
      <c r="M351" s="26"/>
      <c r="N351" s="26"/>
      <c r="O351" s="26"/>
      <c r="P351" s="26"/>
      <c r="Q351" s="26"/>
      <c r="R351" s="26"/>
    </row>
    <row r="352" spans="8:18">
      <c r="H352" s="26"/>
      <c r="K352" s="26"/>
      <c r="M352" s="26"/>
      <c r="N352" s="26"/>
      <c r="O352" s="26"/>
      <c r="P352" s="26"/>
      <c r="Q352" s="26"/>
      <c r="R352" s="26"/>
    </row>
    <row r="353" spans="8:18">
      <c r="H353" s="26"/>
      <c r="K353" s="26"/>
      <c r="M353" s="26"/>
      <c r="N353" s="26"/>
      <c r="O353" s="26"/>
      <c r="P353" s="26"/>
      <c r="Q353" s="26"/>
      <c r="R353" s="26"/>
    </row>
    <row r="354" spans="8:18">
      <c r="H354" s="26"/>
      <c r="K354" s="26"/>
      <c r="M354" s="26"/>
      <c r="N354" s="26"/>
      <c r="O354" s="26"/>
      <c r="P354" s="26"/>
      <c r="Q354" s="26"/>
      <c r="R354" s="26"/>
    </row>
    <row r="355" spans="8:18">
      <c r="H355" s="26"/>
      <c r="K355" s="26"/>
      <c r="M355" s="26"/>
      <c r="N355" s="26"/>
      <c r="O355" s="26"/>
      <c r="P355" s="26"/>
      <c r="Q355" s="26"/>
      <c r="R355" s="26"/>
    </row>
    <row r="356" spans="8:18">
      <c r="H356" s="26"/>
      <c r="K356" s="26"/>
      <c r="M356" s="26"/>
      <c r="N356" s="26"/>
      <c r="O356" s="26"/>
      <c r="P356" s="26"/>
      <c r="Q356" s="26"/>
      <c r="R356" s="26"/>
    </row>
    <row r="357" spans="8:18">
      <c r="H357" s="26"/>
      <c r="K357" s="26"/>
      <c r="M357" s="26"/>
      <c r="N357" s="26"/>
      <c r="O357" s="26"/>
      <c r="P357" s="26"/>
      <c r="Q357" s="26"/>
      <c r="R357" s="26"/>
    </row>
    <row r="358" spans="8:18">
      <c r="H358" s="26"/>
      <c r="K358" s="26"/>
      <c r="M358" s="26"/>
      <c r="N358" s="26"/>
      <c r="O358" s="26"/>
      <c r="P358" s="26"/>
      <c r="Q358" s="26"/>
      <c r="R358" s="26"/>
    </row>
    <row r="359" spans="8:18">
      <c r="H359" s="26"/>
      <c r="K359" s="26"/>
      <c r="M359" s="26"/>
      <c r="N359" s="26"/>
      <c r="O359" s="26"/>
      <c r="P359" s="26"/>
      <c r="Q359" s="26"/>
      <c r="R359" s="26"/>
    </row>
    <row r="360" spans="8:18">
      <c r="H360" s="26"/>
      <c r="K360" s="26"/>
      <c r="M360" s="26"/>
      <c r="N360" s="26"/>
      <c r="O360" s="26"/>
      <c r="P360" s="26"/>
      <c r="Q360" s="26"/>
      <c r="R360" s="26"/>
    </row>
    <row r="361" spans="8:18">
      <c r="H361" s="26"/>
      <c r="K361" s="26"/>
      <c r="M361" s="26"/>
      <c r="N361" s="26"/>
      <c r="O361" s="26"/>
      <c r="P361" s="26"/>
      <c r="Q361" s="26"/>
      <c r="R361" s="26"/>
    </row>
    <row r="362" spans="8:18">
      <c r="H362" s="26"/>
      <c r="K362" s="26"/>
      <c r="M362" s="26"/>
      <c r="N362" s="26"/>
      <c r="O362" s="26"/>
      <c r="P362" s="26"/>
      <c r="Q362" s="26"/>
      <c r="R362" s="26"/>
    </row>
    <row r="363" spans="8:18">
      <c r="H363" s="26"/>
      <c r="K363" s="26"/>
      <c r="M363" s="26"/>
      <c r="N363" s="26"/>
      <c r="O363" s="26"/>
      <c r="P363" s="26"/>
      <c r="Q363" s="26"/>
      <c r="R363" s="26"/>
    </row>
    <row r="364" spans="8:18">
      <c r="H364" s="26"/>
      <c r="K364" s="26"/>
      <c r="M364" s="26"/>
      <c r="N364" s="26"/>
      <c r="O364" s="26"/>
      <c r="P364" s="26"/>
      <c r="Q364" s="26"/>
      <c r="R364" s="26"/>
    </row>
    <row r="365" spans="8:18">
      <c r="H365" s="26"/>
      <c r="K365" s="26"/>
      <c r="M365" s="26"/>
      <c r="N365" s="26"/>
      <c r="O365" s="26"/>
      <c r="P365" s="26"/>
      <c r="Q365" s="26"/>
      <c r="R365" s="26"/>
    </row>
    <row r="366" spans="8:18">
      <c r="H366" s="26"/>
      <c r="K366" s="26"/>
      <c r="M366" s="26"/>
      <c r="N366" s="26"/>
      <c r="O366" s="26"/>
      <c r="P366" s="26"/>
      <c r="Q366" s="26"/>
      <c r="R366" s="26"/>
    </row>
    <row r="367" spans="8:18">
      <c r="H367" s="26"/>
      <c r="K367" s="26"/>
      <c r="M367" s="26"/>
      <c r="N367" s="26"/>
      <c r="O367" s="26"/>
      <c r="P367" s="26"/>
      <c r="Q367" s="26"/>
      <c r="R367" s="26"/>
    </row>
    <row r="368" spans="8:18">
      <c r="H368" s="26"/>
      <c r="K368" s="26"/>
      <c r="M368" s="26"/>
      <c r="N368" s="26"/>
      <c r="O368" s="26"/>
      <c r="P368" s="26"/>
      <c r="Q368" s="26"/>
      <c r="R368" s="26"/>
    </row>
    <row r="369" spans="8:18">
      <c r="H369" s="26"/>
      <c r="K369" s="26"/>
      <c r="M369" s="26"/>
      <c r="N369" s="26"/>
      <c r="O369" s="26"/>
      <c r="P369" s="26"/>
      <c r="Q369" s="26"/>
      <c r="R369" s="26"/>
    </row>
    <row r="370" spans="8:18">
      <c r="H370" s="26"/>
      <c r="K370" s="26"/>
      <c r="M370" s="26"/>
      <c r="N370" s="26"/>
      <c r="O370" s="26"/>
      <c r="P370" s="26"/>
      <c r="Q370" s="26"/>
      <c r="R370" s="26"/>
    </row>
    <row r="371" spans="8:18">
      <c r="H371" s="26"/>
      <c r="K371" s="26"/>
      <c r="M371" s="26"/>
      <c r="N371" s="26"/>
      <c r="O371" s="26"/>
      <c r="P371" s="26"/>
      <c r="Q371" s="26"/>
      <c r="R371" s="26"/>
    </row>
    <row r="372" spans="8:18">
      <c r="H372" s="26"/>
      <c r="K372" s="26"/>
      <c r="M372" s="26"/>
      <c r="N372" s="26"/>
      <c r="O372" s="26"/>
      <c r="P372" s="26"/>
      <c r="Q372" s="26"/>
      <c r="R372" s="26"/>
    </row>
    <row r="373" spans="8:18">
      <c r="H373" s="26"/>
      <c r="K373" s="26"/>
      <c r="M373" s="26"/>
      <c r="N373" s="26"/>
      <c r="O373" s="26"/>
      <c r="P373" s="26"/>
      <c r="Q373" s="26"/>
      <c r="R373" s="26"/>
    </row>
    <row r="374" spans="8:18">
      <c r="H374" s="26"/>
      <c r="K374" s="26"/>
      <c r="M374" s="26"/>
      <c r="N374" s="26"/>
      <c r="O374" s="26"/>
      <c r="P374" s="26"/>
      <c r="Q374" s="26"/>
      <c r="R374" s="26"/>
    </row>
    <row r="375" spans="8:18">
      <c r="H375" s="26"/>
      <c r="K375" s="26"/>
      <c r="M375" s="26"/>
      <c r="N375" s="26"/>
      <c r="O375" s="26"/>
      <c r="P375" s="26"/>
      <c r="Q375" s="26"/>
      <c r="R375" s="26"/>
    </row>
    <row r="376" spans="8:18">
      <c r="H376" s="26"/>
      <c r="K376" s="26"/>
      <c r="M376" s="26"/>
      <c r="N376" s="26"/>
      <c r="O376" s="26"/>
      <c r="P376" s="26"/>
      <c r="Q376" s="26"/>
      <c r="R376" s="26"/>
    </row>
    <row r="377" spans="8:18">
      <c r="H377" s="26"/>
      <c r="K377" s="26"/>
      <c r="M377" s="26"/>
      <c r="N377" s="26"/>
      <c r="O377" s="26"/>
      <c r="P377" s="26"/>
      <c r="Q377" s="26"/>
      <c r="R377" s="26"/>
    </row>
    <row r="378" spans="8:18">
      <c r="H378" s="26"/>
      <c r="K378" s="26"/>
      <c r="M378" s="26"/>
      <c r="N378" s="26"/>
      <c r="O378" s="26"/>
      <c r="P378" s="26"/>
      <c r="Q378" s="26"/>
      <c r="R378" s="26"/>
    </row>
    <row r="379" spans="8:18">
      <c r="H379" s="26"/>
      <c r="K379" s="26"/>
      <c r="M379" s="26"/>
      <c r="N379" s="26"/>
      <c r="O379" s="26"/>
      <c r="P379" s="26"/>
      <c r="Q379" s="26"/>
      <c r="R379" s="26"/>
    </row>
    <row r="380" spans="8:18">
      <c r="H380" s="26"/>
      <c r="K380" s="26"/>
      <c r="M380" s="26"/>
      <c r="N380" s="26"/>
      <c r="O380" s="26"/>
      <c r="P380" s="26"/>
      <c r="Q380" s="26"/>
      <c r="R380" s="26"/>
    </row>
    <row r="381" spans="8:18">
      <c r="H381" s="26"/>
      <c r="K381" s="26"/>
      <c r="M381" s="26"/>
      <c r="N381" s="26"/>
      <c r="O381" s="26"/>
      <c r="P381" s="26"/>
      <c r="Q381" s="26"/>
      <c r="R381" s="26"/>
    </row>
    <row r="382" spans="8:18">
      <c r="H382" s="26"/>
      <c r="K382" s="26"/>
      <c r="M382" s="26"/>
      <c r="N382" s="26"/>
      <c r="O382" s="26"/>
      <c r="P382" s="26"/>
      <c r="Q382" s="26"/>
      <c r="R382" s="26"/>
    </row>
    <row r="383" spans="8:18">
      <c r="H383" s="26"/>
      <c r="K383" s="26"/>
      <c r="M383" s="26"/>
      <c r="N383" s="26"/>
      <c r="O383" s="26"/>
      <c r="P383" s="26"/>
      <c r="Q383" s="26"/>
      <c r="R383" s="26"/>
    </row>
    <row r="384" spans="8:18">
      <c r="H384" s="26"/>
      <c r="K384" s="26"/>
      <c r="M384" s="26"/>
      <c r="N384" s="26"/>
      <c r="O384" s="26"/>
      <c r="P384" s="26"/>
      <c r="Q384" s="26"/>
      <c r="R384" s="26"/>
    </row>
    <row r="385" spans="8:18">
      <c r="H385" s="26"/>
      <c r="K385" s="26"/>
      <c r="M385" s="26"/>
      <c r="N385" s="26"/>
      <c r="O385" s="26"/>
      <c r="P385" s="26"/>
      <c r="Q385" s="26"/>
      <c r="R385" s="26"/>
    </row>
    <row r="386" spans="8:18">
      <c r="H386" s="26"/>
      <c r="K386" s="26"/>
      <c r="M386" s="26"/>
      <c r="N386" s="26"/>
      <c r="O386" s="26"/>
      <c r="P386" s="26"/>
      <c r="Q386" s="26"/>
      <c r="R386" s="26"/>
    </row>
    <row r="387" spans="8:18">
      <c r="H387" s="26"/>
      <c r="K387" s="26"/>
      <c r="M387" s="26"/>
      <c r="N387" s="26"/>
      <c r="O387" s="26"/>
      <c r="P387" s="26"/>
      <c r="Q387" s="26"/>
      <c r="R387" s="26"/>
    </row>
    <row r="388" spans="8:18">
      <c r="H388" s="26"/>
      <c r="K388" s="26"/>
      <c r="M388" s="26"/>
      <c r="N388" s="26"/>
      <c r="O388" s="26"/>
      <c r="P388" s="26"/>
      <c r="Q388" s="26"/>
      <c r="R388" s="26"/>
    </row>
    <row r="389" spans="8:18">
      <c r="H389" s="26"/>
      <c r="K389" s="26"/>
      <c r="M389" s="26"/>
      <c r="N389" s="26"/>
      <c r="O389" s="26"/>
      <c r="P389" s="26"/>
      <c r="Q389" s="26"/>
      <c r="R389" s="26"/>
    </row>
    <row r="390" spans="8:18">
      <c r="H390" s="26"/>
      <c r="K390" s="26"/>
      <c r="M390" s="26"/>
      <c r="N390" s="26"/>
      <c r="O390" s="26"/>
      <c r="P390" s="26"/>
      <c r="Q390" s="26"/>
      <c r="R390" s="26"/>
    </row>
    <row r="391" spans="8:18">
      <c r="H391" s="26"/>
      <c r="K391" s="26"/>
      <c r="M391" s="26"/>
      <c r="N391" s="26"/>
      <c r="O391" s="26"/>
      <c r="P391" s="26"/>
      <c r="Q391" s="26"/>
      <c r="R391" s="26"/>
    </row>
    <row r="392" spans="8:18">
      <c r="H392" s="26"/>
      <c r="K392" s="26"/>
      <c r="M392" s="26"/>
      <c r="N392" s="26"/>
      <c r="O392" s="26"/>
      <c r="P392" s="26"/>
      <c r="Q392" s="26"/>
      <c r="R392" s="26"/>
    </row>
    <row r="393" spans="8:18">
      <c r="H393" s="26"/>
      <c r="K393" s="26"/>
      <c r="M393" s="26"/>
      <c r="N393" s="26"/>
      <c r="O393" s="26"/>
      <c r="P393" s="26"/>
      <c r="Q393" s="26"/>
      <c r="R393" s="26"/>
    </row>
    <row r="394" spans="8:18">
      <c r="H394" s="26"/>
      <c r="K394" s="26"/>
      <c r="M394" s="26"/>
      <c r="N394" s="26"/>
      <c r="O394" s="26"/>
      <c r="P394" s="26"/>
      <c r="Q394" s="26"/>
      <c r="R394" s="26"/>
    </row>
    <row r="395" spans="8:18">
      <c r="H395" s="26"/>
      <c r="K395" s="26"/>
      <c r="M395" s="26"/>
      <c r="N395" s="26"/>
      <c r="O395" s="26"/>
      <c r="P395" s="26"/>
      <c r="Q395" s="26"/>
      <c r="R395" s="26"/>
    </row>
    <row r="396" spans="8:18">
      <c r="H396" s="26"/>
      <c r="K396" s="26"/>
      <c r="M396" s="26"/>
      <c r="N396" s="26"/>
      <c r="O396" s="26"/>
      <c r="P396" s="26"/>
      <c r="Q396" s="26"/>
      <c r="R396" s="26"/>
    </row>
    <row r="397" spans="8:18">
      <c r="H397" s="26"/>
      <c r="K397" s="26"/>
      <c r="M397" s="26"/>
      <c r="N397" s="26"/>
      <c r="O397" s="26"/>
      <c r="P397" s="26"/>
      <c r="Q397" s="26"/>
      <c r="R397" s="26"/>
    </row>
    <row r="398" spans="8:18">
      <c r="H398" s="26"/>
      <c r="K398" s="26"/>
      <c r="M398" s="26"/>
      <c r="N398" s="26"/>
      <c r="O398" s="26"/>
      <c r="P398" s="26"/>
      <c r="Q398" s="26"/>
      <c r="R398" s="26"/>
    </row>
    <row r="399" spans="8:18">
      <c r="H399" s="26"/>
      <c r="K399" s="26"/>
      <c r="M399" s="26"/>
      <c r="N399" s="26"/>
      <c r="O399" s="26"/>
      <c r="P399" s="26"/>
      <c r="Q399" s="26"/>
      <c r="R399" s="26"/>
    </row>
    <row r="400" spans="8:18">
      <c r="H400" s="26"/>
      <c r="K400" s="26"/>
      <c r="M400" s="26"/>
      <c r="N400" s="26"/>
      <c r="O400" s="26"/>
      <c r="P400" s="26"/>
      <c r="Q400" s="26"/>
      <c r="R400" s="26"/>
    </row>
    <row r="401" spans="8:18">
      <c r="H401" s="26"/>
      <c r="K401" s="26"/>
      <c r="M401" s="26"/>
      <c r="N401" s="26"/>
      <c r="O401" s="26"/>
      <c r="P401" s="26"/>
      <c r="Q401" s="26"/>
      <c r="R401" s="26"/>
    </row>
    <row r="402" spans="8:18">
      <c r="H402" s="26"/>
      <c r="K402" s="26"/>
      <c r="M402" s="26"/>
      <c r="N402" s="26"/>
      <c r="O402" s="26"/>
      <c r="P402" s="26"/>
      <c r="Q402" s="26"/>
      <c r="R402" s="26"/>
    </row>
    <row r="403" spans="8:18">
      <c r="H403" s="26"/>
      <c r="K403" s="26"/>
      <c r="M403" s="26"/>
      <c r="N403" s="26"/>
      <c r="O403" s="26"/>
      <c r="P403" s="26"/>
      <c r="Q403" s="26"/>
      <c r="R403" s="26"/>
    </row>
    <row r="404" spans="8:18">
      <c r="H404" s="26"/>
      <c r="K404" s="26"/>
      <c r="M404" s="26"/>
      <c r="N404" s="26"/>
      <c r="O404" s="26"/>
      <c r="P404" s="26"/>
      <c r="Q404" s="26"/>
      <c r="R404" s="26"/>
    </row>
    <row r="405" spans="8:18">
      <c r="H405" s="26"/>
      <c r="K405" s="26"/>
      <c r="M405" s="26"/>
      <c r="N405" s="26"/>
      <c r="O405" s="26"/>
      <c r="P405" s="26"/>
      <c r="Q405" s="26"/>
      <c r="R405" s="26"/>
    </row>
    <row r="406" spans="8:18">
      <c r="H406" s="26"/>
      <c r="K406" s="26"/>
      <c r="M406" s="26"/>
      <c r="N406" s="26"/>
      <c r="O406" s="26"/>
      <c r="P406" s="26"/>
      <c r="Q406" s="26"/>
      <c r="R406" s="26"/>
    </row>
    <row r="407" spans="8:18">
      <c r="H407" s="26"/>
      <c r="K407" s="26"/>
      <c r="M407" s="26"/>
      <c r="N407" s="26"/>
      <c r="O407" s="26"/>
      <c r="P407" s="26"/>
      <c r="Q407" s="26"/>
      <c r="R407" s="26"/>
    </row>
    <row r="408" spans="8:18">
      <c r="H408" s="26"/>
      <c r="K408" s="26"/>
      <c r="M408" s="26"/>
      <c r="N408" s="26"/>
      <c r="O408" s="26"/>
      <c r="P408" s="26"/>
      <c r="Q408" s="26"/>
      <c r="R408" s="26"/>
    </row>
    <row r="409" spans="8:18">
      <c r="H409" s="26"/>
      <c r="K409" s="26"/>
      <c r="M409" s="26"/>
      <c r="N409" s="26"/>
      <c r="O409" s="26"/>
      <c r="P409" s="26"/>
      <c r="Q409" s="26"/>
      <c r="R409" s="26"/>
    </row>
    <row r="410" spans="8:18">
      <c r="H410" s="26"/>
      <c r="K410" s="26"/>
      <c r="M410" s="26"/>
      <c r="N410" s="26"/>
      <c r="O410" s="26"/>
      <c r="P410" s="26"/>
      <c r="Q410" s="26"/>
      <c r="R410" s="26"/>
    </row>
    <row r="411" spans="8:18">
      <c r="H411" s="26"/>
      <c r="K411" s="26"/>
      <c r="M411" s="26"/>
      <c r="N411" s="26"/>
      <c r="O411" s="26"/>
      <c r="P411" s="26"/>
      <c r="Q411" s="26"/>
      <c r="R411" s="26"/>
    </row>
    <row r="412" spans="8:18">
      <c r="H412" s="26"/>
      <c r="K412" s="26"/>
      <c r="M412" s="26"/>
      <c r="N412" s="26"/>
      <c r="O412" s="26"/>
      <c r="P412" s="26"/>
      <c r="Q412" s="26"/>
      <c r="R412" s="26"/>
    </row>
    <row r="413" spans="8:18">
      <c r="H413" s="26"/>
      <c r="K413" s="26"/>
      <c r="M413" s="26"/>
      <c r="N413" s="26"/>
      <c r="O413" s="26"/>
      <c r="P413" s="26"/>
      <c r="Q413" s="26"/>
      <c r="R413" s="26"/>
    </row>
    <row r="414" spans="8:18">
      <c r="H414" s="26"/>
      <c r="K414" s="26"/>
      <c r="M414" s="26"/>
      <c r="N414" s="26"/>
      <c r="O414" s="26"/>
      <c r="P414" s="26"/>
      <c r="Q414" s="26"/>
      <c r="R414" s="26"/>
    </row>
    <row r="415" spans="8:18">
      <c r="H415" s="26"/>
      <c r="K415" s="26"/>
      <c r="M415" s="26"/>
      <c r="N415" s="26"/>
      <c r="O415" s="26"/>
      <c r="P415" s="26"/>
      <c r="Q415" s="26"/>
      <c r="R415" s="26"/>
    </row>
    <row r="416" spans="8:18">
      <c r="H416" s="26"/>
      <c r="K416" s="26"/>
      <c r="M416" s="26"/>
      <c r="N416" s="26"/>
      <c r="O416" s="26"/>
      <c r="P416" s="26"/>
      <c r="Q416" s="26"/>
      <c r="R416" s="26"/>
    </row>
    <row r="417" spans="8:18">
      <c r="H417" s="26"/>
      <c r="K417" s="26"/>
      <c r="M417" s="26"/>
      <c r="N417" s="26"/>
      <c r="O417" s="26"/>
      <c r="P417" s="26"/>
      <c r="Q417" s="26"/>
      <c r="R417" s="26"/>
    </row>
    <row r="418" spans="8:18">
      <c r="H418" s="26"/>
      <c r="K418" s="26"/>
      <c r="M418" s="26"/>
      <c r="N418" s="26"/>
      <c r="O418" s="26"/>
      <c r="P418" s="26"/>
      <c r="Q418" s="26"/>
      <c r="R418" s="26"/>
    </row>
    <row r="419" spans="8:18">
      <c r="H419" s="26"/>
      <c r="K419" s="26"/>
      <c r="M419" s="26"/>
      <c r="N419" s="26"/>
      <c r="O419" s="26"/>
      <c r="P419" s="26"/>
      <c r="Q419" s="26"/>
      <c r="R419" s="26"/>
    </row>
    <row r="420" spans="8:18">
      <c r="H420" s="26"/>
      <c r="K420" s="26"/>
      <c r="M420" s="26"/>
      <c r="N420" s="26"/>
      <c r="O420" s="26"/>
      <c r="P420" s="26"/>
      <c r="Q420" s="26"/>
      <c r="R420" s="26"/>
    </row>
    <row r="421" spans="8:18">
      <c r="H421" s="26"/>
      <c r="K421" s="26"/>
      <c r="M421" s="26"/>
      <c r="N421" s="26"/>
      <c r="O421" s="26"/>
      <c r="P421" s="26"/>
      <c r="Q421" s="26"/>
      <c r="R421" s="26"/>
    </row>
    <row r="422" spans="8:18">
      <c r="H422" s="26"/>
      <c r="K422" s="26"/>
      <c r="M422" s="26"/>
      <c r="N422" s="26"/>
      <c r="O422" s="26"/>
      <c r="P422" s="26"/>
      <c r="Q422" s="26"/>
      <c r="R422" s="26"/>
    </row>
    <row r="423" spans="8:18">
      <c r="H423" s="26"/>
      <c r="K423" s="26"/>
      <c r="M423" s="26"/>
      <c r="N423" s="26"/>
      <c r="O423" s="26"/>
      <c r="P423" s="26"/>
      <c r="Q423" s="26"/>
      <c r="R423" s="26"/>
    </row>
    <row r="424" spans="8:18">
      <c r="H424" s="26"/>
      <c r="K424" s="26"/>
      <c r="M424" s="26"/>
      <c r="N424" s="26"/>
      <c r="O424" s="26"/>
      <c r="P424" s="26"/>
      <c r="Q424" s="26"/>
      <c r="R424" s="26"/>
    </row>
    <row r="425" spans="8:18">
      <c r="H425" s="26"/>
      <c r="K425" s="26"/>
      <c r="M425" s="26"/>
      <c r="N425" s="26"/>
      <c r="O425" s="26"/>
      <c r="P425" s="26"/>
      <c r="Q425" s="26"/>
      <c r="R425" s="26"/>
    </row>
    <row r="426" spans="8:18">
      <c r="H426" s="26"/>
      <c r="K426" s="26"/>
      <c r="M426" s="26"/>
      <c r="N426" s="26"/>
      <c r="O426" s="26"/>
      <c r="P426" s="26"/>
      <c r="Q426" s="26"/>
      <c r="R426" s="26"/>
    </row>
    <row r="427" spans="8:18">
      <c r="H427" s="26"/>
      <c r="K427" s="26"/>
      <c r="M427" s="26"/>
      <c r="N427" s="26"/>
      <c r="O427" s="26"/>
      <c r="P427" s="26"/>
      <c r="Q427" s="26"/>
      <c r="R427" s="26"/>
    </row>
    <row r="428" spans="8:18">
      <c r="H428" s="26"/>
      <c r="K428" s="26"/>
      <c r="M428" s="26"/>
      <c r="N428" s="26"/>
      <c r="O428" s="26"/>
      <c r="P428" s="26"/>
      <c r="Q428" s="26"/>
      <c r="R428" s="26"/>
    </row>
    <row r="429" spans="8:18">
      <c r="H429" s="26"/>
      <c r="K429" s="26"/>
      <c r="M429" s="26"/>
      <c r="N429" s="26"/>
      <c r="O429" s="26"/>
      <c r="P429" s="26"/>
      <c r="Q429" s="26"/>
      <c r="R429" s="26"/>
    </row>
    <row r="430" spans="8:18">
      <c r="H430" s="26"/>
      <c r="K430" s="26"/>
      <c r="M430" s="26"/>
      <c r="N430" s="26"/>
      <c r="O430" s="26"/>
      <c r="P430" s="26"/>
      <c r="Q430" s="26"/>
      <c r="R430" s="26"/>
    </row>
    <row r="431" spans="8:18">
      <c r="H431" s="26"/>
      <c r="K431" s="26"/>
      <c r="M431" s="26"/>
      <c r="N431" s="26"/>
      <c r="O431" s="26"/>
      <c r="P431" s="26"/>
      <c r="Q431" s="26"/>
      <c r="R431" s="26"/>
    </row>
    <row r="432" spans="8:18">
      <c r="H432" s="26"/>
      <c r="K432" s="26"/>
      <c r="M432" s="26"/>
      <c r="N432" s="26"/>
      <c r="O432" s="26"/>
      <c r="P432" s="26"/>
      <c r="Q432" s="26"/>
      <c r="R432" s="26"/>
    </row>
    <row r="433" spans="8:18">
      <c r="H433" s="26"/>
      <c r="K433" s="26"/>
      <c r="M433" s="26"/>
      <c r="N433" s="26"/>
      <c r="O433" s="26"/>
      <c r="P433" s="26"/>
      <c r="Q433" s="26"/>
      <c r="R433" s="26"/>
    </row>
    <row r="434" spans="8:18">
      <c r="H434" s="26"/>
      <c r="K434" s="26"/>
      <c r="M434" s="26"/>
      <c r="N434" s="26"/>
      <c r="O434" s="26"/>
      <c r="P434" s="26"/>
      <c r="Q434" s="26"/>
      <c r="R434" s="26"/>
    </row>
    <row r="435" spans="8:18">
      <c r="H435" s="26"/>
      <c r="K435" s="26"/>
      <c r="M435" s="26"/>
      <c r="N435" s="26"/>
      <c r="O435" s="26"/>
      <c r="P435" s="26"/>
      <c r="Q435" s="26"/>
      <c r="R435" s="26"/>
    </row>
    <row r="436" spans="8:18">
      <c r="H436" s="26"/>
      <c r="K436" s="26"/>
      <c r="M436" s="26"/>
      <c r="N436" s="26"/>
      <c r="O436" s="26"/>
      <c r="P436" s="26"/>
      <c r="Q436" s="26"/>
      <c r="R436" s="26"/>
    </row>
    <row r="437" spans="8:18">
      <c r="H437" s="26"/>
      <c r="K437" s="26"/>
      <c r="M437" s="26"/>
      <c r="N437" s="26"/>
      <c r="O437" s="26"/>
      <c r="P437" s="26"/>
      <c r="Q437" s="26"/>
      <c r="R437" s="26"/>
    </row>
    <row r="438" spans="8:18">
      <c r="H438" s="26"/>
      <c r="K438" s="26"/>
      <c r="M438" s="26"/>
      <c r="N438" s="26"/>
      <c r="O438" s="26"/>
      <c r="P438" s="26"/>
      <c r="Q438" s="26"/>
      <c r="R438" s="26"/>
    </row>
    <row r="439" spans="8:18">
      <c r="H439" s="26"/>
      <c r="K439" s="26"/>
      <c r="M439" s="26"/>
      <c r="N439" s="26"/>
      <c r="O439" s="26"/>
      <c r="P439" s="26"/>
      <c r="Q439" s="26"/>
      <c r="R439" s="26"/>
    </row>
    <row r="440" spans="8:18">
      <c r="H440" s="26"/>
      <c r="K440" s="26"/>
      <c r="M440" s="26"/>
      <c r="N440" s="26"/>
      <c r="O440" s="26"/>
      <c r="P440" s="26"/>
      <c r="Q440" s="26"/>
      <c r="R440" s="26"/>
    </row>
    <row r="441" spans="8:18">
      <c r="H441" s="26"/>
      <c r="K441" s="26"/>
      <c r="M441" s="26"/>
      <c r="N441" s="26"/>
      <c r="O441" s="26"/>
      <c r="P441" s="26"/>
      <c r="Q441" s="26"/>
      <c r="R441" s="26"/>
    </row>
    <row r="442" spans="8:18">
      <c r="H442" s="26"/>
      <c r="K442" s="26"/>
      <c r="M442" s="26"/>
      <c r="N442" s="26"/>
      <c r="O442" s="26"/>
      <c r="P442" s="26"/>
      <c r="Q442" s="26"/>
      <c r="R442" s="26"/>
    </row>
    <row r="443" spans="8:18">
      <c r="H443" s="26"/>
      <c r="K443" s="26"/>
      <c r="M443" s="26"/>
      <c r="N443" s="26"/>
      <c r="O443" s="26"/>
      <c r="P443" s="26"/>
      <c r="Q443" s="26"/>
      <c r="R443" s="26"/>
    </row>
    <row r="444" spans="8:18">
      <c r="H444" s="26"/>
      <c r="K444" s="26"/>
      <c r="M444" s="26"/>
      <c r="N444" s="26"/>
      <c r="O444" s="26"/>
      <c r="P444" s="26"/>
      <c r="Q444" s="26"/>
      <c r="R444" s="26"/>
    </row>
    <row r="445" spans="8:18">
      <c r="H445" s="26"/>
      <c r="K445" s="26"/>
      <c r="M445" s="26"/>
      <c r="N445" s="26"/>
      <c r="O445" s="26"/>
      <c r="P445" s="26"/>
      <c r="Q445" s="26"/>
      <c r="R445" s="26"/>
    </row>
    <row r="446" spans="8:18">
      <c r="H446" s="26"/>
      <c r="K446" s="26"/>
      <c r="M446" s="26"/>
      <c r="N446" s="26"/>
      <c r="O446" s="26"/>
      <c r="P446" s="26"/>
      <c r="Q446" s="26"/>
      <c r="R446" s="26"/>
    </row>
    <row r="447" spans="8:18">
      <c r="H447" s="26"/>
      <c r="K447" s="26"/>
      <c r="M447" s="26"/>
      <c r="N447" s="26"/>
      <c r="O447" s="26"/>
      <c r="P447" s="26"/>
      <c r="Q447" s="26"/>
      <c r="R447" s="26"/>
    </row>
    <row r="448" spans="8:18">
      <c r="H448" s="26"/>
      <c r="K448" s="26"/>
      <c r="M448" s="26"/>
      <c r="N448" s="26"/>
      <c r="O448" s="26"/>
      <c r="P448" s="26"/>
      <c r="Q448" s="26"/>
      <c r="R448" s="26"/>
    </row>
    <row r="449" spans="8:18">
      <c r="H449" s="26"/>
      <c r="K449" s="26"/>
      <c r="M449" s="26"/>
      <c r="N449" s="26"/>
      <c r="O449" s="26"/>
      <c r="P449" s="26"/>
      <c r="Q449" s="26"/>
      <c r="R449" s="26"/>
    </row>
    <row r="450" spans="8:18">
      <c r="H450" s="26"/>
      <c r="K450" s="26"/>
      <c r="M450" s="26"/>
      <c r="N450" s="26"/>
      <c r="O450" s="26"/>
      <c r="P450" s="26"/>
      <c r="Q450" s="26"/>
      <c r="R450" s="26"/>
    </row>
    <row r="451" spans="8:18">
      <c r="H451" s="26"/>
      <c r="K451" s="26"/>
      <c r="M451" s="26"/>
      <c r="N451" s="26"/>
      <c r="O451" s="26"/>
      <c r="P451" s="26"/>
      <c r="Q451" s="26"/>
      <c r="R451" s="26"/>
    </row>
    <row r="452" spans="8:18">
      <c r="H452" s="26"/>
      <c r="K452" s="26"/>
      <c r="M452" s="26"/>
      <c r="N452" s="26"/>
      <c r="O452" s="26"/>
      <c r="P452" s="26"/>
      <c r="Q452" s="26"/>
      <c r="R452" s="26"/>
    </row>
    <row r="453" spans="8:18">
      <c r="H453" s="26"/>
      <c r="K453" s="26"/>
      <c r="M453" s="26"/>
      <c r="N453" s="26"/>
      <c r="O453" s="26"/>
      <c r="P453" s="26"/>
      <c r="Q453" s="26"/>
      <c r="R453" s="26"/>
    </row>
    <row r="454" spans="8:18">
      <c r="H454" s="26"/>
      <c r="K454" s="26"/>
      <c r="M454" s="26"/>
      <c r="N454" s="26"/>
      <c r="O454" s="26"/>
      <c r="P454" s="26"/>
      <c r="Q454" s="26"/>
      <c r="R454" s="26"/>
    </row>
    <row r="455" spans="8:18">
      <c r="H455" s="26"/>
      <c r="K455" s="26"/>
      <c r="M455" s="26"/>
      <c r="N455" s="26"/>
      <c r="O455" s="26"/>
      <c r="P455" s="26"/>
      <c r="Q455" s="26"/>
      <c r="R455" s="26"/>
    </row>
    <row r="456" spans="8:18">
      <c r="H456" s="26"/>
      <c r="K456" s="26"/>
      <c r="M456" s="26"/>
      <c r="N456" s="26"/>
      <c r="O456" s="26"/>
      <c r="P456" s="26"/>
      <c r="Q456" s="26"/>
      <c r="R456" s="26"/>
    </row>
    <row r="457" spans="8:18">
      <c r="H457" s="26"/>
      <c r="K457" s="26"/>
      <c r="M457" s="26"/>
      <c r="N457" s="26"/>
      <c r="O457" s="26"/>
      <c r="P457" s="26"/>
      <c r="Q457" s="26"/>
      <c r="R457" s="26"/>
    </row>
    <row r="458" spans="8:18">
      <c r="H458" s="26"/>
      <c r="K458" s="26"/>
      <c r="M458" s="26"/>
      <c r="N458" s="26"/>
      <c r="O458" s="26"/>
      <c r="P458" s="26"/>
      <c r="Q458" s="26"/>
      <c r="R458" s="26"/>
    </row>
    <row r="459" spans="8:18">
      <c r="H459" s="26"/>
      <c r="K459" s="26"/>
      <c r="M459" s="26"/>
      <c r="N459" s="26"/>
      <c r="O459" s="26"/>
      <c r="P459" s="26"/>
      <c r="Q459" s="26"/>
      <c r="R459" s="26"/>
    </row>
    <row r="460" spans="8:18">
      <c r="H460" s="26"/>
      <c r="K460" s="26"/>
      <c r="M460" s="26"/>
      <c r="N460" s="26"/>
      <c r="O460" s="26"/>
      <c r="P460" s="26"/>
      <c r="Q460" s="26"/>
      <c r="R460" s="26"/>
    </row>
    <row r="461" spans="8:18">
      <c r="H461" s="26"/>
      <c r="K461" s="26"/>
      <c r="M461" s="26"/>
      <c r="N461" s="26"/>
      <c r="O461" s="26"/>
      <c r="P461" s="26"/>
      <c r="Q461" s="26"/>
      <c r="R461" s="26"/>
    </row>
    <row r="462" spans="8:18">
      <c r="H462" s="26"/>
      <c r="K462" s="26"/>
      <c r="M462" s="26"/>
      <c r="N462" s="26"/>
      <c r="O462" s="26"/>
      <c r="P462" s="26"/>
      <c r="Q462" s="26"/>
      <c r="R462" s="26"/>
    </row>
    <row r="463" spans="8:18">
      <c r="H463" s="26"/>
      <c r="K463" s="26"/>
      <c r="M463" s="26"/>
      <c r="N463" s="26"/>
      <c r="O463" s="26"/>
      <c r="P463" s="26"/>
      <c r="Q463" s="26"/>
      <c r="R463" s="26"/>
    </row>
    <row r="464" spans="8:18">
      <c r="H464" s="26"/>
      <c r="K464" s="26"/>
      <c r="M464" s="26"/>
      <c r="N464" s="26"/>
      <c r="O464" s="26"/>
      <c r="P464" s="26"/>
      <c r="Q464" s="26"/>
      <c r="R464" s="26"/>
    </row>
    <row r="465" spans="8:18">
      <c r="H465" s="26"/>
      <c r="K465" s="26"/>
      <c r="M465" s="26"/>
      <c r="N465" s="26"/>
      <c r="O465" s="26"/>
      <c r="P465" s="26"/>
      <c r="Q465" s="26"/>
      <c r="R465" s="26"/>
    </row>
    <row r="466" spans="8:18">
      <c r="H466" s="26"/>
      <c r="K466" s="26"/>
      <c r="M466" s="26"/>
      <c r="N466" s="26"/>
      <c r="O466" s="26"/>
      <c r="P466" s="26"/>
      <c r="Q466" s="26"/>
      <c r="R466" s="26"/>
    </row>
    <row r="467" spans="8:18">
      <c r="H467" s="26"/>
      <c r="K467" s="26"/>
      <c r="M467" s="26"/>
      <c r="N467" s="26"/>
      <c r="O467" s="26"/>
      <c r="P467" s="26"/>
      <c r="Q467" s="26"/>
      <c r="R467" s="26"/>
    </row>
    <row r="468" spans="8:18">
      <c r="H468" s="26"/>
      <c r="K468" s="26"/>
      <c r="M468" s="26"/>
      <c r="N468" s="26"/>
      <c r="O468" s="26"/>
      <c r="P468" s="26"/>
      <c r="Q468" s="26"/>
      <c r="R468" s="26"/>
    </row>
    <row r="469" spans="8:18">
      <c r="H469" s="26"/>
      <c r="K469" s="26"/>
      <c r="M469" s="26"/>
      <c r="N469" s="26"/>
      <c r="O469" s="26"/>
      <c r="P469" s="26"/>
      <c r="Q469" s="26"/>
      <c r="R469" s="26"/>
    </row>
    <row r="470" spans="8:18">
      <c r="H470" s="26"/>
      <c r="K470" s="26"/>
      <c r="M470" s="26"/>
      <c r="N470" s="26"/>
      <c r="O470" s="26"/>
      <c r="P470" s="26"/>
      <c r="Q470" s="26"/>
      <c r="R470" s="26"/>
    </row>
    <row r="471" spans="8:18">
      <c r="H471" s="26"/>
      <c r="K471" s="26"/>
      <c r="M471" s="26"/>
      <c r="N471" s="26"/>
      <c r="O471" s="26"/>
      <c r="P471" s="26"/>
      <c r="Q471" s="26"/>
      <c r="R471" s="26"/>
    </row>
    <row r="472" spans="8:18">
      <c r="H472" s="26"/>
      <c r="K472" s="26"/>
      <c r="M472" s="26"/>
      <c r="N472" s="26"/>
      <c r="O472" s="26"/>
      <c r="P472" s="26"/>
      <c r="Q472" s="26"/>
      <c r="R472" s="26"/>
    </row>
    <row r="473" spans="8:18">
      <c r="H473" s="26"/>
      <c r="K473" s="26"/>
      <c r="M473" s="26"/>
      <c r="N473" s="26"/>
      <c r="O473" s="26"/>
      <c r="P473" s="26"/>
      <c r="Q473" s="26"/>
      <c r="R473" s="26"/>
    </row>
    <row r="474" spans="8:18">
      <c r="H474" s="26"/>
      <c r="K474" s="26"/>
      <c r="M474" s="26"/>
      <c r="N474" s="26"/>
      <c r="O474" s="26"/>
      <c r="P474" s="26"/>
      <c r="Q474" s="26"/>
      <c r="R474" s="26"/>
    </row>
    <row r="475" spans="8:18">
      <c r="H475" s="26"/>
      <c r="K475" s="26"/>
      <c r="M475" s="26"/>
      <c r="N475" s="26"/>
      <c r="O475" s="26"/>
      <c r="P475" s="26"/>
      <c r="Q475" s="26"/>
      <c r="R475" s="26"/>
    </row>
    <row r="476" spans="8:18">
      <c r="H476" s="26"/>
      <c r="K476" s="26"/>
      <c r="M476" s="26"/>
      <c r="N476" s="26"/>
      <c r="O476" s="26"/>
      <c r="P476" s="26"/>
      <c r="Q476" s="26"/>
      <c r="R476" s="26"/>
    </row>
    <row r="477" spans="8:18">
      <c r="H477" s="26"/>
      <c r="K477" s="26"/>
      <c r="M477" s="26"/>
      <c r="N477" s="26"/>
      <c r="O477" s="26"/>
      <c r="P477" s="26"/>
      <c r="Q477" s="26"/>
      <c r="R477" s="26"/>
    </row>
    <row r="478" spans="8:18">
      <c r="H478" s="26"/>
      <c r="K478" s="26"/>
      <c r="M478" s="26"/>
      <c r="N478" s="26"/>
      <c r="O478" s="26"/>
      <c r="P478" s="26"/>
      <c r="Q478" s="26"/>
      <c r="R478" s="26"/>
    </row>
    <row r="479" spans="8:18">
      <c r="H479" s="26"/>
      <c r="K479" s="26"/>
      <c r="M479" s="26"/>
      <c r="N479" s="26"/>
      <c r="O479" s="26"/>
      <c r="P479" s="26"/>
      <c r="Q479" s="26"/>
      <c r="R479" s="26"/>
    </row>
    <row r="480" spans="8:18">
      <c r="H480" s="26"/>
      <c r="K480" s="26"/>
      <c r="M480" s="26"/>
      <c r="N480" s="26"/>
      <c r="O480" s="26"/>
      <c r="P480" s="26"/>
      <c r="Q480" s="26"/>
      <c r="R480" s="26"/>
    </row>
    <row r="481" spans="8:18">
      <c r="H481" s="26"/>
      <c r="K481" s="26"/>
      <c r="M481" s="26"/>
      <c r="N481" s="26"/>
      <c r="O481" s="26"/>
      <c r="P481" s="26"/>
      <c r="Q481" s="26"/>
      <c r="R481" s="26"/>
    </row>
    <row r="482" spans="8:18">
      <c r="H482" s="26"/>
      <c r="K482" s="26"/>
      <c r="M482" s="26"/>
      <c r="N482" s="26"/>
      <c r="O482" s="26"/>
      <c r="P482" s="26"/>
      <c r="Q482" s="26"/>
      <c r="R482" s="26"/>
    </row>
    <row r="483" spans="8:18">
      <c r="H483" s="26"/>
      <c r="K483" s="26"/>
      <c r="M483" s="26"/>
      <c r="N483" s="26"/>
      <c r="O483" s="26"/>
      <c r="P483" s="26"/>
      <c r="Q483" s="26"/>
      <c r="R483" s="26"/>
    </row>
    <row r="484" spans="8:18">
      <c r="H484" s="26"/>
      <c r="K484" s="26"/>
      <c r="M484" s="26"/>
      <c r="N484" s="26"/>
      <c r="O484" s="26"/>
      <c r="P484" s="26"/>
      <c r="Q484" s="26"/>
      <c r="R484" s="26"/>
    </row>
    <row r="485" spans="8:18">
      <c r="H485" s="26"/>
      <c r="K485" s="26"/>
      <c r="M485" s="26"/>
      <c r="N485" s="26"/>
      <c r="O485" s="26"/>
      <c r="P485" s="26"/>
      <c r="Q485" s="26"/>
      <c r="R485" s="26"/>
    </row>
    <row r="486" spans="8:18">
      <c r="H486" s="26"/>
      <c r="K486" s="26"/>
      <c r="M486" s="26"/>
      <c r="N486" s="26"/>
      <c r="O486" s="26"/>
      <c r="P486" s="26"/>
      <c r="Q486" s="26"/>
      <c r="R486" s="26"/>
    </row>
    <row r="487" spans="8:18">
      <c r="H487" s="26"/>
      <c r="K487" s="26"/>
      <c r="M487" s="26"/>
      <c r="N487" s="26"/>
      <c r="O487" s="26"/>
      <c r="P487" s="26"/>
      <c r="Q487" s="26"/>
      <c r="R487" s="26"/>
    </row>
    <row r="488" spans="8:18">
      <c r="H488" s="26"/>
      <c r="K488" s="26"/>
      <c r="M488" s="26"/>
      <c r="N488" s="26"/>
      <c r="O488" s="26"/>
      <c r="P488" s="26"/>
      <c r="Q488" s="26"/>
      <c r="R488" s="26"/>
    </row>
    <row r="489" spans="8:18">
      <c r="H489" s="26"/>
      <c r="K489" s="26"/>
      <c r="M489" s="26"/>
      <c r="N489" s="26"/>
      <c r="O489" s="26"/>
      <c r="P489" s="26"/>
      <c r="Q489" s="26"/>
      <c r="R489" s="26"/>
    </row>
    <row r="490" spans="8:18">
      <c r="H490" s="26"/>
      <c r="K490" s="26"/>
      <c r="M490" s="26"/>
      <c r="N490" s="26"/>
      <c r="O490" s="26"/>
      <c r="P490" s="26"/>
      <c r="Q490" s="26"/>
      <c r="R490" s="26"/>
    </row>
    <row r="491" spans="8:18">
      <c r="H491" s="26"/>
      <c r="K491" s="26"/>
      <c r="M491" s="26"/>
      <c r="N491" s="26"/>
      <c r="O491" s="26"/>
      <c r="P491" s="26"/>
      <c r="Q491" s="26"/>
      <c r="R491" s="26"/>
    </row>
    <row r="492" spans="8:18">
      <c r="H492" s="26"/>
      <c r="K492" s="26"/>
      <c r="M492" s="26"/>
      <c r="N492" s="26"/>
      <c r="O492" s="26"/>
      <c r="P492" s="26"/>
      <c r="Q492" s="26"/>
      <c r="R492" s="26"/>
    </row>
    <row r="493" spans="8:18">
      <c r="H493" s="26"/>
      <c r="K493" s="26"/>
      <c r="M493" s="26"/>
      <c r="N493" s="26"/>
      <c r="O493" s="26"/>
      <c r="P493" s="26"/>
      <c r="Q493" s="26"/>
      <c r="R493" s="26"/>
    </row>
    <row r="494" spans="8:18">
      <c r="H494" s="26"/>
      <c r="K494" s="26"/>
      <c r="M494" s="26"/>
      <c r="N494" s="26"/>
      <c r="O494" s="26"/>
      <c r="P494" s="26"/>
      <c r="Q494" s="26"/>
      <c r="R494" s="26"/>
    </row>
    <row r="495" spans="8:18">
      <c r="H495" s="26"/>
      <c r="K495" s="26"/>
      <c r="M495" s="26"/>
      <c r="N495" s="26"/>
      <c r="O495" s="26"/>
      <c r="P495" s="26"/>
      <c r="Q495" s="26"/>
      <c r="R495" s="26"/>
    </row>
    <row r="496" spans="8:18">
      <c r="H496" s="26"/>
      <c r="K496" s="26"/>
      <c r="M496" s="26"/>
      <c r="N496" s="26"/>
      <c r="O496" s="26"/>
      <c r="P496" s="26"/>
      <c r="Q496" s="26"/>
      <c r="R496" s="26"/>
    </row>
    <row r="497" spans="8:18">
      <c r="H497" s="26"/>
      <c r="K497" s="26"/>
      <c r="M497" s="26"/>
      <c r="N497" s="26"/>
      <c r="O497" s="26"/>
      <c r="P497" s="26"/>
      <c r="Q497" s="26"/>
      <c r="R497" s="26"/>
    </row>
    <row r="498" spans="8:18">
      <c r="H498" s="26"/>
      <c r="K498" s="26"/>
      <c r="M498" s="26"/>
      <c r="N498" s="26"/>
      <c r="O498" s="26"/>
      <c r="P498" s="26"/>
      <c r="Q498" s="26"/>
      <c r="R498" s="26"/>
    </row>
    <row r="499" spans="8:18">
      <c r="H499" s="26"/>
      <c r="K499" s="26"/>
      <c r="M499" s="26"/>
      <c r="N499" s="26"/>
      <c r="O499" s="26"/>
      <c r="P499" s="26"/>
      <c r="Q499" s="26"/>
      <c r="R499" s="26"/>
    </row>
    <row r="500" spans="8:18">
      <c r="H500" s="26"/>
      <c r="K500" s="26"/>
      <c r="M500" s="26"/>
      <c r="N500" s="26"/>
      <c r="O500" s="26"/>
      <c r="P500" s="26"/>
      <c r="Q500" s="26"/>
      <c r="R500" s="26"/>
    </row>
    <row r="501" spans="8:18">
      <c r="H501" s="26"/>
      <c r="K501" s="26"/>
      <c r="M501" s="26"/>
      <c r="N501" s="26"/>
      <c r="O501" s="26"/>
      <c r="P501" s="26"/>
      <c r="Q501" s="26"/>
      <c r="R501" s="26"/>
    </row>
    <row r="502" spans="8:18">
      <c r="H502" s="26"/>
      <c r="K502" s="26"/>
      <c r="M502" s="26"/>
      <c r="N502" s="26"/>
      <c r="O502" s="26"/>
      <c r="P502" s="26"/>
      <c r="Q502" s="26"/>
      <c r="R502" s="26"/>
    </row>
    <row r="503" spans="8:18">
      <c r="H503" s="26"/>
      <c r="K503" s="26"/>
      <c r="M503" s="26"/>
      <c r="N503" s="26"/>
      <c r="O503" s="26"/>
      <c r="P503" s="26"/>
      <c r="Q503" s="26"/>
      <c r="R503" s="26"/>
    </row>
    <row r="504" spans="8:18">
      <c r="H504" s="26"/>
      <c r="K504" s="26"/>
      <c r="M504" s="26"/>
      <c r="N504" s="26"/>
      <c r="O504" s="26"/>
      <c r="P504" s="26"/>
      <c r="Q504" s="26"/>
      <c r="R504" s="26"/>
    </row>
    <row r="505" spans="8:18">
      <c r="H505" s="26"/>
      <c r="K505" s="26"/>
      <c r="M505" s="26"/>
      <c r="N505" s="26"/>
      <c r="O505" s="26"/>
      <c r="P505" s="26"/>
      <c r="Q505" s="26"/>
      <c r="R505" s="26"/>
    </row>
    <row r="506" spans="8:18">
      <c r="H506" s="26"/>
      <c r="K506" s="26"/>
      <c r="M506" s="26"/>
      <c r="N506" s="26"/>
      <c r="O506" s="26"/>
      <c r="P506" s="26"/>
      <c r="Q506" s="26"/>
      <c r="R506" s="26"/>
    </row>
    <row r="507" spans="8:18">
      <c r="H507" s="26"/>
      <c r="K507" s="26"/>
      <c r="M507" s="26"/>
      <c r="N507" s="26"/>
      <c r="O507" s="26"/>
      <c r="P507" s="26"/>
      <c r="Q507" s="26"/>
      <c r="R507" s="26"/>
    </row>
    <row r="508" spans="8:18">
      <c r="H508" s="26"/>
      <c r="K508" s="26"/>
      <c r="M508" s="26"/>
      <c r="N508" s="26"/>
      <c r="O508" s="26"/>
      <c r="P508" s="26"/>
      <c r="Q508" s="26"/>
      <c r="R508" s="26"/>
    </row>
    <row r="509" spans="8:18">
      <c r="H509" s="26"/>
      <c r="K509" s="26"/>
      <c r="M509" s="26"/>
      <c r="N509" s="26"/>
      <c r="O509" s="26"/>
      <c r="P509" s="26"/>
      <c r="Q509" s="26"/>
      <c r="R509" s="26"/>
    </row>
    <row r="510" spans="8:18">
      <c r="H510" s="26"/>
      <c r="K510" s="26"/>
      <c r="M510" s="26"/>
      <c r="N510" s="26"/>
      <c r="O510" s="26"/>
      <c r="P510" s="26"/>
      <c r="Q510" s="26"/>
      <c r="R510" s="26"/>
    </row>
    <row r="511" spans="8:18">
      <c r="H511" s="26"/>
      <c r="K511" s="26"/>
      <c r="M511" s="26"/>
      <c r="N511" s="26"/>
      <c r="O511" s="26"/>
      <c r="P511" s="26"/>
      <c r="Q511" s="26"/>
      <c r="R511" s="26"/>
    </row>
    <row r="512" spans="8:18">
      <c r="H512" s="26"/>
      <c r="K512" s="26"/>
      <c r="M512" s="26"/>
      <c r="N512" s="26"/>
      <c r="O512" s="26"/>
      <c r="P512" s="26"/>
      <c r="Q512" s="26"/>
      <c r="R512" s="26"/>
    </row>
    <row r="513" spans="8:18">
      <c r="H513" s="26"/>
      <c r="K513" s="26"/>
      <c r="M513" s="26"/>
      <c r="N513" s="26"/>
      <c r="O513" s="26"/>
      <c r="P513" s="26"/>
      <c r="Q513" s="26"/>
      <c r="R513" s="26"/>
    </row>
    <row r="514" spans="8:18">
      <c r="H514" s="26"/>
      <c r="K514" s="26"/>
      <c r="M514" s="26"/>
      <c r="N514" s="26"/>
      <c r="O514" s="26"/>
      <c r="P514" s="26"/>
      <c r="Q514" s="26"/>
      <c r="R514" s="26"/>
    </row>
    <row r="515" spans="8:18">
      <c r="H515" s="26"/>
      <c r="K515" s="26"/>
      <c r="M515" s="26"/>
      <c r="N515" s="26"/>
      <c r="O515" s="26"/>
      <c r="P515" s="26"/>
      <c r="Q515" s="26"/>
      <c r="R515" s="26"/>
    </row>
    <row r="516" spans="8:18">
      <c r="H516" s="26"/>
      <c r="K516" s="26"/>
      <c r="M516" s="26"/>
      <c r="N516" s="26"/>
      <c r="O516" s="26"/>
      <c r="P516" s="26"/>
      <c r="Q516" s="26"/>
      <c r="R516" s="26"/>
    </row>
    <row r="517" spans="8:18">
      <c r="H517" s="26"/>
      <c r="K517" s="26"/>
      <c r="M517" s="26"/>
      <c r="N517" s="26"/>
      <c r="O517" s="26"/>
      <c r="P517" s="26"/>
      <c r="Q517" s="26"/>
      <c r="R517" s="26"/>
    </row>
    <row r="518" spans="8:18">
      <c r="H518" s="26"/>
      <c r="K518" s="26"/>
      <c r="M518" s="26"/>
      <c r="N518" s="26"/>
      <c r="O518" s="26"/>
      <c r="P518" s="26"/>
      <c r="Q518" s="26"/>
      <c r="R518" s="26"/>
    </row>
    <row r="519" spans="8:18">
      <c r="H519" s="26"/>
      <c r="K519" s="26"/>
      <c r="M519" s="26"/>
      <c r="N519" s="26"/>
      <c r="O519" s="26"/>
      <c r="P519" s="26"/>
      <c r="Q519" s="26"/>
      <c r="R519" s="26"/>
    </row>
    <row r="520" spans="8:18">
      <c r="H520" s="26"/>
      <c r="K520" s="26"/>
      <c r="M520" s="26"/>
      <c r="N520" s="26"/>
      <c r="O520" s="26"/>
      <c r="P520" s="26"/>
      <c r="Q520" s="26"/>
      <c r="R520" s="26"/>
    </row>
    <row r="521" spans="8:18">
      <c r="H521" s="26"/>
      <c r="K521" s="26"/>
      <c r="M521" s="26"/>
      <c r="N521" s="26"/>
      <c r="O521" s="26"/>
      <c r="P521" s="26"/>
      <c r="Q521" s="26"/>
      <c r="R521" s="26"/>
    </row>
    <row r="522" spans="8:18">
      <c r="H522" s="26"/>
      <c r="K522" s="26"/>
      <c r="M522" s="26"/>
      <c r="N522" s="26"/>
      <c r="O522" s="26"/>
      <c r="P522" s="26"/>
      <c r="Q522" s="26"/>
      <c r="R522" s="26"/>
    </row>
    <row r="523" spans="8:18">
      <c r="H523" s="26"/>
      <c r="K523" s="26"/>
      <c r="M523" s="26"/>
      <c r="N523" s="26"/>
      <c r="O523" s="26"/>
      <c r="P523" s="26"/>
      <c r="Q523" s="26"/>
      <c r="R523" s="26"/>
    </row>
    <row r="524" spans="8:18">
      <c r="H524" s="26"/>
      <c r="K524" s="26"/>
      <c r="M524" s="26"/>
      <c r="N524" s="26"/>
      <c r="O524" s="26"/>
      <c r="P524" s="26"/>
      <c r="Q524" s="26"/>
      <c r="R524" s="26"/>
    </row>
    <row r="525" spans="8:18">
      <c r="H525" s="26"/>
      <c r="K525" s="26"/>
      <c r="M525" s="26"/>
      <c r="N525" s="26"/>
      <c r="O525" s="26"/>
      <c r="P525" s="26"/>
      <c r="Q525" s="26"/>
      <c r="R525" s="26"/>
    </row>
    <row r="526" spans="8:18">
      <c r="H526" s="26"/>
      <c r="K526" s="26"/>
      <c r="M526" s="26"/>
      <c r="N526" s="26"/>
      <c r="O526" s="26"/>
      <c r="P526" s="26"/>
      <c r="Q526" s="26"/>
      <c r="R526" s="26"/>
    </row>
    <row r="527" spans="8:18">
      <c r="H527" s="26"/>
      <c r="K527" s="26"/>
      <c r="M527" s="26"/>
      <c r="N527" s="26"/>
      <c r="O527" s="26"/>
      <c r="P527" s="26"/>
      <c r="Q527" s="26"/>
      <c r="R527" s="26"/>
    </row>
    <row r="528" spans="8:18">
      <c r="H528" s="26"/>
      <c r="K528" s="26"/>
      <c r="M528" s="26"/>
      <c r="N528" s="26"/>
      <c r="O528" s="26"/>
      <c r="P528" s="26"/>
      <c r="Q528" s="26"/>
      <c r="R528" s="26"/>
    </row>
    <row r="529" spans="8:18">
      <c r="H529" s="26"/>
      <c r="K529" s="26"/>
      <c r="M529" s="26"/>
      <c r="N529" s="26"/>
      <c r="O529" s="26"/>
      <c r="P529" s="26"/>
      <c r="Q529" s="26"/>
      <c r="R529" s="26"/>
    </row>
    <row r="530" spans="8:18">
      <c r="H530" s="26"/>
      <c r="K530" s="26"/>
      <c r="M530" s="26"/>
      <c r="N530" s="26"/>
      <c r="O530" s="26"/>
      <c r="P530" s="26"/>
      <c r="Q530" s="26"/>
      <c r="R530" s="26"/>
    </row>
    <row r="531" spans="8:18">
      <c r="H531" s="26"/>
      <c r="K531" s="26"/>
      <c r="M531" s="26"/>
      <c r="N531" s="26"/>
      <c r="O531" s="26"/>
      <c r="P531" s="26"/>
      <c r="Q531" s="26"/>
      <c r="R531" s="26"/>
    </row>
    <row r="532" spans="8:18">
      <c r="H532" s="26"/>
      <c r="K532" s="26"/>
      <c r="M532" s="26"/>
      <c r="N532" s="26"/>
      <c r="O532" s="26"/>
      <c r="P532" s="26"/>
      <c r="Q532" s="26"/>
      <c r="R532" s="26"/>
    </row>
    <row r="533" spans="8:18">
      <c r="H533" s="26"/>
      <c r="K533" s="26"/>
      <c r="M533" s="26"/>
      <c r="N533" s="26"/>
      <c r="O533" s="26"/>
      <c r="P533" s="26"/>
      <c r="Q533" s="26"/>
      <c r="R533" s="26"/>
    </row>
    <row r="534" spans="8:18">
      <c r="H534" s="26"/>
      <c r="K534" s="26"/>
      <c r="M534" s="26"/>
      <c r="N534" s="26"/>
      <c r="O534" s="26"/>
      <c r="P534" s="26"/>
      <c r="Q534" s="26"/>
      <c r="R534" s="26"/>
    </row>
    <row r="535" spans="8:18">
      <c r="H535" s="26"/>
      <c r="K535" s="26"/>
      <c r="M535" s="26"/>
      <c r="N535" s="26"/>
      <c r="O535" s="26"/>
      <c r="P535" s="26"/>
      <c r="Q535" s="26"/>
      <c r="R535" s="26"/>
    </row>
    <row r="536" spans="8:18">
      <c r="H536" s="26"/>
      <c r="K536" s="26"/>
      <c r="M536" s="26"/>
      <c r="N536" s="26"/>
      <c r="O536" s="26"/>
      <c r="P536" s="26"/>
      <c r="Q536" s="26"/>
      <c r="R536" s="26"/>
    </row>
    <row r="537" spans="8:18">
      <c r="H537" s="26"/>
      <c r="K537" s="26"/>
      <c r="M537" s="26"/>
      <c r="N537" s="26"/>
      <c r="O537" s="26"/>
      <c r="P537" s="26"/>
      <c r="Q537" s="26"/>
      <c r="R537" s="26"/>
    </row>
    <row r="538" spans="8:18">
      <c r="H538" s="26"/>
      <c r="K538" s="26"/>
      <c r="M538" s="26"/>
      <c r="N538" s="26"/>
      <c r="O538" s="26"/>
      <c r="P538" s="26"/>
      <c r="Q538" s="26"/>
      <c r="R538" s="26"/>
    </row>
    <row r="539" spans="8:18">
      <c r="H539" s="26"/>
      <c r="K539" s="26"/>
      <c r="M539" s="26"/>
      <c r="N539" s="26"/>
      <c r="O539" s="26"/>
      <c r="P539" s="26"/>
      <c r="Q539" s="26"/>
      <c r="R539" s="26"/>
    </row>
    <row r="540" spans="8:18">
      <c r="H540" s="26"/>
      <c r="K540" s="26"/>
      <c r="M540" s="26"/>
      <c r="N540" s="26"/>
      <c r="O540" s="26"/>
      <c r="P540" s="26"/>
      <c r="Q540" s="26"/>
      <c r="R540" s="26"/>
    </row>
    <row r="541" spans="8:18">
      <c r="H541" s="26"/>
      <c r="K541" s="26"/>
      <c r="M541" s="26"/>
      <c r="N541" s="26"/>
      <c r="O541" s="26"/>
      <c r="P541" s="26"/>
      <c r="Q541" s="26"/>
      <c r="R541" s="26"/>
    </row>
    <row r="542" spans="8:18">
      <c r="H542" s="26"/>
      <c r="K542" s="26"/>
      <c r="M542" s="26"/>
      <c r="N542" s="26"/>
      <c r="O542" s="26"/>
      <c r="P542" s="26"/>
      <c r="Q542" s="26"/>
      <c r="R542" s="26"/>
    </row>
    <row r="543" spans="8:18">
      <c r="H543" s="26"/>
      <c r="K543" s="26"/>
      <c r="M543" s="26"/>
      <c r="N543" s="26"/>
      <c r="O543" s="26"/>
      <c r="P543" s="26"/>
      <c r="Q543" s="26"/>
      <c r="R543" s="26"/>
    </row>
    <row r="544" spans="8:18">
      <c r="H544" s="26"/>
      <c r="K544" s="26"/>
      <c r="M544" s="26"/>
      <c r="N544" s="26"/>
      <c r="O544" s="26"/>
      <c r="P544" s="26"/>
      <c r="Q544" s="26"/>
      <c r="R544" s="26"/>
    </row>
    <row r="545" spans="8:18">
      <c r="H545" s="26"/>
      <c r="K545" s="26"/>
      <c r="M545" s="26"/>
      <c r="N545" s="26"/>
      <c r="O545" s="26"/>
      <c r="P545" s="26"/>
      <c r="Q545" s="26"/>
      <c r="R545" s="26"/>
    </row>
    <row r="546" spans="8:18">
      <c r="H546" s="26"/>
      <c r="K546" s="26"/>
      <c r="M546" s="26"/>
      <c r="N546" s="26"/>
      <c r="O546" s="26"/>
      <c r="P546" s="26"/>
      <c r="Q546" s="26"/>
      <c r="R546" s="26"/>
    </row>
    <row r="547" spans="8:18">
      <c r="H547" s="26"/>
      <c r="K547" s="26"/>
      <c r="M547" s="26"/>
      <c r="N547" s="26"/>
      <c r="O547" s="26"/>
      <c r="P547" s="26"/>
      <c r="Q547" s="26"/>
      <c r="R547" s="26"/>
    </row>
    <row r="548" spans="8:18">
      <c r="H548" s="26"/>
      <c r="K548" s="26"/>
      <c r="M548" s="26"/>
      <c r="N548" s="26"/>
      <c r="O548" s="26"/>
      <c r="P548" s="26"/>
      <c r="Q548" s="26"/>
      <c r="R548" s="26"/>
    </row>
    <row r="549" spans="8:18">
      <c r="H549" s="26"/>
      <c r="K549" s="26"/>
      <c r="M549" s="26"/>
      <c r="N549" s="26"/>
      <c r="O549" s="26"/>
      <c r="P549" s="26"/>
      <c r="Q549" s="26"/>
      <c r="R549" s="26"/>
    </row>
    <row r="550" spans="8:18">
      <c r="H550" s="26"/>
      <c r="K550" s="26"/>
      <c r="M550" s="26"/>
      <c r="N550" s="26"/>
      <c r="O550" s="26"/>
      <c r="P550" s="26"/>
      <c r="Q550" s="26"/>
      <c r="R550" s="26"/>
    </row>
    <row r="551" spans="8:18">
      <c r="H551" s="26"/>
      <c r="K551" s="26"/>
      <c r="M551" s="26"/>
      <c r="N551" s="26"/>
      <c r="O551" s="26"/>
      <c r="P551" s="26"/>
      <c r="Q551" s="26"/>
      <c r="R551" s="26"/>
    </row>
    <row r="552" spans="8:18">
      <c r="H552" s="26"/>
      <c r="K552" s="26"/>
      <c r="M552" s="26"/>
      <c r="N552" s="26"/>
      <c r="O552" s="26"/>
      <c r="P552" s="26"/>
      <c r="Q552" s="26"/>
      <c r="R552" s="26"/>
    </row>
    <row r="553" spans="8:18">
      <c r="H553" s="26"/>
      <c r="K553" s="26"/>
      <c r="M553" s="26"/>
      <c r="N553" s="26"/>
      <c r="O553" s="26"/>
      <c r="P553" s="26"/>
      <c r="Q553" s="26"/>
      <c r="R553" s="26"/>
    </row>
    <row r="554" spans="8:18">
      <c r="H554" s="26"/>
      <c r="K554" s="26"/>
      <c r="M554" s="26"/>
      <c r="N554" s="26"/>
      <c r="O554" s="26"/>
      <c r="P554" s="26"/>
      <c r="Q554" s="26"/>
      <c r="R554" s="26"/>
    </row>
    <row r="555" spans="8:18">
      <c r="H555" s="26"/>
      <c r="K555" s="26"/>
      <c r="M555" s="26"/>
      <c r="N555" s="26"/>
      <c r="O555" s="26"/>
      <c r="P555" s="26"/>
      <c r="Q555" s="26"/>
      <c r="R555" s="26"/>
    </row>
    <row r="556" spans="8:18">
      <c r="H556" s="26"/>
      <c r="K556" s="26"/>
      <c r="M556" s="26"/>
      <c r="N556" s="26"/>
      <c r="O556" s="26"/>
      <c r="P556" s="26"/>
      <c r="Q556" s="26"/>
      <c r="R556" s="26"/>
    </row>
    <row r="557" spans="8:18">
      <c r="H557" s="26"/>
      <c r="K557" s="26"/>
      <c r="M557" s="26"/>
      <c r="N557" s="26"/>
      <c r="O557" s="26"/>
      <c r="P557" s="26"/>
      <c r="Q557" s="26"/>
      <c r="R557" s="26"/>
    </row>
    <row r="558" spans="8:18">
      <c r="H558" s="26"/>
      <c r="K558" s="26"/>
      <c r="M558" s="26"/>
      <c r="N558" s="26"/>
      <c r="O558" s="26"/>
      <c r="P558" s="26"/>
      <c r="Q558" s="26"/>
      <c r="R558" s="26"/>
    </row>
    <row r="559" spans="8:18">
      <c r="H559" s="26"/>
      <c r="K559" s="26"/>
      <c r="M559" s="26"/>
      <c r="N559" s="26"/>
      <c r="O559" s="26"/>
      <c r="P559" s="26"/>
      <c r="Q559" s="26"/>
      <c r="R559" s="26"/>
    </row>
    <row r="560" spans="8:18">
      <c r="H560" s="26"/>
      <c r="K560" s="26"/>
      <c r="M560" s="26"/>
      <c r="N560" s="26"/>
      <c r="O560" s="26"/>
      <c r="P560" s="26"/>
      <c r="Q560" s="26"/>
      <c r="R560" s="26"/>
    </row>
    <row r="561" spans="8:18">
      <c r="H561" s="26"/>
      <c r="K561" s="26"/>
      <c r="M561" s="26"/>
      <c r="N561" s="26"/>
      <c r="O561" s="26"/>
      <c r="P561" s="26"/>
      <c r="Q561" s="26"/>
      <c r="R561" s="26"/>
    </row>
    <row r="562" spans="8:18">
      <c r="H562" s="26"/>
      <c r="K562" s="26"/>
      <c r="M562" s="26"/>
      <c r="N562" s="26"/>
      <c r="O562" s="26"/>
      <c r="P562" s="26"/>
      <c r="Q562" s="26"/>
      <c r="R562" s="26"/>
    </row>
    <row r="563" spans="8:18">
      <c r="H563" s="26"/>
      <c r="K563" s="26"/>
      <c r="M563" s="26"/>
      <c r="N563" s="26"/>
      <c r="O563" s="26"/>
      <c r="P563" s="26"/>
      <c r="Q563" s="26"/>
      <c r="R563" s="26"/>
    </row>
    <row r="564" spans="8:18">
      <c r="H564" s="26"/>
      <c r="K564" s="26"/>
      <c r="M564" s="26"/>
      <c r="N564" s="26"/>
      <c r="O564" s="26"/>
      <c r="P564" s="26"/>
      <c r="Q564" s="26"/>
      <c r="R564" s="26"/>
    </row>
    <row r="565" spans="8:18">
      <c r="H565" s="26"/>
      <c r="K565" s="26"/>
      <c r="M565" s="26"/>
      <c r="N565" s="26"/>
      <c r="O565" s="26"/>
      <c r="P565" s="26"/>
      <c r="Q565" s="26"/>
      <c r="R565" s="26"/>
    </row>
    <row r="566" spans="8:18">
      <c r="H566" s="26"/>
      <c r="K566" s="26"/>
      <c r="M566" s="26"/>
      <c r="N566" s="26"/>
      <c r="O566" s="26"/>
      <c r="P566" s="26"/>
      <c r="Q566" s="26"/>
      <c r="R566" s="26"/>
    </row>
    <row r="567" spans="8:18">
      <c r="H567" s="26"/>
      <c r="K567" s="26"/>
      <c r="M567" s="26"/>
      <c r="N567" s="26"/>
      <c r="O567" s="26"/>
      <c r="P567" s="26"/>
      <c r="Q567" s="26"/>
      <c r="R567" s="26"/>
    </row>
    <row r="568" spans="8:18">
      <c r="H568" s="26"/>
      <c r="K568" s="26"/>
      <c r="M568" s="26"/>
      <c r="N568" s="26"/>
      <c r="O568" s="26"/>
      <c r="P568" s="26"/>
      <c r="Q568" s="26"/>
      <c r="R568" s="26"/>
    </row>
    <row r="569" spans="8:18">
      <c r="H569" s="26"/>
      <c r="K569" s="26"/>
      <c r="M569" s="26"/>
      <c r="N569" s="26"/>
      <c r="O569" s="26"/>
      <c r="P569" s="26"/>
      <c r="Q569" s="26"/>
      <c r="R569" s="26"/>
    </row>
    <row r="570" spans="8:18">
      <c r="H570" s="26"/>
      <c r="K570" s="26"/>
      <c r="M570" s="26"/>
      <c r="N570" s="26"/>
      <c r="O570" s="26"/>
      <c r="P570" s="26"/>
      <c r="Q570" s="26"/>
      <c r="R570" s="26"/>
    </row>
    <row r="571" spans="8:18">
      <c r="H571" s="26"/>
      <c r="K571" s="26"/>
      <c r="M571" s="26"/>
      <c r="N571" s="26"/>
      <c r="O571" s="26"/>
      <c r="P571" s="26"/>
      <c r="Q571" s="26"/>
      <c r="R571" s="26"/>
    </row>
    <row r="572" spans="8:18">
      <c r="H572" s="26"/>
      <c r="K572" s="26"/>
      <c r="M572" s="26"/>
      <c r="N572" s="26"/>
      <c r="O572" s="26"/>
      <c r="P572" s="26"/>
      <c r="Q572" s="26"/>
      <c r="R572" s="26"/>
    </row>
    <row r="573" spans="8:18">
      <c r="H573" s="26"/>
      <c r="K573" s="26"/>
      <c r="M573" s="26"/>
      <c r="N573" s="26"/>
      <c r="O573" s="26"/>
      <c r="P573" s="26"/>
      <c r="Q573" s="26"/>
      <c r="R573" s="26"/>
    </row>
    <row r="574" spans="8:18">
      <c r="H574" s="26"/>
      <c r="K574" s="26"/>
      <c r="M574" s="26"/>
      <c r="N574" s="26"/>
      <c r="O574" s="26"/>
      <c r="P574" s="26"/>
      <c r="Q574" s="26"/>
      <c r="R574" s="26"/>
    </row>
    <row r="575" spans="8:18">
      <c r="H575" s="26"/>
      <c r="K575" s="26"/>
      <c r="M575" s="26"/>
      <c r="N575" s="26"/>
      <c r="O575" s="26"/>
      <c r="P575" s="26"/>
      <c r="Q575" s="26"/>
      <c r="R575" s="26"/>
    </row>
    <row r="576" spans="8:18">
      <c r="H576" s="26"/>
      <c r="K576" s="26"/>
      <c r="M576" s="26"/>
      <c r="N576" s="26"/>
      <c r="O576" s="26"/>
      <c r="P576" s="26"/>
      <c r="Q576" s="26"/>
      <c r="R576" s="26"/>
    </row>
    <row r="577" spans="8:18">
      <c r="H577" s="26"/>
      <c r="K577" s="26"/>
      <c r="M577" s="26"/>
      <c r="N577" s="26"/>
      <c r="O577" s="26"/>
      <c r="P577" s="26"/>
      <c r="Q577" s="26"/>
      <c r="R577" s="26"/>
    </row>
    <row r="578" spans="8:18">
      <c r="H578" s="26"/>
      <c r="K578" s="26"/>
      <c r="M578" s="26"/>
      <c r="N578" s="26"/>
      <c r="O578" s="26"/>
      <c r="P578" s="26"/>
      <c r="Q578" s="26"/>
      <c r="R578" s="26"/>
    </row>
    <row r="579" spans="8:18">
      <c r="H579" s="26"/>
      <c r="K579" s="26"/>
      <c r="M579" s="26"/>
      <c r="N579" s="26"/>
      <c r="O579" s="26"/>
      <c r="P579" s="26"/>
      <c r="Q579" s="26"/>
      <c r="R579" s="26"/>
    </row>
    <row r="580" spans="8:18">
      <c r="H580" s="26"/>
      <c r="K580" s="26"/>
      <c r="M580" s="26"/>
      <c r="N580" s="26"/>
      <c r="O580" s="26"/>
      <c r="P580" s="26"/>
      <c r="Q580" s="26"/>
      <c r="R580" s="26"/>
    </row>
    <row r="581" spans="8:18">
      <c r="H581" s="26"/>
      <c r="K581" s="26"/>
      <c r="M581" s="26"/>
      <c r="N581" s="26"/>
      <c r="O581" s="26"/>
      <c r="P581" s="26"/>
      <c r="Q581" s="26"/>
      <c r="R581" s="26"/>
    </row>
    <row r="582" spans="8:18">
      <c r="H582" s="26"/>
      <c r="K582" s="26"/>
      <c r="M582" s="26"/>
      <c r="N582" s="26"/>
      <c r="O582" s="26"/>
      <c r="P582" s="26"/>
      <c r="Q582" s="26"/>
      <c r="R582" s="26"/>
    </row>
    <row r="583" spans="8:18">
      <c r="H583" s="26"/>
      <c r="K583" s="26"/>
      <c r="M583" s="26"/>
      <c r="N583" s="26"/>
      <c r="O583" s="26"/>
      <c r="P583" s="26"/>
      <c r="Q583" s="26"/>
      <c r="R583" s="26"/>
    </row>
    <row r="584" spans="8:18">
      <c r="H584" s="26"/>
      <c r="K584" s="26"/>
      <c r="M584" s="26"/>
      <c r="N584" s="26"/>
      <c r="O584" s="26"/>
      <c r="P584" s="26"/>
      <c r="Q584" s="26"/>
      <c r="R584" s="26"/>
    </row>
    <row r="585" spans="8:18">
      <c r="H585" s="26"/>
      <c r="K585" s="26"/>
      <c r="M585" s="26"/>
      <c r="N585" s="26"/>
      <c r="O585" s="26"/>
      <c r="P585" s="26"/>
      <c r="Q585" s="26"/>
      <c r="R585" s="26"/>
    </row>
    <row r="586" spans="8:18">
      <c r="H586" s="26"/>
      <c r="K586" s="26"/>
      <c r="M586" s="26"/>
      <c r="N586" s="26"/>
      <c r="O586" s="26"/>
      <c r="P586" s="26"/>
      <c r="Q586" s="26"/>
      <c r="R586" s="26"/>
    </row>
    <row r="587" spans="8:18">
      <c r="H587" s="26"/>
      <c r="K587" s="26"/>
      <c r="M587" s="26"/>
      <c r="N587" s="26"/>
      <c r="O587" s="26"/>
      <c r="P587" s="26"/>
      <c r="Q587" s="26"/>
      <c r="R587" s="26"/>
    </row>
    <row r="588" spans="8:18">
      <c r="H588" s="26"/>
      <c r="K588" s="26"/>
      <c r="M588" s="26"/>
      <c r="N588" s="26"/>
      <c r="O588" s="26"/>
      <c r="P588" s="26"/>
      <c r="Q588" s="26"/>
      <c r="R588" s="26"/>
    </row>
    <row r="589" spans="8:18">
      <c r="H589" s="26"/>
      <c r="K589" s="26"/>
      <c r="M589" s="26"/>
      <c r="N589" s="26"/>
      <c r="O589" s="26"/>
      <c r="P589" s="26"/>
      <c r="Q589" s="26"/>
      <c r="R589" s="26"/>
    </row>
    <row r="590" spans="8:18">
      <c r="H590" s="26"/>
      <c r="K590" s="26"/>
      <c r="M590" s="26"/>
      <c r="N590" s="26"/>
      <c r="O590" s="26"/>
      <c r="P590" s="26"/>
      <c r="Q590" s="26"/>
      <c r="R590" s="26"/>
    </row>
    <row r="591" spans="8:18">
      <c r="H591" s="26"/>
      <c r="K591" s="26"/>
      <c r="M591" s="26"/>
      <c r="N591" s="26"/>
      <c r="O591" s="26"/>
      <c r="P591" s="26"/>
      <c r="Q591" s="26"/>
      <c r="R591" s="26"/>
    </row>
    <row r="592" spans="8:18">
      <c r="H592" s="26"/>
      <c r="K592" s="26"/>
      <c r="M592" s="26"/>
      <c r="N592" s="26"/>
      <c r="O592" s="26"/>
      <c r="P592" s="26"/>
      <c r="Q592" s="26"/>
      <c r="R592" s="26"/>
    </row>
    <row r="593" spans="8:18">
      <c r="H593" s="26"/>
      <c r="K593" s="26"/>
      <c r="M593" s="26"/>
      <c r="N593" s="26"/>
      <c r="O593" s="26"/>
      <c r="P593" s="26"/>
      <c r="Q593" s="26"/>
      <c r="R593" s="26"/>
    </row>
    <row r="594" spans="8:18">
      <c r="H594" s="26"/>
      <c r="K594" s="26"/>
      <c r="M594" s="26"/>
      <c r="N594" s="26"/>
      <c r="O594" s="26"/>
      <c r="P594" s="26"/>
      <c r="Q594" s="26"/>
      <c r="R594" s="26"/>
    </row>
    <row r="595" spans="8:18">
      <c r="H595" s="26"/>
      <c r="K595" s="26"/>
      <c r="M595" s="26"/>
      <c r="N595" s="26"/>
      <c r="O595" s="26"/>
      <c r="P595" s="26"/>
      <c r="Q595" s="26"/>
      <c r="R595" s="26"/>
    </row>
    <row r="596" spans="8:18">
      <c r="H596" s="26"/>
      <c r="K596" s="26"/>
      <c r="M596" s="26"/>
      <c r="N596" s="26"/>
      <c r="O596" s="26"/>
      <c r="P596" s="26"/>
      <c r="Q596" s="26"/>
      <c r="R596" s="26"/>
    </row>
    <row r="597" spans="8:18">
      <c r="H597" s="26"/>
      <c r="K597" s="26"/>
      <c r="M597" s="26"/>
      <c r="N597" s="26"/>
      <c r="O597" s="26"/>
      <c r="P597" s="26"/>
      <c r="Q597" s="26"/>
      <c r="R597" s="26"/>
    </row>
    <row r="598" spans="8:18">
      <c r="H598" s="26"/>
      <c r="K598" s="26"/>
      <c r="M598" s="26"/>
      <c r="N598" s="26"/>
      <c r="O598" s="26"/>
      <c r="P598" s="26"/>
      <c r="Q598" s="26"/>
      <c r="R598" s="26"/>
    </row>
    <row r="599" spans="8:18">
      <c r="H599" s="26"/>
      <c r="K599" s="26"/>
      <c r="M599" s="26"/>
      <c r="N599" s="26"/>
      <c r="O599" s="26"/>
      <c r="P599" s="26"/>
      <c r="Q599" s="26"/>
      <c r="R599" s="26"/>
    </row>
    <row r="600" spans="8:18">
      <c r="H600" s="26"/>
      <c r="K600" s="26"/>
      <c r="M600" s="26"/>
      <c r="N600" s="26"/>
      <c r="O600" s="26"/>
      <c r="P600" s="26"/>
      <c r="Q600" s="26"/>
      <c r="R600" s="26"/>
    </row>
    <row r="601" spans="8:18">
      <c r="H601" s="26"/>
      <c r="K601" s="26"/>
      <c r="M601" s="26"/>
      <c r="N601" s="26"/>
      <c r="O601" s="26"/>
      <c r="P601" s="26"/>
      <c r="Q601" s="26"/>
      <c r="R601" s="26"/>
    </row>
    <row r="602" spans="8:18">
      <c r="H602" s="26"/>
      <c r="K602" s="26"/>
      <c r="M602" s="26"/>
      <c r="N602" s="26"/>
      <c r="O602" s="26"/>
      <c r="P602" s="26"/>
      <c r="Q602" s="26"/>
      <c r="R602" s="26"/>
    </row>
    <row r="603" spans="8:18">
      <c r="H603" s="26"/>
      <c r="K603" s="26"/>
      <c r="M603" s="26"/>
      <c r="N603" s="26"/>
      <c r="O603" s="26"/>
      <c r="P603" s="26"/>
      <c r="Q603" s="26"/>
      <c r="R603" s="26"/>
    </row>
    <row r="604" spans="8:18">
      <c r="H604" s="26"/>
      <c r="K604" s="26"/>
      <c r="M604" s="26"/>
      <c r="N604" s="26"/>
      <c r="O604" s="26"/>
      <c r="P604" s="26"/>
      <c r="Q604" s="26"/>
      <c r="R604" s="26"/>
    </row>
    <row r="605" spans="8:18">
      <c r="H605" s="26"/>
      <c r="K605" s="26"/>
      <c r="M605" s="26"/>
      <c r="N605" s="26"/>
      <c r="O605" s="26"/>
      <c r="P605" s="26"/>
      <c r="Q605" s="26"/>
      <c r="R605" s="26"/>
    </row>
    <row r="606" spans="8:18">
      <c r="H606" s="26"/>
      <c r="K606" s="26"/>
      <c r="M606" s="26"/>
      <c r="N606" s="26"/>
      <c r="O606" s="26"/>
      <c r="P606" s="26"/>
      <c r="Q606" s="26"/>
      <c r="R606" s="26"/>
    </row>
    <row r="607" spans="8:18">
      <c r="H607" s="26"/>
      <c r="K607" s="26"/>
      <c r="M607" s="26"/>
      <c r="N607" s="26"/>
      <c r="O607" s="26"/>
      <c r="P607" s="26"/>
      <c r="Q607" s="26"/>
      <c r="R607" s="26"/>
    </row>
    <row r="608" spans="8:18">
      <c r="H608" s="26"/>
      <c r="K608" s="26"/>
      <c r="M608" s="26"/>
      <c r="N608" s="26"/>
      <c r="O608" s="26"/>
      <c r="P608" s="26"/>
      <c r="Q608" s="26"/>
      <c r="R608" s="26"/>
    </row>
    <row r="609" spans="8:18">
      <c r="H609" s="26"/>
      <c r="K609" s="26"/>
      <c r="M609" s="26"/>
      <c r="N609" s="26"/>
      <c r="O609" s="26"/>
      <c r="P609" s="26"/>
      <c r="Q609" s="26"/>
      <c r="R609" s="26"/>
    </row>
    <row r="610" spans="8:18">
      <c r="H610" s="26"/>
      <c r="K610" s="26"/>
      <c r="M610" s="26"/>
      <c r="N610" s="26"/>
      <c r="O610" s="26"/>
      <c r="P610" s="26"/>
      <c r="Q610" s="26"/>
      <c r="R610" s="26"/>
    </row>
    <row r="611" spans="8:18">
      <c r="H611" s="26"/>
      <c r="K611" s="26"/>
      <c r="M611" s="26"/>
      <c r="N611" s="26"/>
      <c r="O611" s="26"/>
      <c r="P611" s="26"/>
      <c r="Q611" s="26"/>
      <c r="R611" s="26"/>
    </row>
    <row r="612" spans="8:18">
      <c r="H612" s="26"/>
      <c r="K612" s="26"/>
      <c r="M612" s="26"/>
      <c r="N612" s="26"/>
      <c r="O612" s="26"/>
      <c r="P612" s="26"/>
      <c r="Q612" s="26"/>
      <c r="R612" s="26"/>
    </row>
    <row r="613" spans="8:18">
      <c r="H613" s="26"/>
      <c r="K613" s="26"/>
      <c r="M613" s="26"/>
      <c r="N613" s="26"/>
      <c r="O613" s="26"/>
      <c r="P613" s="26"/>
      <c r="Q613" s="26"/>
      <c r="R613" s="26"/>
    </row>
    <row r="614" spans="8:18">
      <c r="H614" s="26"/>
      <c r="K614" s="26"/>
      <c r="M614" s="26"/>
      <c r="N614" s="26"/>
      <c r="O614" s="26"/>
      <c r="P614" s="26"/>
      <c r="Q614" s="26"/>
      <c r="R614" s="26"/>
    </row>
    <row r="615" spans="8:18">
      <c r="H615" s="26"/>
      <c r="K615" s="26"/>
      <c r="M615" s="26"/>
      <c r="N615" s="26"/>
      <c r="O615" s="26"/>
      <c r="P615" s="26"/>
      <c r="Q615" s="26"/>
      <c r="R615" s="26"/>
    </row>
    <row r="616" spans="8:18">
      <c r="H616" s="26"/>
      <c r="K616" s="26"/>
      <c r="M616" s="26"/>
      <c r="N616" s="26"/>
      <c r="O616" s="26"/>
      <c r="P616" s="26"/>
      <c r="Q616" s="26"/>
      <c r="R616" s="26"/>
    </row>
    <row r="617" spans="8:18">
      <c r="H617" s="26"/>
      <c r="K617" s="26"/>
      <c r="M617" s="26"/>
      <c r="N617" s="26"/>
      <c r="O617" s="26"/>
      <c r="P617" s="26"/>
      <c r="Q617" s="26"/>
      <c r="R617" s="26"/>
    </row>
    <row r="618" spans="8:18">
      <c r="H618" s="26"/>
      <c r="K618" s="26"/>
      <c r="M618" s="26"/>
      <c r="N618" s="26"/>
      <c r="O618" s="26"/>
      <c r="P618" s="26"/>
      <c r="Q618" s="26"/>
      <c r="R618" s="26"/>
    </row>
    <row r="619" spans="8:18">
      <c r="H619" s="26"/>
      <c r="K619" s="26"/>
      <c r="M619" s="26"/>
      <c r="N619" s="26"/>
      <c r="O619" s="26"/>
      <c r="P619" s="26"/>
      <c r="Q619" s="26"/>
      <c r="R619" s="26"/>
    </row>
    <row r="620" spans="8:18">
      <c r="H620" s="26"/>
      <c r="K620" s="26"/>
      <c r="M620" s="26"/>
      <c r="N620" s="26"/>
      <c r="O620" s="26"/>
      <c r="P620" s="26"/>
      <c r="Q620" s="26"/>
      <c r="R620" s="26"/>
    </row>
    <row r="621" spans="8:18">
      <c r="H621" s="26"/>
      <c r="K621" s="26"/>
      <c r="M621" s="26"/>
      <c r="N621" s="26"/>
      <c r="O621" s="26"/>
      <c r="P621" s="26"/>
      <c r="Q621" s="26"/>
      <c r="R621" s="26"/>
    </row>
    <row r="622" spans="8:18">
      <c r="H622" s="26"/>
      <c r="K622" s="26"/>
      <c r="M622" s="26"/>
      <c r="N622" s="26"/>
      <c r="O622" s="26"/>
      <c r="P622" s="26"/>
      <c r="Q622" s="26"/>
      <c r="R622" s="26"/>
    </row>
    <row r="623" spans="8:18">
      <c r="H623" s="26"/>
      <c r="K623" s="26"/>
      <c r="M623" s="26"/>
      <c r="N623" s="26"/>
      <c r="O623" s="26"/>
      <c r="P623" s="26"/>
      <c r="Q623" s="26"/>
      <c r="R623" s="26"/>
    </row>
    <row r="624" spans="8:18">
      <c r="H624" s="26"/>
      <c r="K624" s="26"/>
      <c r="M624" s="26"/>
      <c r="N624" s="26"/>
      <c r="O624" s="26"/>
      <c r="P624" s="26"/>
      <c r="Q624" s="26"/>
      <c r="R624" s="26"/>
    </row>
    <row r="625" spans="8:18">
      <c r="H625" s="26"/>
      <c r="K625" s="26"/>
      <c r="M625" s="26"/>
      <c r="N625" s="26"/>
      <c r="O625" s="26"/>
      <c r="P625" s="26"/>
      <c r="Q625" s="26"/>
      <c r="R625" s="26"/>
    </row>
    <row r="626" spans="8:18">
      <c r="H626" s="26"/>
      <c r="K626" s="26"/>
      <c r="M626" s="26"/>
      <c r="N626" s="26"/>
      <c r="O626" s="26"/>
      <c r="P626" s="26"/>
      <c r="Q626" s="26"/>
      <c r="R626" s="26"/>
    </row>
    <row r="627" spans="8:18">
      <c r="H627" s="26"/>
      <c r="K627" s="26"/>
      <c r="M627" s="26"/>
      <c r="N627" s="26"/>
      <c r="O627" s="26"/>
      <c r="P627" s="26"/>
      <c r="Q627" s="26"/>
      <c r="R627" s="26"/>
    </row>
    <row r="628" spans="8:18">
      <c r="H628" s="26"/>
      <c r="K628" s="26"/>
      <c r="M628" s="26"/>
      <c r="N628" s="26"/>
      <c r="O628" s="26"/>
      <c r="P628" s="26"/>
      <c r="Q628" s="26"/>
      <c r="R628" s="26"/>
    </row>
    <row r="629" spans="8:18">
      <c r="H629" s="26"/>
      <c r="K629" s="26"/>
      <c r="M629" s="26"/>
      <c r="N629" s="26"/>
      <c r="O629" s="26"/>
      <c r="P629" s="26"/>
      <c r="Q629" s="26"/>
      <c r="R629" s="26"/>
    </row>
    <row r="630" spans="8:18">
      <c r="H630" s="26"/>
      <c r="K630" s="26"/>
      <c r="M630" s="26"/>
      <c r="N630" s="26"/>
      <c r="O630" s="26"/>
      <c r="P630" s="26"/>
      <c r="Q630" s="26"/>
      <c r="R630" s="26"/>
    </row>
    <row r="631" spans="8:18">
      <c r="H631" s="26"/>
      <c r="K631" s="26"/>
      <c r="M631" s="26"/>
      <c r="N631" s="26"/>
      <c r="O631" s="26"/>
      <c r="P631" s="26"/>
      <c r="Q631" s="26"/>
      <c r="R631" s="26"/>
    </row>
    <row r="632" spans="8:18">
      <c r="H632" s="26"/>
      <c r="K632" s="26"/>
      <c r="M632" s="26"/>
      <c r="N632" s="26"/>
      <c r="O632" s="26"/>
      <c r="P632" s="26"/>
      <c r="Q632" s="26"/>
      <c r="R632" s="26"/>
    </row>
    <row r="633" spans="8:18">
      <c r="H633" s="26"/>
      <c r="K633" s="26"/>
      <c r="M633" s="26"/>
      <c r="N633" s="26"/>
      <c r="O633" s="26"/>
      <c r="P633" s="26"/>
      <c r="Q633" s="26"/>
      <c r="R633" s="26"/>
    </row>
    <row r="634" spans="8:18">
      <c r="H634" s="26"/>
      <c r="K634" s="26"/>
      <c r="M634" s="26"/>
      <c r="N634" s="26"/>
      <c r="O634" s="26"/>
      <c r="P634" s="26"/>
      <c r="Q634" s="26"/>
      <c r="R634" s="26"/>
    </row>
    <row r="635" spans="8:18">
      <c r="H635" s="26"/>
      <c r="K635" s="26"/>
      <c r="M635" s="26"/>
      <c r="N635" s="26"/>
      <c r="O635" s="26"/>
      <c r="P635" s="26"/>
      <c r="Q635" s="26"/>
      <c r="R635" s="26"/>
    </row>
    <row r="636" spans="8:18">
      <c r="H636" s="26"/>
      <c r="K636" s="26"/>
      <c r="M636" s="26"/>
      <c r="N636" s="26"/>
      <c r="O636" s="26"/>
      <c r="P636" s="26"/>
      <c r="Q636" s="26"/>
      <c r="R636" s="26"/>
    </row>
    <row r="637" spans="8:18">
      <c r="H637" s="26"/>
      <c r="K637" s="26"/>
      <c r="M637" s="26"/>
      <c r="N637" s="26"/>
      <c r="O637" s="26"/>
      <c r="P637" s="26"/>
      <c r="Q637" s="26"/>
      <c r="R637" s="26"/>
    </row>
    <row r="638" spans="8:18">
      <c r="H638" s="26"/>
      <c r="K638" s="26"/>
      <c r="M638" s="26"/>
      <c r="N638" s="26"/>
      <c r="O638" s="26"/>
      <c r="P638" s="26"/>
      <c r="Q638" s="26"/>
      <c r="R638" s="26"/>
    </row>
    <row r="639" spans="8:18">
      <c r="H639" s="26"/>
      <c r="K639" s="26"/>
      <c r="M639" s="26"/>
      <c r="N639" s="26"/>
      <c r="O639" s="26"/>
      <c r="P639" s="26"/>
      <c r="Q639" s="26"/>
      <c r="R639" s="26"/>
    </row>
    <row r="640" spans="8:18">
      <c r="H640" s="26"/>
      <c r="K640" s="26"/>
      <c r="M640" s="26"/>
      <c r="N640" s="26"/>
      <c r="O640" s="26"/>
      <c r="P640" s="26"/>
      <c r="Q640" s="26"/>
      <c r="R640" s="26"/>
    </row>
    <row r="641" spans="8:18">
      <c r="H641" s="26"/>
      <c r="K641" s="26"/>
      <c r="M641" s="26"/>
      <c r="N641" s="26"/>
      <c r="O641" s="26"/>
      <c r="P641" s="26"/>
      <c r="Q641" s="26"/>
      <c r="R641" s="26"/>
    </row>
    <row r="642" spans="8:18">
      <c r="H642" s="26"/>
      <c r="K642" s="26"/>
      <c r="M642" s="26"/>
      <c r="N642" s="26"/>
      <c r="O642" s="26"/>
      <c r="P642" s="26"/>
      <c r="Q642" s="26"/>
      <c r="R642" s="26"/>
    </row>
    <row r="643" spans="8:18">
      <c r="H643" s="26"/>
      <c r="K643" s="26"/>
      <c r="M643" s="26"/>
      <c r="N643" s="26"/>
      <c r="O643" s="26"/>
      <c r="P643" s="26"/>
      <c r="Q643" s="26"/>
      <c r="R643" s="26"/>
    </row>
    <row r="644" spans="8:18">
      <c r="H644" s="26"/>
      <c r="K644" s="26"/>
      <c r="M644" s="26"/>
      <c r="N644" s="26"/>
      <c r="O644" s="26"/>
      <c r="P644" s="26"/>
      <c r="Q644" s="26"/>
      <c r="R644" s="26"/>
    </row>
    <row r="645" spans="8:18">
      <c r="H645" s="26"/>
      <c r="K645" s="26"/>
      <c r="M645" s="26"/>
      <c r="N645" s="26"/>
      <c r="O645" s="26"/>
      <c r="P645" s="26"/>
      <c r="Q645" s="26"/>
      <c r="R645" s="26"/>
    </row>
    <row r="646" spans="8:18">
      <c r="H646" s="26"/>
      <c r="K646" s="26"/>
      <c r="M646" s="26"/>
      <c r="N646" s="26"/>
      <c r="O646" s="26"/>
      <c r="P646" s="26"/>
      <c r="Q646" s="26"/>
      <c r="R646" s="26"/>
    </row>
    <row r="647" spans="8:18">
      <c r="H647" s="26"/>
      <c r="K647" s="26"/>
      <c r="M647" s="26"/>
      <c r="N647" s="26"/>
      <c r="O647" s="26"/>
      <c r="P647" s="26"/>
      <c r="Q647" s="26"/>
      <c r="R647" s="26"/>
    </row>
    <row r="648" spans="8:18">
      <c r="H648" s="26"/>
      <c r="K648" s="26"/>
      <c r="M648" s="26"/>
      <c r="N648" s="26"/>
      <c r="O648" s="26"/>
      <c r="P648" s="26"/>
      <c r="Q648" s="26"/>
      <c r="R648" s="26"/>
    </row>
    <row r="649" spans="8:18">
      <c r="H649" s="26"/>
      <c r="K649" s="26"/>
      <c r="M649" s="26"/>
      <c r="N649" s="26"/>
      <c r="O649" s="26"/>
      <c r="P649" s="26"/>
      <c r="Q649" s="26"/>
      <c r="R649" s="26"/>
    </row>
    <row r="650" spans="8:18">
      <c r="H650" s="26"/>
      <c r="K650" s="26"/>
      <c r="M650" s="26"/>
      <c r="N650" s="26"/>
      <c r="O650" s="26"/>
      <c r="P650" s="26"/>
      <c r="Q650" s="26"/>
      <c r="R650" s="26"/>
    </row>
    <row r="651" spans="8:18">
      <c r="H651" s="26"/>
      <c r="K651" s="26"/>
      <c r="M651" s="26"/>
      <c r="N651" s="26"/>
      <c r="O651" s="26"/>
      <c r="P651" s="26"/>
      <c r="Q651" s="26"/>
      <c r="R651" s="26"/>
    </row>
    <row r="652" spans="8:18">
      <c r="H652" s="26"/>
      <c r="K652" s="26"/>
      <c r="M652" s="26"/>
      <c r="N652" s="26"/>
      <c r="O652" s="26"/>
      <c r="P652" s="26"/>
      <c r="Q652" s="26"/>
      <c r="R652" s="26"/>
    </row>
    <row r="653" spans="8:18">
      <c r="H653" s="26"/>
      <c r="K653" s="26"/>
      <c r="M653" s="26"/>
      <c r="N653" s="26"/>
      <c r="O653" s="26"/>
      <c r="P653" s="26"/>
      <c r="Q653" s="26"/>
      <c r="R653" s="26"/>
    </row>
    <row r="654" spans="8:18">
      <c r="H654" s="26"/>
      <c r="K654" s="26"/>
      <c r="M654" s="26"/>
      <c r="N654" s="26"/>
      <c r="O654" s="26"/>
      <c r="P654" s="26"/>
      <c r="Q654" s="26"/>
      <c r="R654" s="26"/>
    </row>
    <row r="655" spans="8:18">
      <c r="H655" s="26"/>
      <c r="K655" s="26"/>
      <c r="M655" s="26"/>
      <c r="N655" s="26"/>
      <c r="O655" s="26"/>
      <c r="P655" s="26"/>
      <c r="Q655" s="26"/>
      <c r="R655" s="26"/>
    </row>
    <row r="656" spans="8:18">
      <c r="H656" s="26"/>
      <c r="K656" s="26"/>
      <c r="M656" s="26"/>
      <c r="N656" s="26"/>
      <c r="O656" s="26"/>
      <c r="P656" s="26"/>
      <c r="Q656" s="26"/>
      <c r="R656" s="26"/>
    </row>
    <row r="657" spans="8:18">
      <c r="H657" s="26"/>
      <c r="K657" s="26"/>
      <c r="M657" s="26"/>
      <c r="N657" s="26"/>
      <c r="O657" s="26"/>
      <c r="P657" s="26"/>
      <c r="Q657" s="26"/>
      <c r="R657" s="26"/>
    </row>
    <row r="658" spans="8:18">
      <c r="H658" s="26"/>
      <c r="K658" s="26"/>
      <c r="M658" s="26"/>
      <c r="N658" s="26"/>
      <c r="O658" s="26"/>
      <c r="P658" s="26"/>
      <c r="Q658" s="26"/>
      <c r="R658" s="26"/>
    </row>
    <row r="659" spans="8:18">
      <c r="H659" s="26"/>
      <c r="K659" s="26"/>
      <c r="M659" s="26"/>
      <c r="N659" s="26"/>
      <c r="O659" s="26"/>
      <c r="P659" s="26"/>
      <c r="Q659" s="26"/>
      <c r="R659" s="26"/>
    </row>
    <row r="660" spans="8:18">
      <c r="H660" s="26"/>
      <c r="K660" s="26"/>
      <c r="M660" s="26"/>
      <c r="N660" s="26"/>
      <c r="O660" s="26"/>
      <c r="P660" s="26"/>
      <c r="Q660" s="26"/>
      <c r="R660" s="26"/>
    </row>
    <row r="661" spans="8:18">
      <c r="H661" s="26"/>
      <c r="K661" s="26"/>
      <c r="M661" s="26"/>
      <c r="N661" s="26"/>
      <c r="O661" s="26"/>
      <c r="P661" s="26"/>
      <c r="Q661" s="26"/>
      <c r="R661" s="26"/>
    </row>
    <row r="662" spans="8:18">
      <c r="H662" s="26"/>
      <c r="K662" s="26"/>
      <c r="M662" s="26"/>
      <c r="N662" s="26"/>
      <c r="O662" s="26"/>
      <c r="P662" s="26"/>
      <c r="Q662" s="26"/>
      <c r="R662" s="26"/>
    </row>
    <row r="663" spans="8:18">
      <c r="H663" s="26"/>
      <c r="K663" s="26"/>
      <c r="M663" s="26"/>
      <c r="N663" s="26"/>
      <c r="O663" s="26"/>
      <c r="P663" s="26"/>
      <c r="Q663" s="26"/>
      <c r="R663" s="26"/>
    </row>
    <row r="664" spans="8:18">
      <c r="H664" s="26"/>
      <c r="K664" s="26"/>
      <c r="M664" s="26"/>
      <c r="N664" s="26"/>
      <c r="O664" s="26"/>
      <c r="P664" s="26"/>
      <c r="Q664" s="26"/>
      <c r="R664" s="26"/>
    </row>
    <row r="665" spans="8:18">
      <c r="H665" s="26"/>
      <c r="K665" s="26"/>
      <c r="M665" s="26"/>
      <c r="N665" s="26"/>
      <c r="O665" s="26"/>
      <c r="P665" s="26"/>
      <c r="Q665" s="26"/>
      <c r="R665" s="26"/>
    </row>
    <row r="666" spans="8:18">
      <c r="H666" s="26"/>
      <c r="K666" s="26"/>
      <c r="M666" s="26"/>
      <c r="N666" s="26"/>
      <c r="O666" s="26"/>
      <c r="P666" s="26"/>
      <c r="Q666" s="26"/>
      <c r="R666" s="26"/>
    </row>
    <row r="667" spans="8:18">
      <c r="H667" s="26"/>
      <c r="K667" s="26"/>
      <c r="M667" s="26"/>
      <c r="N667" s="26"/>
      <c r="O667" s="26"/>
      <c r="P667" s="26"/>
      <c r="Q667" s="26"/>
      <c r="R667" s="26"/>
    </row>
    <row r="668" spans="8:18">
      <c r="H668" s="26"/>
      <c r="K668" s="26"/>
      <c r="M668" s="26"/>
      <c r="N668" s="26"/>
      <c r="O668" s="26"/>
      <c r="P668" s="26"/>
      <c r="Q668" s="26"/>
      <c r="R668" s="26"/>
    </row>
    <row r="669" spans="8:18">
      <c r="H669" s="26"/>
      <c r="K669" s="26"/>
      <c r="M669" s="26"/>
      <c r="N669" s="26"/>
      <c r="O669" s="26"/>
      <c r="P669" s="26"/>
      <c r="Q669" s="26"/>
      <c r="R669" s="26"/>
    </row>
    <row r="670" spans="8:18">
      <c r="H670" s="26"/>
      <c r="K670" s="26"/>
      <c r="M670" s="26"/>
      <c r="N670" s="26"/>
      <c r="O670" s="26"/>
      <c r="P670" s="26"/>
      <c r="Q670" s="26"/>
      <c r="R670" s="26"/>
    </row>
    <row r="671" spans="8:18">
      <c r="H671" s="26"/>
      <c r="K671" s="26"/>
      <c r="M671" s="26"/>
      <c r="N671" s="26"/>
      <c r="O671" s="26"/>
      <c r="P671" s="26"/>
      <c r="Q671" s="26"/>
      <c r="R671" s="26"/>
    </row>
    <row r="672" spans="8:18">
      <c r="H672" s="26"/>
      <c r="K672" s="26"/>
      <c r="M672" s="26"/>
      <c r="N672" s="26"/>
      <c r="O672" s="26"/>
      <c r="P672" s="26"/>
      <c r="Q672" s="26"/>
      <c r="R672" s="26"/>
    </row>
    <row r="673" spans="8:18">
      <c r="H673" s="26"/>
      <c r="K673" s="26"/>
      <c r="M673" s="26"/>
      <c r="N673" s="26"/>
      <c r="O673" s="26"/>
      <c r="P673" s="26"/>
      <c r="Q673" s="26"/>
      <c r="R673" s="26"/>
    </row>
    <row r="674" spans="8:18">
      <c r="H674" s="26"/>
      <c r="K674" s="26"/>
      <c r="M674" s="26"/>
      <c r="N674" s="26"/>
      <c r="O674" s="26"/>
      <c r="P674" s="26"/>
      <c r="Q674" s="26"/>
      <c r="R674" s="26"/>
    </row>
    <row r="675" spans="8:18">
      <c r="H675" s="26"/>
      <c r="K675" s="26"/>
      <c r="M675" s="26"/>
      <c r="N675" s="26"/>
      <c r="O675" s="26"/>
      <c r="P675" s="26"/>
      <c r="Q675" s="26"/>
      <c r="R675" s="26"/>
    </row>
    <row r="676" spans="8:18">
      <c r="H676" s="26"/>
      <c r="K676" s="26"/>
      <c r="M676" s="26"/>
      <c r="N676" s="26"/>
      <c r="O676" s="26"/>
      <c r="P676" s="26"/>
      <c r="Q676" s="26"/>
      <c r="R676" s="26"/>
    </row>
    <row r="677" spans="8:18">
      <c r="H677" s="26"/>
      <c r="K677" s="26"/>
      <c r="M677" s="26"/>
      <c r="N677" s="26"/>
      <c r="O677" s="26"/>
      <c r="P677" s="26"/>
      <c r="Q677" s="26"/>
      <c r="R677" s="26"/>
    </row>
    <row r="678" spans="8:18">
      <c r="H678" s="26"/>
      <c r="K678" s="26"/>
      <c r="M678" s="26"/>
      <c r="N678" s="26"/>
      <c r="O678" s="26"/>
      <c r="P678" s="26"/>
      <c r="Q678" s="26"/>
      <c r="R678" s="26"/>
    </row>
    <row r="679" spans="8:18">
      <c r="H679" s="26"/>
      <c r="K679" s="26"/>
      <c r="M679" s="26"/>
      <c r="N679" s="26"/>
      <c r="O679" s="26"/>
      <c r="P679" s="26"/>
      <c r="Q679" s="26"/>
      <c r="R679" s="26"/>
    </row>
    <row r="680" spans="8:18">
      <c r="H680" s="26"/>
      <c r="K680" s="26"/>
      <c r="M680" s="26"/>
      <c r="N680" s="26"/>
      <c r="O680" s="26"/>
      <c r="P680" s="26"/>
      <c r="Q680" s="26"/>
      <c r="R680" s="26"/>
    </row>
    <row r="681" spans="8:18">
      <c r="H681" s="26"/>
      <c r="K681" s="26"/>
      <c r="M681" s="26"/>
      <c r="N681" s="26"/>
      <c r="O681" s="26"/>
      <c r="P681" s="26"/>
      <c r="Q681" s="26"/>
      <c r="R681" s="26"/>
    </row>
    <row r="682" spans="8:18">
      <c r="H682" s="26"/>
      <c r="K682" s="26"/>
      <c r="M682" s="26"/>
      <c r="N682" s="26"/>
      <c r="O682" s="26"/>
      <c r="P682" s="26"/>
      <c r="Q682" s="26"/>
      <c r="R682" s="26"/>
    </row>
    <row r="683" spans="8:18">
      <c r="H683" s="26"/>
      <c r="K683" s="26"/>
      <c r="M683" s="26"/>
      <c r="N683" s="26"/>
      <c r="O683" s="26"/>
      <c r="P683" s="26"/>
      <c r="Q683" s="26"/>
      <c r="R683" s="26"/>
    </row>
    <row r="684" spans="8:18">
      <c r="H684" s="26"/>
      <c r="K684" s="26"/>
      <c r="M684" s="26"/>
      <c r="N684" s="26"/>
      <c r="O684" s="26"/>
      <c r="P684" s="26"/>
      <c r="Q684" s="26"/>
      <c r="R684" s="26"/>
    </row>
    <row r="685" spans="8:18">
      <c r="H685" s="26"/>
      <c r="K685" s="26"/>
      <c r="M685" s="26"/>
      <c r="N685" s="26"/>
      <c r="O685" s="26"/>
      <c r="P685" s="26"/>
      <c r="Q685" s="26"/>
      <c r="R685" s="26"/>
    </row>
    <row r="686" spans="8:18">
      <c r="H686" s="26"/>
      <c r="K686" s="26"/>
      <c r="M686" s="26"/>
      <c r="N686" s="26"/>
      <c r="O686" s="26"/>
      <c r="P686" s="26"/>
      <c r="Q686" s="26"/>
      <c r="R686" s="26"/>
    </row>
    <row r="687" spans="8:18">
      <c r="H687" s="26"/>
      <c r="K687" s="26"/>
      <c r="M687" s="26"/>
      <c r="N687" s="26"/>
      <c r="O687" s="26"/>
      <c r="P687" s="26"/>
      <c r="Q687" s="26"/>
      <c r="R687" s="26"/>
    </row>
    <row r="688" spans="8:18">
      <c r="H688" s="26"/>
      <c r="K688" s="26"/>
      <c r="M688" s="26"/>
      <c r="N688" s="26"/>
      <c r="O688" s="26"/>
      <c r="P688" s="26"/>
      <c r="Q688" s="26"/>
      <c r="R688" s="26"/>
    </row>
    <row r="689" spans="8:18">
      <c r="H689" s="26"/>
      <c r="K689" s="26"/>
      <c r="M689" s="26"/>
      <c r="N689" s="26"/>
      <c r="O689" s="26"/>
      <c r="P689" s="26"/>
      <c r="Q689" s="26"/>
      <c r="R689" s="26"/>
    </row>
    <row r="690" spans="8:18">
      <c r="H690" s="26"/>
      <c r="K690" s="26"/>
      <c r="M690" s="26"/>
      <c r="N690" s="26"/>
      <c r="O690" s="26"/>
      <c r="P690" s="26"/>
      <c r="Q690" s="26"/>
      <c r="R690" s="26"/>
    </row>
    <row r="691" spans="8:18">
      <c r="H691" s="26"/>
      <c r="K691" s="26"/>
      <c r="M691" s="26"/>
      <c r="N691" s="26"/>
      <c r="O691" s="26"/>
      <c r="P691" s="26"/>
      <c r="Q691" s="26"/>
      <c r="R691" s="26"/>
    </row>
    <row r="692" spans="8:18">
      <c r="H692" s="26"/>
      <c r="K692" s="26"/>
      <c r="M692" s="26"/>
      <c r="N692" s="26"/>
      <c r="O692" s="26"/>
      <c r="P692" s="26"/>
      <c r="Q692" s="26"/>
      <c r="R692" s="26"/>
    </row>
    <row r="693" spans="8:18">
      <c r="H693" s="26"/>
      <c r="K693" s="26"/>
      <c r="M693" s="26"/>
      <c r="N693" s="26"/>
      <c r="O693" s="26"/>
      <c r="P693" s="26"/>
      <c r="Q693" s="26"/>
      <c r="R693" s="26"/>
    </row>
    <row r="694" spans="8:18">
      <c r="H694" s="26"/>
      <c r="K694" s="26"/>
      <c r="M694" s="26"/>
      <c r="N694" s="26"/>
      <c r="O694" s="26"/>
      <c r="P694" s="26"/>
      <c r="Q694" s="26"/>
      <c r="R694" s="26"/>
    </row>
    <row r="695" spans="8:18">
      <c r="H695" s="26"/>
      <c r="K695" s="26"/>
      <c r="M695" s="26"/>
      <c r="N695" s="26"/>
      <c r="O695" s="26"/>
      <c r="P695" s="26"/>
      <c r="Q695" s="26"/>
      <c r="R695" s="26"/>
    </row>
    <row r="696" spans="8:18">
      <c r="H696" s="26"/>
      <c r="K696" s="26"/>
      <c r="M696" s="26"/>
      <c r="N696" s="26"/>
      <c r="O696" s="26"/>
      <c r="P696" s="26"/>
      <c r="Q696" s="26"/>
      <c r="R696" s="26"/>
    </row>
    <row r="697" spans="8:18">
      <c r="H697" s="26"/>
      <c r="K697" s="26"/>
      <c r="M697" s="26"/>
      <c r="N697" s="26"/>
      <c r="O697" s="26"/>
      <c r="P697" s="26"/>
      <c r="Q697" s="26"/>
      <c r="R697" s="26"/>
    </row>
    <row r="698" spans="8:18">
      <c r="H698" s="26"/>
      <c r="K698" s="26"/>
      <c r="M698" s="26"/>
      <c r="N698" s="26"/>
      <c r="O698" s="26"/>
      <c r="P698" s="26"/>
      <c r="Q698" s="26"/>
      <c r="R698" s="26"/>
    </row>
    <row r="699" spans="8:18">
      <c r="H699" s="26"/>
      <c r="K699" s="26"/>
      <c r="M699" s="26"/>
      <c r="N699" s="26"/>
      <c r="O699" s="26"/>
      <c r="P699" s="26"/>
      <c r="Q699" s="26"/>
      <c r="R699" s="26"/>
    </row>
    <row r="700" spans="8:18">
      <c r="H700" s="26"/>
      <c r="K700" s="26"/>
      <c r="M700" s="26"/>
      <c r="N700" s="26"/>
      <c r="O700" s="26"/>
      <c r="P700" s="26"/>
      <c r="Q700" s="26"/>
      <c r="R700" s="26"/>
    </row>
    <row r="701" spans="8:18">
      <c r="H701" s="26"/>
      <c r="K701" s="26"/>
      <c r="M701" s="26"/>
      <c r="N701" s="26"/>
      <c r="O701" s="26"/>
      <c r="P701" s="26"/>
      <c r="Q701" s="26"/>
      <c r="R701" s="26"/>
    </row>
    <row r="702" spans="8:18">
      <c r="H702" s="26"/>
      <c r="K702" s="26"/>
      <c r="M702" s="26"/>
      <c r="N702" s="26"/>
      <c r="O702" s="26"/>
      <c r="P702" s="26"/>
      <c r="Q702" s="26"/>
      <c r="R702" s="26"/>
    </row>
    <row r="703" spans="8:18">
      <c r="H703" s="26"/>
      <c r="K703" s="26"/>
      <c r="M703" s="26"/>
      <c r="N703" s="26"/>
      <c r="O703" s="26"/>
      <c r="P703" s="26"/>
      <c r="Q703" s="26"/>
      <c r="R703" s="26"/>
    </row>
    <row r="704" spans="8:18">
      <c r="H704" s="26"/>
      <c r="K704" s="26"/>
      <c r="M704" s="26"/>
      <c r="N704" s="26"/>
      <c r="O704" s="26"/>
      <c r="P704" s="26"/>
      <c r="Q704" s="26"/>
      <c r="R704" s="26"/>
    </row>
    <row r="705" spans="8:18">
      <c r="H705" s="26"/>
      <c r="K705" s="26"/>
      <c r="M705" s="26"/>
      <c r="N705" s="26"/>
      <c r="O705" s="26"/>
      <c r="P705" s="26"/>
      <c r="Q705" s="26"/>
      <c r="R705" s="26"/>
    </row>
    <row r="706" spans="8:18">
      <c r="H706" s="26"/>
      <c r="K706" s="26"/>
      <c r="M706" s="26"/>
      <c r="N706" s="26"/>
      <c r="O706" s="26"/>
      <c r="P706" s="26"/>
      <c r="Q706" s="26"/>
      <c r="R706" s="26"/>
    </row>
    <row r="707" spans="8:18">
      <c r="H707" s="26"/>
      <c r="K707" s="26"/>
      <c r="M707" s="26"/>
      <c r="N707" s="26"/>
      <c r="O707" s="26"/>
      <c r="P707" s="26"/>
      <c r="Q707" s="26"/>
      <c r="R707" s="26"/>
    </row>
    <row r="708" spans="8:18">
      <c r="H708" s="26"/>
      <c r="K708" s="26"/>
      <c r="M708" s="26"/>
      <c r="N708" s="26"/>
      <c r="O708" s="26"/>
      <c r="P708" s="26"/>
      <c r="Q708" s="26"/>
      <c r="R708" s="26"/>
    </row>
    <row r="709" spans="8:18">
      <c r="H709" s="26"/>
      <c r="K709" s="26"/>
      <c r="M709" s="26"/>
      <c r="N709" s="26"/>
      <c r="O709" s="26"/>
      <c r="P709" s="26"/>
      <c r="Q709" s="26"/>
      <c r="R709" s="26"/>
    </row>
    <row r="710" spans="8:18">
      <c r="H710" s="26"/>
      <c r="K710" s="26"/>
      <c r="M710" s="26"/>
      <c r="N710" s="26"/>
      <c r="O710" s="26"/>
      <c r="P710" s="26"/>
      <c r="Q710" s="26"/>
      <c r="R710" s="26"/>
    </row>
    <row r="711" spans="8:18">
      <c r="H711" s="26"/>
      <c r="K711" s="26"/>
      <c r="M711" s="26"/>
      <c r="N711" s="26"/>
      <c r="O711" s="26"/>
      <c r="P711" s="26"/>
      <c r="Q711" s="26"/>
      <c r="R711" s="26"/>
    </row>
    <row r="712" spans="8:18">
      <c r="H712" s="26"/>
      <c r="K712" s="26"/>
      <c r="M712" s="26"/>
      <c r="N712" s="26"/>
      <c r="O712" s="26"/>
      <c r="P712" s="26"/>
      <c r="Q712" s="26"/>
      <c r="R712" s="26"/>
    </row>
    <row r="713" spans="8:18">
      <c r="H713" s="26"/>
      <c r="K713" s="26"/>
      <c r="M713" s="26"/>
      <c r="N713" s="26"/>
      <c r="O713" s="26"/>
      <c r="P713" s="26"/>
      <c r="Q713" s="26"/>
      <c r="R713" s="26"/>
    </row>
    <row r="714" spans="8:18">
      <c r="H714" s="26"/>
      <c r="K714" s="26"/>
      <c r="M714" s="26"/>
      <c r="N714" s="26"/>
      <c r="O714" s="26"/>
      <c r="P714" s="26"/>
      <c r="Q714" s="26"/>
      <c r="R714" s="26"/>
    </row>
    <row r="715" spans="8:18">
      <c r="H715" s="26"/>
      <c r="K715" s="26"/>
      <c r="M715" s="26"/>
      <c r="N715" s="26"/>
      <c r="O715" s="26"/>
      <c r="P715" s="26"/>
      <c r="Q715" s="26"/>
      <c r="R715" s="26"/>
    </row>
    <row r="716" spans="8:18">
      <c r="H716" s="26"/>
      <c r="K716" s="26"/>
      <c r="M716" s="26"/>
      <c r="N716" s="26"/>
      <c r="O716" s="26"/>
      <c r="P716" s="26"/>
      <c r="Q716" s="26"/>
      <c r="R716" s="26"/>
    </row>
    <row r="717" spans="8:18">
      <c r="H717" s="26"/>
      <c r="K717" s="26"/>
      <c r="M717" s="26"/>
      <c r="N717" s="26"/>
      <c r="O717" s="26"/>
      <c r="P717" s="26"/>
      <c r="Q717" s="26"/>
      <c r="R717" s="26"/>
    </row>
    <row r="718" spans="8:18">
      <c r="H718" s="26"/>
      <c r="K718" s="26"/>
      <c r="M718" s="26"/>
      <c r="N718" s="26"/>
      <c r="O718" s="26"/>
      <c r="P718" s="26"/>
      <c r="Q718" s="26"/>
      <c r="R718" s="26"/>
    </row>
    <row r="719" spans="8:18">
      <c r="H719" s="26"/>
      <c r="K719" s="26"/>
      <c r="M719" s="26"/>
      <c r="N719" s="26"/>
      <c r="O719" s="26"/>
      <c r="P719" s="26"/>
      <c r="Q719" s="26"/>
      <c r="R719" s="26"/>
    </row>
    <row r="720" spans="8:18">
      <c r="H720" s="26"/>
      <c r="K720" s="26"/>
      <c r="M720" s="26"/>
      <c r="N720" s="26"/>
      <c r="O720" s="26"/>
      <c r="P720" s="26"/>
      <c r="Q720" s="26"/>
      <c r="R720" s="26"/>
    </row>
    <row r="721" spans="8:18">
      <c r="H721" s="26"/>
      <c r="K721" s="26"/>
      <c r="M721" s="26"/>
      <c r="N721" s="26"/>
      <c r="O721" s="26"/>
      <c r="P721" s="26"/>
      <c r="Q721" s="26"/>
      <c r="R721" s="26"/>
    </row>
    <row r="722" spans="8:18">
      <c r="H722" s="26"/>
      <c r="K722" s="26"/>
      <c r="M722" s="26"/>
      <c r="N722" s="26"/>
      <c r="O722" s="26"/>
      <c r="P722" s="26"/>
      <c r="Q722" s="26"/>
      <c r="R722" s="26"/>
    </row>
    <row r="723" spans="8:18">
      <c r="H723" s="26"/>
      <c r="K723" s="26"/>
      <c r="M723" s="26"/>
      <c r="N723" s="26"/>
      <c r="O723" s="26"/>
      <c r="P723" s="26"/>
      <c r="Q723" s="26"/>
      <c r="R723" s="26"/>
    </row>
    <row r="724" spans="8:18">
      <c r="H724" s="26"/>
      <c r="K724" s="26"/>
      <c r="M724" s="26"/>
      <c r="N724" s="26"/>
      <c r="O724" s="26"/>
      <c r="P724" s="26"/>
      <c r="Q724" s="26"/>
      <c r="R724" s="26"/>
    </row>
    <row r="725" spans="8:18">
      <c r="H725" s="26"/>
      <c r="K725" s="26"/>
      <c r="M725" s="26"/>
      <c r="N725" s="26"/>
      <c r="O725" s="26"/>
      <c r="P725" s="26"/>
      <c r="Q725" s="26"/>
      <c r="R725" s="26"/>
    </row>
    <row r="726" spans="8:18">
      <c r="H726" s="26"/>
      <c r="K726" s="26"/>
      <c r="M726" s="26"/>
      <c r="N726" s="26"/>
      <c r="O726" s="26"/>
      <c r="P726" s="26"/>
      <c r="Q726" s="26"/>
      <c r="R726" s="26"/>
    </row>
    <row r="727" spans="8:18">
      <c r="H727" s="26"/>
      <c r="K727" s="26"/>
      <c r="M727" s="26"/>
      <c r="N727" s="26"/>
      <c r="O727" s="26"/>
      <c r="P727" s="26"/>
      <c r="Q727" s="26"/>
      <c r="R727" s="26"/>
    </row>
    <row r="728" spans="8:18">
      <c r="H728" s="26"/>
      <c r="K728" s="26"/>
      <c r="M728" s="26"/>
      <c r="N728" s="26"/>
      <c r="O728" s="26"/>
      <c r="P728" s="26"/>
      <c r="Q728" s="26"/>
      <c r="R728" s="26"/>
    </row>
    <row r="729" spans="8:18">
      <c r="H729" s="26"/>
      <c r="K729" s="26"/>
      <c r="M729" s="26"/>
      <c r="N729" s="26"/>
      <c r="O729" s="26"/>
      <c r="P729" s="26"/>
      <c r="Q729" s="26"/>
      <c r="R729" s="26"/>
    </row>
    <row r="730" spans="8:18">
      <c r="H730" s="26"/>
      <c r="K730" s="26"/>
      <c r="M730" s="26"/>
      <c r="N730" s="26"/>
      <c r="O730" s="26"/>
      <c r="P730" s="26"/>
      <c r="Q730" s="26"/>
      <c r="R730" s="26"/>
    </row>
    <row r="731" spans="8:18">
      <c r="H731" s="26"/>
      <c r="K731" s="26"/>
      <c r="M731" s="26"/>
      <c r="N731" s="26"/>
      <c r="O731" s="26"/>
      <c r="P731" s="26"/>
      <c r="Q731" s="26"/>
      <c r="R731" s="26"/>
    </row>
    <row r="732" spans="8:18">
      <c r="H732" s="26"/>
      <c r="K732" s="26"/>
      <c r="M732" s="26"/>
      <c r="N732" s="26"/>
      <c r="O732" s="26"/>
      <c r="P732" s="26"/>
      <c r="Q732" s="26"/>
      <c r="R732" s="26"/>
    </row>
    <row r="733" spans="8:18">
      <c r="H733" s="26"/>
      <c r="K733" s="26"/>
      <c r="M733" s="26"/>
      <c r="N733" s="26"/>
      <c r="O733" s="26"/>
      <c r="P733" s="26"/>
      <c r="Q733" s="26"/>
      <c r="R733" s="26"/>
    </row>
    <row r="734" spans="8:18">
      <c r="H734" s="26"/>
      <c r="K734" s="26"/>
      <c r="M734" s="26"/>
      <c r="N734" s="26"/>
      <c r="O734" s="26"/>
      <c r="P734" s="26"/>
      <c r="Q734" s="26"/>
      <c r="R734" s="26"/>
    </row>
    <row r="735" spans="8:18">
      <c r="H735" s="26"/>
      <c r="K735" s="26"/>
      <c r="M735" s="26"/>
      <c r="N735" s="26"/>
      <c r="O735" s="26"/>
      <c r="P735" s="26"/>
      <c r="Q735" s="26"/>
      <c r="R735" s="26"/>
    </row>
    <row r="736" spans="8:18">
      <c r="H736" s="26"/>
      <c r="K736" s="26"/>
      <c r="M736" s="26"/>
      <c r="N736" s="26"/>
      <c r="O736" s="26"/>
      <c r="P736" s="26"/>
      <c r="Q736" s="26"/>
      <c r="R736" s="26"/>
    </row>
    <row r="737" spans="8:18">
      <c r="H737" s="26"/>
      <c r="K737" s="26"/>
      <c r="M737" s="26"/>
      <c r="N737" s="26"/>
      <c r="O737" s="26"/>
      <c r="P737" s="26"/>
      <c r="Q737" s="26"/>
      <c r="R737" s="26"/>
    </row>
    <row r="738" spans="8:18">
      <c r="H738" s="26"/>
      <c r="K738" s="26"/>
      <c r="M738" s="26"/>
      <c r="N738" s="26"/>
      <c r="O738" s="26"/>
      <c r="P738" s="26"/>
      <c r="Q738" s="26"/>
      <c r="R738" s="26"/>
    </row>
    <row r="739" spans="8:18">
      <c r="H739" s="26"/>
      <c r="K739" s="26"/>
      <c r="M739" s="26"/>
      <c r="N739" s="26"/>
      <c r="O739" s="26"/>
      <c r="P739" s="26"/>
      <c r="Q739" s="26"/>
      <c r="R739" s="26"/>
    </row>
    <row r="740" spans="8:18">
      <c r="H740" s="26"/>
      <c r="K740" s="26"/>
      <c r="M740" s="26"/>
      <c r="N740" s="26"/>
      <c r="O740" s="26"/>
      <c r="P740" s="26"/>
      <c r="Q740" s="26"/>
      <c r="R740" s="26"/>
    </row>
    <row r="741" spans="8:18">
      <c r="H741" s="26"/>
      <c r="K741" s="26"/>
      <c r="M741" s="26"/>
      <c r="N741" s="26"/>
      <c r="O741" s="26"/>
      <c r="P741" s="26"/>
      <c r="Q741" s="26"/>
      <c r="R741" s="26"/>
    </row>
    <row r="742" spans="8:18">
      <c r="H742" s="26"/>
      <c r="K742" s="26"/>
      <c r="M742" s="26"/>
      <c r="N742" s="26"/>
      <c r="O742" s="26"/>
      <c r="P742" s="26"/>
      <c r="Q742" s="26"/>
      <c r="R742" s="26"/>
    </row>
    <row r="743" spans="8:18">
      <c r="H743" s="26"/>
      <c r="K743" s="26"/>
      <c r="M743" s="26"/>
      <c r="N743" s="26"/>
      <c r="O743" s="26"/>
      <c r="P743" s="26"/>
      <c r="Q743" s="26"/>
      <c r="R743" s="26"/>
    </row>
    <row r="744" spans="8:18">
      <c r="H744" s="26"/>
      <c r="K744" s="26"/>
      <c r="M744" s="26"/>
      <c r="N744" s="26"/>
      <c r="O744" s="26"/>
      <c r="P744" s="26"/>
      <c r="Q744" s="26"/>
      <c r="R744" s="26"/>
    </row>
    <row r="745" spans="8:18">
      <c r="H745" s="26"/>
      <c r="K745" s="26"/>
      <c r="M745" s="26"/>
      <c r="N745" s="26"/>
      <c r="O745" s="26"/>
      <c r="P745" s="26"/>
      <c r="Q745" s="26"/>
      <c r="R745" s="26"/>
    </row>
    <row r="746" spans="8:18">
      <c r="H746" s="26"/>
      <c r="K746" s="26"/>
      <c r="M746" s="26"/>
      <c r="N746" s="26"/>
      <c r="O746" s="26"/>
      <c r="P746" s="26"/>
      <c r="Q746" s="26"/>
      <c r="R746" s="26"/>
    </row>
    <row r="747" spans="8:18">
      <c r="H747" s="26"/>
      <c r="K747" s="26"/>
      <c r="M747" s="26"/>
      <c r="N747" s="26"/>
      <c r="O747" s="26"/>
      <c r="P747" s="26"/>
      <c r="Q747" s="26"/>
      <c r="R747" s="26"/>
    </row>
    <row r="748" spans="8:18">
      <c r="H748" s="26"/>
      <c r="K748" s="26"/>
      <c r="M748" s="26"/>
      <c r="N748" s="26"/>
      <c r="O748" s="26"/>
      <c r="P748" s="26"/>
      <c r="Q748" s="26"/>
      <c r="R748" s="26"/>
    </row>
    <row r="749" spans="8:18">
      <c r="H749" s="26"/>
      <c r="K749" s="26"/>
      <c r="M749" s="26"/>
      <c r="N749" s="26"/>
      <c r="O749" s="26"/>
      <c r="P749" s="26"/>
      <c r="Q749" s="26"/>
      <c r="R749" s="26"/>
    </row>
    <row r="750" spans="8:18">
      <c r="H750" s="26"/>
      <c r="K750" s="26"/>
      <c r="M750" s="26"/>
      <c r="N750" s="26"/>
      <c r="O750" s="26"/>
      <c r="P750" s="26"/>
      <c r="Q750" s="26"/>
      <c r="R750" s="26"/>
    </row>
    <row r="751" spans="8:18">
      <c r="H751" s="26"/>
      <c r="K751" s="26"/>
      <c r="M751" s="26"/>
      <c r="N751" s="26"/>
      <c r="O751" s="26"/>
      <c r="P751" s="26"/>
      <c r="Q751" s="26"/>
      <c r="R751" s="26"/>
    </row>
    <row r="752" spans="8:18">
      <c r="H752" s="26"/>
      <c r="K752" s="26"/>
      <c r="M752" s="26"/>
      <c r="N752" s="26"/>
      <c r="O752" s="26"/>
      <c r="P752" s="26"/>
      <c r="Q752" s="26"/>
      <c r="R752" s="26"/>
    </row>
    <row r="753" spans="8:18">
      <c r="H753" s="26"/>
      <c r="K753" s="26"/>
      <c r="M753" s="26"/>
      <c r="N753" s="26"/>
      <c r="O753" s="26"/>
      <c r="P753" s="26"/>
      <c r="Q753" s="26"/>
      <c r="R753" s="26"/>
    </row>
    <row r="754" spans="8:18">
      <c r="H754" s="26"/>
      <c r="K754" s="26"/>
      <c r="M754" s="26"/>
      <c r="N754" s="26"/>
      <c r="O754" s="26"/>
      <c r="P754" s="26"/>
      <c r="Q754" s="26"/>
      <c r="R754" s="26"/>
    </row>
    <row r="755" spans="8:18">
      <c r="H755" s="26"/>
      <c r="K755" s="26"/>
      <c r="M755" s="26"/>
      <c r="N755" s="26"/>
      <c r="O755" s="26"/>
      <c r="P755" s="26"/>
      <c r="Q755" s="26"/>
      <c r="R755" s="26"/>
    </row>
    <row r="756" spans="8:18">
      <c r="H756" s="26"/>
      <c r="K756" s="26"/>
      <c r="M756" s="26"/>
      <c r="N756" s="26"/>
      <c r="O756" s="26"/>
      <c r="P756" s="26"/>
      <c r="Q756" s="26"/>
      <c r="R756" s="26"/>
    </row>
    <row r="757" spans="8:18">
      <c r="H757" s="26"/>
      <c r="K757" s="26"/>
      <c r="M757" s="26"/>
      <c r="N757" s="26"/>
      <c r="O757" s="26"/>
      <c r="P757" s="26"/>
      <c r="Q757" s="26"/>
      <c r="R757" s="26"/>
    </row>
    <row r="758" spans="8:18">
      <c r="H758" s="26"/>
      <c r="K758" s="26"/>
      <c r="M758" s="26"/>
      <c r="N758" s="26"/>
      <c r="O758" s="26"/>
      <c r="P758" s="26"/>
      <c r="Q758" s="26"/>
      <c r="R758" s="26"/>
    </row>
    <row r="759" spans="8:18">
      <c r="H759" s="26"/>
      <c r="K759" s="26"/>
      <c r="M759" s="26"/>
      <c r="N759" s="26"/>
      <c r="O759" s="26"/>
      <c r="P759" s="26"/>
      <c r="Q759" s="26"/>
      <c r="R759" s="26"/>
    </row>
    <row r="760" spans="8:18">
      <c r="H760" s="26"/>
      <c r="K760" s="26"/>
      <c r="M760" s="26"/>
      <c r="N760" s="26"/>
      <c r="O760" s="26"/>
      <c r="P760" s="26"/>
      <c r="Q760" s="26"/>
      <c r="R760" s="26"/>
    </row>
    <row r="761" spans="8:18">
      <c r="H761" s="26"/>
      <c r="K761" s="26"/>
      <c r="M761" s="26"/>
      <c r="N761" s="26"/>
      <c r="O761" s="26"/>
      <c r="P761" s="26"/>
      <c r="Q761" s="26"/>
      <c r="R761" s="26"/>
    </row>
    <row r="762" spans="8:18">
      <c r="H762" s="26"/>
      <c r="K762" s="26"/>
      <c r="M762" s="26"/>
      <c r="N762" s="26"/>
      <c r="O762" s="26"/>
      <c r="P762" s="26"/>
      <c r="Q762" s="26"/>
      <c r="R762" s="26"/>
    </row>
    <row r="763" spans="8:18">
      <c r="H763" s="26"/>
      <c r="K763" s="26"/>
      <c r="M763" s="26"/>
      <c r="N763" s="26"/>
      <c r="O763" s="26"/>
      <c r="P763" s="26"/>
      <c r="Q763" s="26"/>
      <c r="R763" s="26"/>
    </row>
    <row r="764" spans="8:18">
      <c r="H764" s="26"/>
      <c r="K764" s="26"/>
      <c r="M764" s="26"/>
      <c r="N764" s="26"/>
      <c r="O764" s="26"/>
      <c r="P764" s="26"/>
      <c r="Q764" s="26"/>
      <c r="R764" s="26"/>
    </row>
    <row r="765" spans="8:18">
      <c r="H765" s="26"/>
      <c r="K765" s="26"/>
      <c r="M765" s="26"/>
      <c r="N765" s="26"/>
      <c r="O765" s="26"/>
      <c r="P765" s="26"/>
      <c r="Q765" s="26"/>
      <c r="R765" s="26"/>
    </row>
    <row r="766" spans="8:18">
      <c r="H766" s="26"/>
      <c r="K766" s="26"/>
      <c r="M766" s="26"/>
      <c r="N766" s="26"/>
      <c r="O766" s="26"/>
      <c r="P766" s="26"/>
      <c r="Q766" s="26"/>
      <c r="R766" s="26"/>
    </row>
    <row r="767" spans="8:18">
      <c r="H767" s="26"/>
      <c r="K767" s="26"/>
      <c r="M767" s="26"/>
      <c r="N767" s="26"/>
      <c r="O767" s="26"/>
      <c r="P767" s="26"/>
      <c r="Q767" s="26"/>
      <c r="R767" s="26"/>
    </row>
    <row r="768" spans="8:18">
      <c r="H768" s="26"/>
      <c r="K768" s="26"/>
      <c r="M768" s="26"/>
      <c r="N768" s="26"/>
      <c r="O768" s="26"/>
      <c r="P768" s="26"/>
      <c r="Q768" s="26"/>
      <c r="R768" s="26"/>
    </row>
    <row r="769" spans="8:18">
      <c r="H769" s="26"/>
      <c r="K769" s="26"/>
      <c r="M769" s="26"/>
      <c r="N769" s="26"/>
      <c r="O769" s="26"/>
      <c r="P769" s="26"/>
      <c r="Q769" s="26"/>
      <c r="R769" s="26"/>
    </row>
    <row r="770" spans="8:18">
      <c r="H770" s="26"/>
      <c r="K770" s="26"/>
      <c r="M770" s="26"/>
      <c r="N770" s="26"/>
      <c r="O770" s="26"/>
      <c r="P770" s="26"/>
      <c r="Q770" s="26"/>
      <c r="R770" s="26"/>
    </row>
    <row r="771" spans="8:18">
      <c r="H771" s="26"/>
      <c r="K771" s="26"/>
      <c r="M771" s="26"/>
      <c r="N771" s="26"/>
      <c r="O771" s="26"/>
      <c r="P771" s="26"/>
      <c r="Q771" s="26"/>
      <c r="R771" s="26"/>
    </row>
    <row r="772" spans="8:18">
      <c r="H772" s="26"/>
      <c r="K772" s="26"/>
      <c r="M772" s="26"/>
      <c r="N772" s="26"/>
      <c r="O772" s="26"/>
      <c r="P772" s="26"/>
      <c r="Q772" s="26"/>
      <c r="R772" s="26"/>
    </row>
    <row r="773" spans="8:18">
      <c r="H773" s="26"/>
      <c r="K773" s="26"/>
      <c r="M773" s="26"/>
      <c r="N773" s="26"/>
      <c r="O773" s="26"/>
      <c r="P773" s="26"/>
      <c r="Q773" s="26"/>
      <c r="R773" s="26"/>
    </row>
    <row r="774" spans="8:18">
      <c r="H774" s="26"/>
      <c r="K774" s="26"/>
      <c r="M774" s="26"/>
      <c r="N774" s="26"/>
      <c r="O774" s="26"/>
      <c r="P774" s="26"/>
      <c r="Q774" s="26"/>
      <c r="R774" s="26"/>
    </row>
    <row r="775" spans="8:18">
      <c r="H775" s="26"/>
      <c r="K775" s="26"/>
      <c r="M775" s="26"/>
      <c r="N775" s="26"/>
      <c r="O775" s="26"/>
      <c r="P775" s="26"/>
      <c r="Q775" s="26"/>
      <c r="R775" s="26"/>
    </row>
    <row r="776" spans="8:18">
      <c r="H776" s="26"/>
      <c r="K776" s="26"/>
      <c r="M776" s="26"/>
      <c r="N776" s="26"/>
      <c r="O776" s="26"/>
      <c r="P776" s="26"/>
      <c r="Q776" s="26"/>
      <c r="R776" s="26"/>
    </row>
    <row r="777" spans="8:18">
      <c r="H777" s="26"/>
      <c r="K777" s="26"/>
      <c r="M777" s="26"/>
      <c r="N777" s="26"/>
      <c r="O777" s="26"/>
      <c r="P777" s="26"/>
      <c r="Q777" s="26"/>
      <c r="R777" s="26"/>
    </row>
    <row r="778" spans="8:18">
      <c r="H778" s="26"/>
      <c r="K778" s="26"/>
      <c r="M778" s="26"/>
      <c r="N778" s="26"/>
      <c r="O778" s="26"/>
      <c r="P778" s="26"/>
      <c r="Q778" s="26"/>
      <c r="R778" s="26"/>
    </row>
    <row r="779" spans="8:18">
      <c r="H779" s="26"/>
      <c r="K779" s="26"/>
      <c r="M779" s="26"/>
      <c r="N779" s="26"/>
      <c r="O779" s="26"/>
      <c r="P779" s="26"/>
      <c r="Q779" s="26"/>
      <c r="R779" s="26"/>
    </row>
    <row r="780" spans="8:18">
      <c r="H780" s="26"/>
      <c r="K780" s="26"/>
      <c r="M780" s="26"/>
      <c r="N780" s="26"/>
      <c r="O780" s="26"/>
      <c r="P780" s="26"/>
      <c r="Q780" s="26"/>
      <c r="R780" s="26"/>
    </row>
    <row r="781" spans="8:18">
      <c r="H781" s="26"/>
      <c r="K781" s="26"/>
      <c r="M781" s="26"/>
      <c r="N781" s="26"/>
      <c r="O781" s="26"/>
      <c r="P781" s="26"/>
      <c r="Q781" s="26"/>
      <c r="R781" s="26"/>
    </row>
    <row r="782" spans="8:18">
      <c r="H782" s="26"/>
      <c r="K782" s="26"/>
      <c r="M782" s="26"/>
      <c r="N782" s="26"/>
      <c r="O782" s="26"/>
      <c r="P782" s="26"/>
      <c r="Q782" s="26"/>
      <c r="R782" s="26"/>
    </row>
    <row r="783" spans="8:18">
      <c r="H783" s="26"/>
      <c r="K783" s="26"/>
      <c r="M783" s="26"/>
      <c r="N783" s="26"/>
      <c r="O783" s="26"/>
      <c r="P783" s="26"/>
      <c r="Q783" s="26"/>
      <c r="R783" s="26"/>
    </row>
    <row r="784" spans="8:18">
      <c r="H784" s="26"/>
      <c r="K784" s="26"/>
      <c r="M784" s="26"/>
      <c r="N784" s="26"/>
      <c r="O784" s="26"/>
      <c r="P784" s="26"/>
      <c r="Q784" s="26"/>
      <c r="R784" s="26"/>
    </row>
    <row r="785" spans="8:18">
      <c r="H785" s="26"/>
      <c r="K785" s="26"/>
      <c r="M785" s="26"/>
      <c r="N785" s="26"/>
      <c r="O785" s="26"/>
      <c r="P785" s="26"/>
      <c r="Q785" s="26"/>
      <c r="R785" s="26"/>
    </row>
    <row r="786" spans="8:18">
      <c r="H786" s="26"/>
      <c r="K786" s="26"/>
      <c r="M786" s="26"/>
      <c r="N786" s="26"/>
      <c r="O786" s="26"/>
      <c r="P786" s="26"/>
      <c r="Q786" s="26"/>
      <c r="R786" s="26"/>
    </row>
    <row r="787" spans="8:18">
      <c r="H787" s="26"/>
      <c r="K787" s="26"/>
      <c r="M787" s="26"/>
      <c r="N787" s="26"/>
      <c r="O787" s="26"/>
      <c r="P787" s="26"/>
      <c r="Q787" s="26"/>
      <c r="R787" s="26"/>
    </row>
    <row r="788" spans="8:18">
      <c r="H788" s="26"/>
      <c r="K788" s="26"/>
      <c r="M788" s="26"/>
      <c r="N788" s="26"/>
      <c r="O788" s="26"/>
      <c r="P788" s="26"/>
      <c r="Q788" s="26"/>
      <c r="R788" s="26"/>
    </row>
    <row r="789" spans="8:18">
      <c r="H789" s="26"/>
      <c r="K789" s="26"/>
      <c r="M789" s="26"/>
      <c r="N789" s="26"/>
      <c r="O789" s="26"/>
      <c r="P789" s="26"/>
      <c r="Q789" s="26"/>
      <c r="R789" s="26"/>
    </row>
    <row r="790" spans="8:18">
      <c r="H790" s="26"/>
      <c r="K790" s="26"/>
      <c r="M790" s="26"/>
      <c r="N790" s="26"/>
      <c r="O790" s="26"/>
      <c r="P790" s="26"/>
      <c r="Q790" s="26"/>
      <c r="R790" s="26"/>
    </row>
    <row r="791" spans="8:18">
      <c r="H791" s="26"/>
      <c r="K791" s="26"/>
      <c r="M791" s="26"/>
      <c r="N791" s="26"/>
      <c r="O791" s="26"/>
      <c r="P791" s="26"/>
      <c r="Q791" s="26"/>
      <c r="R791" s="26"/>
    </row>
    <row r="792" spans="8:18">
      <c r="H792" s="26"/>
      <c r="K792" s="26"/>
      <c r="M792" s="26"/>
      <c r="N792" s="26"/>
      <c r="O792" s="26"/>
      <c r="P792" s="26"/>
      <c r="Q792" s="26"/>
      <c r="R792" s="26"/>
    </row>
    <row r="793" spans="8:18">
      <c r="H793" s="26"/>
      <c r="K793" s="26"/>
      <c r="M793" s="26"/>
      <c r="N793" s="26"/>
      <c r="O793" s="26"/>
      <c r="P793" s="26"/>
      <c r="Q793" s="26"/>
      <c r="R793" s="26"/>
    </row>
    <row r="794" spans="8:18">
      <c r="H794" s="26"/>
      <c r="K794" s="26"/>
      <c r="M794" s="26"/>
      <c r="N794" s="26"/>
      <c r="O794" s="26"/>
      <c r="P794" s="26"/>
      <c r="Q794" s="26"/>
      <c r="R794" s="26"/>
    </row>
    <row r="795" spans="8:18">
      <c r="H795" s="26"/>
      <c r="K795" s="26"/>
      <c r="M795" s="26"/>
      <c r="N795" s="26"/>
      <c r="O795" s="26"/>
      <c r="P795" s="26"/>
      <c r="Q795" s="26"/>
      <c r="R795" s="26"/>
    </row>
    <row r="796" spans="8:18">
      <c r="H796" s="26"/>
      <c r="K796" s="26"/>
      <c r="M796" s="26"/>
      <c r="N796" s="26"/>
      <c r="O796" s="26"/>
      <c r="P796" s="26"/>
      <c r="Q796" s="26"/>
      <c r="R796" s="26"/>
    </row>
    <row r="797" spans="8:18">
      <c r="H797" s="26"/>
      <c r="K797" s="26"/>
      <c r="M797" s="26"/>
      <c r="N797" s="26"/>
      <c r="O797" s="26"/>
      <c r="P797" s="26"/>
      <c r="Q797" s="26"/>
      <c r="R797" s="26"/>
    </row>
    <row r="798" spans="8:18">
      <c r="H798" s="26"/>
      <c r="K798" s="26"/>
      <c r="M798" s="26"/>
      <c r="N798" s="26"/>
      <c r="O798" s="26"/>
      <c r="P798" s="26"/>
      <c r="Q798" s="26"/>
      <c r="R798" s="26"/>
    </row>
    <row r="799" spans="8:18">
      <c r="H799" s="26"/>
      <c r="K799" s="26"/>
      <c r="M799" s="26"/>
      <c r="N799" s="26"/>
      <c r="O799" s="26"/>
      <c r="P799" s="26"/>
      <c r="Q799" s="26"/>
      <c r="R799" s="26"/>
    </row>
    <row r="800" spans="8:18">
      <c r="H800" s="26"/>
      <c r="K800" s="26"/>
      <c r="M800" s="26"/>
      <c r="N800" s="26"/>
      <c r="O800" s="26"/>
      <c r="P800" s="26"/>
      <c r="Q800" s="26"/>
      <c r="R800" s="26"/>
    </row>
    <row r="801" spans="8:18">
      <c r="H801" s="26"/>
      <c r="K801" s="26"/>
      <c r="M801" s="26"/>
      <c r="N801" s="26"/>
      <c r="O801" s="26"/>
      <c r="P801" s="26"/>
      <c r="Q801" s="26"/>
      <c r="R801" s="26"/>
    </row>
    <row r="802" spans="8:18">
      <c r="H802" s="26"/>
      <c r="K802" s="26"/>
      <c r="M802" s="26"/>
      <c r="N802" s="26"/>
      <c r="O802" s="26"/>
      <c r="P802" s="26"/>
      <c r="Q802" s="26"/>
      <c r="R802" s="26"/>
    </row>
    <row r="803" spans="8:18">
      <c r="H803" s="26"/>
      <c r="K803" s="26"/>
      <c r="M803" s="26"/>
      <c r="N803" s="26"/>
      <c r="O803" s="26"/>
      <c r="P803" s="26"/>
      <c r="Q803" s="26"/>
      <c r="R803" s="26"/>
    </row>
    <row r="804" spans="8:18">
      <c r="H804" s="26"/>
      <c r="K804" s="26"/>
      <c r="M804" s="26"/>
      <c r="N804" s="26"/>
      <c r="O804" s="26"/>
      <c r="P804" s="26"/>
      <c r="Q804" s="26"/>
      <c r="R804" s="26"/>
    </row>
    <row r="805" spans="8:18">
      <c r="H805" s="26"/>
      <c r="K805" s="26"/>
      <c r="M805" s="26"/>
      <c r="N805" s="26"/>
      <c r="O805" s="26"/>
      <c r="P805" s="26"/>
      <c r="Q805" s="26"/>
      <c r="R805" s="26"/>
    </row>
    <row r="806" spans="8:18">
      <c r="H806" s="26"/>
      <c r="K806" s="26"/>
      <c r="M806" s="26"/>
      <c r="N806" s="26"/>
      <c r="O806" s="26"/>
      <c r="P806" s="26"/>
      <c r="Q806" s="26"/>
      <c r="R806" s="26"/>
    </row>
    <row r="807" spans="8:18">
      <c r="H807" s="26"/>
      <c r="K807" s="26"/>
      <c r="M807" s="26"/>
      <c r="N807" s="26"/>
      <c r="O807" s="26"/>
      <c r="P807" s="26"/>
      <c r="Q807" s="26"/>
      <c r="R807" s="26"/>
    </row>
    <row r="808" spans="8:18">
      <c r="H808" s="26"/>
      <c r="K808" s="26"/>
      <c r="M808" s="26"/>
      <c r="N808" s="26"/>
      <c r="O808" s="26"/>
      <c r="P808" s="26"/>
      <c r="Q808" s="26"/>
      <c r="R808" s="26"/>
    </row>
    <row r="809" spans="8:18">
      <c r="H809" s="26"/>
      <c r="K809" s="26"/>
      <c r="M809" s="26"/>
      <c r="N809" s="26"/>
      <c r="O809" s="26"/>
      <c r="P809" s="26"/>
      <c r="Q809" s="26"/>
      <c r="R809" s="26"/>
    </row>
    <row r="810" spans="8:18">
      <c r="H810" s="26"/>
      <c r="K810" s="26"/>
      <c r="M810" s="26"/>
      <c r="N810" s="26"/>
      <c r="O810" s="26"/>
      <c r="P810" s="26"/>
      <c r="Q810" s="26"/>
      <c r="R810" s="26"/>
    </row>
    <row r="811" spans="8:18">
      <c r="H811" s="26"/>
      <c r="K811" s="26"/>
      <c r="M811" s="26"/>
      <c r="N811" s="26"/>
      <c r="O811" s="26"/>
      <c r="P811" s="26"/>
      <c r="Q811" s="26"/>
      <c r="R811" s="26"/>
    </row>
    <row r="812" spans="8:18">
      <c r="H812" s="26"/>
      <c r="K812" s="26"/>
      <c r="M812" s="26"/>
      <c r="N812" s="26"/>
      <c r="O812" s="26"/>
      <c r="P812" s="26"/>
      <c r="Q812" s="26"/>
      <c r="R812" s="26"/>
    </row>
    <row r="813" spans="8:18">
      <c r="H813" s="26"/>
      <c r="K813" s="26"/>
      <c r="M813" s="26"/>
      <c r="N813" s="26"/>
      <c r="O813" s="26"/>
      <c r="P813" s="26"/>
      <c r="Q813" s="26"/>
      <c r="R813" s="26"/>
    </row>
    <row r="814" spans="8:18">
      <c r="H814" s="26"/>
      <c r="K814" s="26"/>
      <c r="M814" s="26"/>
      <c r="N814" s="26"/>
      <c r="O814" s="26"/>
      <c r="P814" s="26"/>
      <c r="Q814" s="26"/>
      <c r="R814" s="26"/>
    </row>
    <row r="815" spans="8:18">
      <c r="H815" s="26"/>
      <c r="K815" s="26"/>
      <c r="M815" s="26"/>
      <c r="N815" s="26"/>
      <c r="O815" s="26"/>
      <c r="P815" s="26"/>
      <c r="Q815" s="26"/>
      <c r="R815" s="26"/>
    </row>
    <row r="816" spans="8:18">
      <c r="H816" s="26"/>
      <c r="K816" s="26"/>
      <c r="M816" s="26"/>
      <c r="N816" s="26"/>
      <c r="O816" s="26"/>
      <c r="P816" s="26"/>
      <c r="Q816" s="26"/>
      <c r="R816" s="26"/>
    </row>
    <row r="817" spans="8:18">
      <c r="H817" s="26"/>
      <c r="K817" s="26"/>
      <c r="M817" s="26"/>
      <c r="N817" s="26"/>
      <c r="O817" s="26"/>
      <c r="P817" s="26"/>
      <c r="Q817" s="26"/>
      <c r="R817" s="26"/>
    </row>
    <row r="818" spans="8:18">
      <c r="H818" s="26"/>
      <c r="K818" s="26"/>
      <c r="M818" s="26"/>
      <c r="N818" s="26"/>
      <c r="O818" s="26"/>
      <c r="P818" s="26"/>
      <c r="Q818" s="26"/>
      <c r="R818" s="26"/>
    </row>
    <row r="819" spans="8:18">
      <c r="H819" s="26"/>
      <c r="K819" s="26"/>
      <c r="M819" s="26"/>
      <c r="N819" s="26"/>
      <c r="O819" s="26"/>
      <c r="P819" s="26"/>
      <c r="Q819" s="26"/>
      <c r="R819" s="26"/>
    </row>
    <row r="820" spans="8:18">
      <c r="H820" s="26"/>
      <c r="K820" s="26"/>
      <c r="M820" s="26"/>
      <c r="N820" s="26"/>
      <c r="O820" s="26"/>
      <c r="P820" s="26"/>
      <c r="Q820" s="26"/>
      <c r="R820" s="26"/>
    </row>
    <row r="821" spans="8:18">
      <c r="H821" s="26"/>
      <c r="K821" s="26"/>
      <c r="M821" s="26"/>
      <c r="N821" s="26"/>
      <c r="O821" s="26"/>
      <c r="P821" s="26"/>
      <c r="Q821" s="26"/>
      <c r="R821" s="26"/>
    </row>
    <row r="822" spans="8:18">
      <c r="H822" s="26"/>
      <c r="K822" s="26"/>
      <c r="M822" s="26"/>
      <c r="N822" s="26"/>
      <c r="O822" s="26"/>
      <c r="P822" s="26"/>
      <c r="Q822" s="26"/>
      <c r="R822" s="26"/>
    </row>
    <row r="823" spans="8:18">
      <c r="H823" s="26"/>
      <c r="K823" s="26"/>
      <c r="M823" s="26"/>
      <c r="N823" s="26"/>
      <c r="O823" s="26"/>
      <c r="P823" s="26"/>
      <c r="Q823" s="26"/>
      <c r="R823" s="26"/>
    </row>
    <row r="824" spans="8:18">
      <c r="H824" s="26"/>
      <c r="K824" s="26"/>
      <c r="M824" s="26"/>
      <c r="N824" s="26"/>
      <c r="O824" s="26"/>
      <c r="P824" s="26"/>
      <c r="Q824" s="26"/>
      <c r="R824" s="26"/>
    </row>
    <row r="825" spans="8:18">
      <c r="H825" s="26"/>
      <c r="K825" s="26"/>
      <c r="M825" s="26"/>
      <c r="N825" s="26"/>
      <c r="O825" s="26"/>
      <c r="P825" s="26"/>
      <c r="Q825" s="26"/>
      <c r="R825" s="26"/>
    </row>
    <row r="826" spans="8:18">
      <c r="H826" s="26"/>
      <c r="K826" s="26"/>
      <c r="M826" s="26"/>
      <c r="N826" s="26"/>
      <c r="O826" s="26"/>
      <c r="P826" s="26"/>
      <c r="Q826" s="26"/>
      <c r="R826" s="26"/>
    </row>
    <row r="827" spans="8:18">
      <c r="H827" s="26"/>
      <c r="K827" s="26"/>
      <c r="M827" s="26"/>
      <c r="N827" s="26"/>
      <c r="O827" s="26"/>
      <c r="P827" s="26"/>
      <c r="Q827" s="26"/>
      <c r="R827" s="26"/>
    </row>
    <row r="828" spans="8:18">
      <c r="H828" s="26"/>
      <c r="K828" s="26"/>
      <c r="M828" s="26"/>
      <c r="N828" s="26"/>
      <c r="O828" s="26"/>
      <c r="P828" s="26"/>
      <c r="Q828" s="26"/>
      <c r="R828" s="26"/>
    </row>
    <row r="829" spans="8:18">
      <c r="H829" s="26"/>
      <c r="K829" s="26"/>
      <c r="M829" s="26"/>
      <c r="N829" s="26"/>
      <c r="O829" s="26"/>
      <c r="P829" s="26"/>
      <c r="Q829" s="26"/>
      <c r="R829" s="26"/>
    </row>
    <row r="830" spans="8:18">
      <c r="H830" s="26"/>
      <c r="K830" s="26"/>
      <c r="M830" s="26"/>
      <c r="N830" s="26"/>
      <c r="O830" s="26"/>
      <c r="P830" s="26"/>
      <c r="Q830" s="26"/>
      <c r="R830" s="26"/>
    </row>
    <row r="831" spans="8:18">
      <c r="H831" s="26"/>
      <c r="K831" s="26"/>
      <c r="M831" s="26"/>
      <c r="N831" s="26"/>
      <c r="O831" s="26"/>
      <c r="P831" s="26"/>
      <c r="Q831" s="26"/>
      <c r="R831" s="26"/>
    </row>
    <row r="832" spans="8:18">
      <c r="H832" s="26"/>
      <c r="K832" s="26"/>
      <c r="M832" s="26"/>
      <c r="N832" s="26"/>
      <c r="O832" s="26"/>
      <c r="P832" s="26"/>
      <c r="Q832" s="26"/>
      <c r="R832" s="26"/>
    </row>
    <row r="833" spans="8:18">
      <c r="H833" s="26"/>
      <c r="K833" s="26"/>
      <c r="M833" s="26"/>
      <c r="N833" s="26"/>
      <c r="O833" s="26"/>
      <c r="P833" s="26"/>
      <c r="Q833" s="26"/>
      <c r="R833" s="26"/>
    </row>
    <row r="834" spans="8:18">
      <c r="H834" s="26"/>
      <c r="K834" s="26"/>
      <c r="M834" s="26"/>
      <c r="N834" s="26"/>
      <c r="O834" s="26"/>
      <c r="P834" s="26"/>
      <c r="Q834" s="26"/>
      <c r="R834" s="26"/>
    </row>
    <row r="835" spans="8:18">
      <c r="H835" s="26"/>
      <c r="K835" s="26"/>
      <c r="M835" s="26"/>
      <c r="N835" s="26"/>
      <c r="O835" s="26"/>
      <c r="P835" s="26"/>
      <c r="Q835" s="26"/>
      <c r="R835" s="26"/>
    </row>
    <row r="836" spans="8:18">
      <c r="H836" s="26"/>
      <c r="K836" s="26"/>
      <c r="M836" s="26"/>
      <c r="N836" s="26"/>
      <c r="O836" s="26"/>
      <c r="P836" s="26"/>
      <c r="Q836" s="26"/>
      <c r="R836" s="26"/>
    </row>
    <row r="837" spans="8:18">
      <c r="H837" s="26"/>
      <c r="K837" s="26"/>
      <c r="M837" s="26"/>
      <c r="N837" s="26"/>
      <c r="O837" s="26"/>
      <c r="P837" s="26"/>
      <c r="Q837" s="26"/>
      <c r="R837" s="26"/>
    </row>
    <row r="838" spans="8:18">
      <c r="H838" s="26"/>
      <c r="K838" s="26"/>
      <c r="M838" s="26"/>
      <c r="N838" s="26"/>
      <c r="O838" s="26"/>
      <c r="P838" s="26"/>
      <c r="Q838" s="26"/>
      <c r="R838" s="26"/>
    </row>
    <row r="839" spans="8:18">
      <c r="H839" s="26"/>
      <c r="K839" s="26"/>
      <c r="M839" s="26"/>
      <c r="N839" s="26"/>
      <c r="O839" s="26"/>
      <c r="P839" s="26"/>
      <c r="Q839" s="26"/>
      <c r="R839" s="26"/>
    </row>
    <row r="840" spans="8:18">
      <c r="H840" s="26"/>
      <c r="K840" s="26"/>
      <c r="M840" s="26"/>
      <c r="N840" s="26"/>
      <c r="O840" s="26"/>
      <c r="P840" s="26"/>
      <c r="Q840" s="26"/>
      <c r="R840" s="26"/>
    </row>
    <row r="841" spans="8:18">
      <c r="H841" s="26"/>
      <c r="K841" s="26"/>
      <c r="M841" s="26"/>
      <c r="N841" s="26"/>
      <c r="O841" s="26"/>
      <c r="P841" s="26"/>
      <c r="Q841" s="26"/>
      <c r="R841" s="26"/>
    </row>
    <row r="842" spans="8:18">
      <c r="H842" s="26"/>
      <c r="K842" s="26"/>
      <c r="M842" s="26"/>
      <c r="N842" s="26"/>
      <c r="O842" s="26"/>
      <c r="P842" s="26"/>
      <c r="Q842" s="26"/>
      <c r="R842" s="26"/>
    </row>
    <row r="843" spans="8:18">
      <c r="H843" s="26"/>
      <c r="K843" s="26"/>
      <c r="M843" s="26"/>
      <c r="N843" s="26"/>
      <c r="O843" s="26"/>
      <c r="P843" s="26"/>
      <c r="Q843" s="26"/>
      <c r="R843" s="26"/>
    </row>
    <row r="844" spans="8:18">
      <c r="H844" s="26"/>
      <c r="K844" s="26"/>
      <c r="M844" s="26"/>
      <c r="N844" s="26"/>
      <c r="O844" s="26"/>
      <c r="P844" s="26"/>
      <c r="Q844" s="26"/>
      <c r="R844" s="26"/>
    </row>
    <row r="845" spans="8:18">
      <c r="H845" s="26"/>
      <c r="K845" s="26"/>
      <c r="M845" s="26"/>
      <c r="N845" s="26"/>
      <c r="O845" s="26"/>
      <c r="P845" s="26"/>
      <c r="Q845" s="26"/>
      <c r="R845" s="26"/>
    </row>
    <row r="846" spans="8:18">
      <c r="H846" s="26"/>
      <c r="K846" s="26"/>
      <c r="M846" s="26"/>
      <c r="N846" s="26"/>
      <c r="O846" s="26"/>
      <c r="P846" s="26"/>
      <c r="Q846" s="26"/>
      <c r="R846" s="26"/>
    </row>
    <row r="847" spans="8:18">
      <c r="H847" s="26"/>
      <c r="K847" s="26"/>
      <c r="M847" s="26"/>
      <c r="N847" s="26"/>
      <c r="O847" s="26"/>
      <c r="P847" s="26"/>
      <c r="Q847" s="26"/>
      <c r="R847" s="26"/>
    </row>
    <row r="848" spans="8:18">
      <c r="H848" s="26"/>
      <c r="K848" s="26"/>
      <c r="M848" s="26"/>
      <c r="N848" s="26"/>
      <c r="O848" s="26"/>
      <c r="P848" s="26"/>
      <c r="Q848" s="26"/>
      <c r="R848" s="26"/>
    </row>
    <row r="849" spans="8:18">
      <c r="H849" s="26"/>
      <c r="K849" s="26"/>
      <c r="M849" s="26"/>
      <c r="N849" s="26"/>
      <c r="O849" s="26"/>
      <c r="P849" s="26"/>
      <c r="Q849" s="26"/>
      <c r="R849" s="26"/>
    </row>
    <row r="850" spans="8:18">
      <c r="H850" s="26"/>
      <c r="K850" s="26"/>
      <c r="M850" s="26"/>
      <c r="N850" s="26"/>
      <c r="O850" s="26"/>
      <c r="P850" s="26"/>
      <c r="Q850" s="26"/>
      <c r="R850" s="26"/>
    </row>
    <row r="851" spans="8:18">
      <c r="H851" s="26"/>
      <c r="K851" s="26"/>
      <c r="M851" s="26"/>
      <c r="N851" s="26"/>
      <c r="O851" s="26"/>
      <c r="P851" s="26"/>
      <c r="Q851" s="26"/>
      <c r="R851" s="26"/>
    </row>
    <row r="852" spans="8:18">
      <c r="H852" s="26"/>
      <c r="K852" s="26"/>
      <c r="M852" s="26"/>
      <c r="N852" s="26"/>
      <c r="O852" s="26"/>
      <c r="P852" s="26"/>
      <c r="Q852" s="26"/>
      <c r="R852" s="26"/>
    </row>
    <row r="853" spans="8:18">
      <c r="H853" s="26"/>
      <c r="K853" s="26"/>
      <c r="M853" s="26"/>
      <c r="N853" s="26"/>
      <c r="O853" s="26"/>
      <c r="P853" s="26"/>
      <c r="Q853" s="26"/>
      <c r="R853" s="26"/>
    </row>
    <row r="854" spans="8:18">
      <c r="H854" s="26"/>
      <c r="K854" s="26"/>
      <c r="M854" s="26"/>
      <c r="N854" s="26"/>
      <c r="O854" s="26"/>
      <c r="P854" s="26"/>
      <c r="Q854" s="26"/>
      <c r="R854" s="26"/>
    </row>
    <row r="855" spans="8:18">
      <c r="H855" s="26"/>
      <c r="K855" s="26"/>
      <c r="M855" s="26"/>
      <c r="N855" s="26"/>
      <c r="O855" s="26"/>
      <c r="P855" s="26"/>
      <c r="Q855" s="26"/>
      <c r="R855" s="26"/>
    </row>
    <row r="856" spans="8:18">
      <c r="H856" s="26"/>
      <c r="K856" s="26"/>
      <c r="M856" s="26"/>
      <c r="N856" s="26"/>
      <c r="O856" s="26"/>
      <c r="P856" s="26"/>
      <c r="Q856" s="26"/>
      <c r="R856" s="26"/>
    </row>
    <row r="857" spans="8:18">
      <c r="H857" s="26"/>
      <c r="K857" s="26"/>
      <c r="M857" s="26"/>
      <c r="N857" s="26"/>
      <c r="O857" s="26"/>
      <c r="P857" s="26"/>
      <c r="Q857" s="26"/>
      <c r="R857" s="26"/>
    </row>
    <row r="858" spans="8:18">
      <c r="H858" s="26"/>
      <c r="K858" s="26"/>
      <c r="M858" s="26"/>
      <c r="N858" s="26"/>
      <c r="O858" s="26"/>
      <c r="P858" s="26"/>
      <c r="Q858" s="26"/>
      <c r="R858" s="26"/>
    </row>
    <row r="859" spans="8:18">
      <c r="H859" s="26"/>
      <c r="K859" s="26"/>
      <c r="M859" s="26"/>
      <c r="N859" s="26"/>
      <c r="O859" s="26"/>
      <c r="P859" s="26"/>
      <c r="Q859" s="26"/>
      <c r="R859" s="26"/>
    </row>
    <row r="860" spans="8:18">
      <c r="H860" s="26"/>
      <c r="K860" s="26"/>
      <c r="M860" s="26"/>
      <c r="N860" s="26"/>
      <c r="O860" s="26"/>
      <c r="P860" s="26"/>
      <c r="Q860" s="26"/>
      <c r="R860" s="26"/>
    </row>
    <row r="861" spans="8:18">
      <c r="H861" s="26"/>
      <c r="K861" s="26"/>
      <c r="M861" s="26"/>
      <c r="N861" s="26"/>
      <c r="O861" s="26"/>
      <c r="P861" s="26"/>
      <c r="Q861" s="26"/>
      <c r="R861" s="26"/>
    </row>
    <row r="862" spans="8:18">
      <c r="H862" s="26"/>
      <c r="K862" s="26"/>
      <c r="M862" s="26"/>
      <c r="N862" s="26"/>
      <c r="O862" s="26"/>
      <c r="P862" s="26"/>
      <c r="Q862" s="26"/>
      <c r="R862" s="26"/>
    </row>
    <row r="863" spans="8:18">
      <c r="H863" s="26"/>
      <c r="K863" s="26"/>
      <c r="M863" s="26"/>
      <c r="N863" s="26"/>
      <c r="O863" s="26"/>
      <c r="P863" s="26"/>
      <c r="Q863" s="26"/>
      <c r="R863" s="26"/>
    </row>
    <row r="864" spans="8:18">
      <c r="H864" s="26"/>
      <c r="K864" s="26"/>
      <c r="M864" s="26"/>
      <c r="N864" s="26"/>
      <c r="O864" s="26"/>
      <c r="P864" s="26"/>
      <c r="Q864" s="26"/>
      <c r="R864" s="26"/>
    </row>
    <row r="865" spans="8:18">
      <c r="H865" s="26"/>
      <c r="K865" s="26"/>
      <c r="M865" s="26"/>
      <c r="N865" s="26"/>
      <c r="O865" s="26"/>
      <c r="P865" s="26"/>
      <c r="Q865" s="26"/>
      <c r="R865" s="26"/>
    </row>
    <row r="866" spans="8:18">
      <c r="H866" s="26"/>
      <c r="K866" s="26"/>
      <c r="M866" s="26"/>
      <c r="N866" s="26"/>
      <c r="O866" s="26"/>
      <c r="P866" s="26"/>
      <c r="Q866" s="26"/>
      <c r="R866" s="26"/>
    </row>
    <row r="867" spans="8:18">
      <c r="H867" s="26"/>
      <c r="K867" s="26"/>
      <c r="M867" s="26"/>
      <c r="N867" s="26"/>
      <c r="O867" s="26"/>
      <c r="P867" s="26"/>
      <c r="Q867" s="26"/>
      <c r="R867" s="26"/>
    </row>
    <row r="868" spans="8:18">
      <c r="H868" s="26"/>
      <c r="K868" s="26"/>
      <c r="M868" s="26"/>
      <c r="N868" s="26"/>
      <c r="O868" s="26"/>
      <c r="P868" s="26"/>
      <c r="Q868" s="26"/>
      <c r="R868" s="26"/>
    </row>
    <row r="869" spans="8:18">
      <c r="H869" s="26"/>
      <c r="K869" s="26"/>
      <c r="M869" s="26"/>
      <c r="N869" s="26"/>
      <c r="O869" s="26"/>
      <c r="P869" s="26"/>
      <c r="Q869" s="26"/>
      <c r="R869" s="26"/>
    </row>
    <row r="870" spans="8:18">
      <c r="H870" s="26"/>
      <c r="K870" s="26"/>
      <c r="M870" s="26"/>
      <c r="N870" s="26"/>
      <c r="O870" s="26"/>
      <c r="P870" s="26"/>
      <c r="Q870" s="26"/>
      <c r="R870" s="26"/>
    </row>
    <row r="871" spans="8:18">
      <c r="H871" s="26"/>
      <c r="K871" s="26"/>
      <c r="M871" s="26"/>
      <c r="N871" s="26"/>
      <c r="O871" s="26"/>
      <c r="P871" s="26"/>
      <c r="Q871" s="26"/>
      <c r="R871" s="26"/>
    </row>
    <row r="872" spans="8:18">
      <c r="H872" s="26"/>
      <c r="K872" s="26"/>
      <c r="M872" s="26"/>
      <c r="N872" s="26"/>
      <c r="O872" s="26"/>
      <c r="P872" s="26"/>
      <c r="Q872" s="26"/>
      <c r="R872" s="26"/>
    </row>
    <row r="873" spans="8:18">
      <c r="H873" s="26"/>
      <c r="K873" s="26"/>
      <c r="M873" s="26"/>
      <c r="N873" s="26"/>
      <c r="O873" s="26"/>
      <c r="P873" s="26"/>
      <c r="Q873" s="26"/>
      <c r="R873" s="26"/>
    </row>
    <row r="874" spans="8:18">
      <c r="H874" s="26"/>
      <c r="K874" s="26"/>
      <c r="M874" s="26"/>
      <c r="N874" s="26"/>
      <c r="O874" s="26"/>
      <c r="P874" s="26"/>
      <c r="Q874" s="26"/>
      <c r="R874" s="26"/>
    </row>
    <row r="875" spans="8:18">
      <c r="H875" s="26"/>
      <c r="K875" s="26"/>
      <c r="M875" s="26"/>
      <c r="N875" s="26"/>
      <c r="O875" s="26"/>
      <c r="P875" s="26"/>
      <c r="Q875" s="26"/>
      <c r="R875" s="26"/>
    </row>
    <row r="876" spans="8:18">
      <c r="H876" s="26"/>
      <c r="K876" s="26"/>
      <c r="M876" s="26"/>
      <c r="N876" s="26"/>
      <c r="O876" s="26"/>
      <c r="P876" s="26"/>
      <c r="Q876" s="26"/>
      <c r="R876" s="26"/>
    </row>
    <row r="877" spans="8:18">
      <c r="H877" s="26"/>
      <c r="K877" s="26"/>
      <c r="M877" s="26"/>
      <c r="N877" s="26"/>
      <c r="O877" s="26"/>
      <c r="P877" s="26"/>
      <c r="Q877" s="26"/>
      <c r="R877" s="26"/>
    </row>
    <row r="878" spans="8:18">
      <c r="H878" s="26"/>
      <c r="K878" s="26"/>
      <c r="M878" s="26"/>
      <c r="N878" s="26"/>
      <c r="O878" s="26"/>
      <c r="P878" s="26"/>
      <c r="Q878" s="26"/>
      <c r="R878" s="26"/>
    </row>
    <row r="879" spans="8:18">
      <c r="H879" s="26"/>
      <c r="K879" s="26"/>
      <c r="M879" s="26"/>
      <c r="N879" s="26"/>
      <c r="O879" s="26"/>
      <c r="P879" s="26"/>
      <c r="Q879" s="26"/>
      <c r="R879" s="26"/>
    </row>
    <row r="880" spans="8:18">
      <c r="H880" s="26"/>
      <c r="K880" s="26"/>
      <c r="M880" s="26"/>
      <c r="N880" s="26"/>
      <c r="O880" s="26"/>
      <c r="P880" s="26"/>
      <c r="Q880" s="26"/>
      <c r="R880" s="26"/>
    </row>
    <row r="881" spans="8:18">
      <c r="H881" s="26"/>
      <c r="K881" s="26"/>
      <c r="M881" s="26"/>
      <c r="N881" s="26"/>
      <c r="O881" s="26"/>
      <c r="P881" s="26"/>
      <c r="Q881" s="26"/>
      <c r="R881" s="26"/>
    </row>
    <row r="882" spans="8:18">
      <c r="H882" s="26"/>
      <c r="K882" s="26"/>
      <c r="M882" s="26"/>
      <c r="N882" s="26"/>
      <c r="O882" s="26"/>
      <c r="P882" s="26"/>
      <c r="Q882" s="26"/>
      <c r="R882" s="26"/>
    </row>
    <row r="883" spans="8:18">
      <c r="H883" s="26"/>
      <c r="K883" s="26"/>
      <c r="M883" s="26"/>
      <c r="N883" s="26"/>
      <c r="O883" s="26"/>
      <c r="P883" s="26"/>
      <c r="Q883" s="26"/>
      <c r="R883" s="26"/>
    </row>
    <row r="884" spans="8:18">
      <c r="H884" s="26"/>
      <c r="K884" s="26"/>
      <c r="M884" s="26"/>
      <c r="N884" s="26"/>
      <c r="O884" s="26"/>
      <c r="P884" s="26"/>
      <c r="Q884" s="26"/>
      <c r="R884" s="26"/>
    </row>
    <row r="885" spans="8:18">
      <c r="H885" s="26"/>
      <c r="K885" s="26"/>
      <c r="M885" s="26"/>
      <c r="N885" s="26"/>
      <c r="O885" s="26"/>
      <c r="P885" s="26"/>
      <c r="Q885" s="26"/>
      <c r="R885" s="26"/>
    </row>
    <row r="886" spans="8:18">
      <c r="H886" s="26"/>
      <c r="K886" s="26"/>
      <c r="M886" s="26"/>
      <c r="N886" s="26"/>
      <c r="O886" s="26"/>
      <c r="P886" s="26"/>
      <c r="Q886" s="26"/>
      <c r="R886" s="26"/>
    </row>
    <row r="887" spans="8:18">
      <c r="H887" s="26"/>
      <c r="K887" s="26"/>
      <c r="M887" s="26"/>
      <c r="N887" s="26"/>
      <c r="O887" s="26"/>
      <c r="P887" s="26"/>
      <c r="Q887" s="26"/>
      <c r="R887" s="26"/>
    </row>
    <row r="888" spans="8:18">
      <c r="H888" s="26"/>
      <c r="K888" s="26"/>
      <c r="M888" s="26"/>
      <c r="N888" s="26"/>
      <c r="O888" s="26"/>
      <c r="P888" s="26"/>
      <c r="Q888" s="26"/>
      <c r="R888" s="26"/>
    </row>
    <row r="889" spans="8:18">
      <c r="H889" s="26"/>
      <c r="K889" s="26"/>
      <c r="M889" s="26"/>
      <c r="N889" s="26"/>
      <c r="O889" s="26"/>
      <c r="P889" s="26"/>
      <c r="Q889" s="26"/>
      <c r="R889" s="26"/>
    </row>
    <row r="890" spans="8:18">
      <c r="H890" s="26"/>
      <c r="K890" s="26"/>
      <c r="M890" s="26"/>
      <c r="N890" s="26"/>
      <c r="O890" s="26"/>
      <c r="P890" s="26"/>
      <c r="Q890" s="26"/>
      <c r="R890" s="26"/>
    </row>
    <row r="891" spans="8:18">
      <c r="H891" s="26"/>
      <c r="K891" s="26"/>
      <c r="M891" s="26"/>
      <c r="N891" s="26"/>
      <c r="O891" s="26"/>
      <c r="P891" s="26"/>
      <c r="Q891" s="26"/>
      <c r="R891" s="26"/>
    </row>
    <row r="892" spans="8:18">
      <c r="H892" s="26"/>
      <c r="K892" s="26"/>
      <c r="M892" s="26"/>
      <c r="N892" s="26"/>
      <c r="O892" s="26"/>
      <c r="P892" s="26"/>
      <c r="Q892" s="26"/>
      <c r="R892" s="26"/>
    </row>
    <row r="893" spans="8:18">
      <c r="H893" s="26"/>
      <c r="K893" s="26"/>
      <c r="M893" s="26"/>
      <c r="N893" s="26"/>
      <c r="O893" s="26"/>
      <c r="P893" s="26"/>
      <c r="Q893" s="26"/>
      <c r="R893" s="26"/>
    </row>
    <row r="894" spans="8:18">
      <c r="H894" s="26"/>
      <c r="K894" s="26"/>
      <c r="M894" s="26"/>
      <c r="N894" s="26"/>
      <c r="O894" s="26"/>
      <c r="P894" s="26"/>
      <c r="Q894" s="26"/>
      <c r="R894" s="26"/>
    </row>
    <row r="895" spans="8:18">
      <c r="H895" s="26"/>
      <c r="K895" s="26"/>
      <c r="M895" s="26"/>
      <c r="N895" s="26"/>
      <c r="O895" s="26"/>
      <c r="P895" s="26"/>
      <c r="Q895" s="26"/>
      <c r="R895" s="26"/>
    </row>
    <row r="896" spans="8:18">
      <c r="H896" s="26"/>
      <c r="K896" s="26"/>
      <c r="M896" s="26"/>
      <c r="N896" s="26"/>
      <c r="O896" s="26"/>
      <c r="P896" s="26"/>
      <c r="Q896" s="26"/>
      <c r="R896" s="26"/>
    </row>
    <row r="897" spans="8:18">
      <c r="H897" s="26"/>
      <c r="K897" s="26"/>
      <c r="M897" s="26"/>
      <c r="N897" s="26"/>
      <c r="O897" s="26"/>
      <c r="P897" s="26"/>
      <c r="Q897" s="26"/>
      <c r="R897" s="26"/>
    </row>
    <row r="898" spans="8:18">
      <c r="H898" s="26"/>
      <c r="K898" s="26"/>
      <c r="M898" s="26"/>
      <c r="N898" s="26"/>
      <c r="O898" s="26"/>
      <c r="P898" s="26"/>
      <c r="Q898" s="26"/>
      <c r="R898" s="26"/>
    </row>
    <row r="899" spans="8:18">
      <c r="H899" s="26"/>
      <c r="K899" s="26"/>
      <c r="M899" s="26"/>
      <c r="N899" s="26"/>
      <c r="O899" s="26"/>
      <c r="P899" s="26"/>
      <c r="Q899" s="26"/>
      <c r="R899" s="26"/>
    </row>
    <row r="900" spans="8:18">
      <c r="H900" s="26"/>
      <c r="K900" s="26"/>
      <c r="M900" s="26"/>
      <c r="N900" s="26"/>
      <c r="O900" s="26"/>
      <c r="P900" s="26"/>
      <c r="Q900" s="26"/>
      <c r="R900" s="26"/>
    </row>
    <row r="901" spans="8:18">
      <c r="H901" s="26"/>
      <c r="K901" s="26"/>
      <c r="M901" s="26"/>
      <c r="N901" s="26"/>
      <c r="O901" s="26"/>
      <c r="P901" s="26"/>
      <c r="Q901" s="26"/>
      <c r="R901" s="26"/>
    </row>
    <row r="902" spans="8:18">
      <c r="H902" s="26"/>
      <c r="K902" s="26"/>
      <c r="M902" s="26"/>
      <c r="N902" s="26"/>
      <c r="O902" s="26"/>
      <c r="P902" s="26"/>
      <c r="Q902" s="26"/>
      <c r="R902" s="26"/>
    </row>
    <row r="903" spans="8:18">
      <c r="H903" s="26"/>
      <c r="K903" s="26"/>
      <c r="M903" s="26"/>
      <c r="N903" s="26"/>
      <c r="O903" s="26"/>
      <c r="P903" s="26"/>
      <c r="Q903" s="26"/>
      <c r="R903" s="26"/>
    </row>
    <row r="904" spans="8:18">
      <c r="H904" s="26"/>
      <c r="K904" s="26"/>
      <c r="M904" s="26"/>
      <c r="N904" s="26"/>
      <c r="O904" s="26"/>
      <c r="P904" s="26"/>
      <c r="Q904" s="26"/>
      <c r="R904" s="26"/>
    </row>
    <row r="905" spans="8:18">
      <c r="H905" s="26"/>
      <c r="K905" s="26"/>
      <c r="M905" s="26"/>
      <c r="N905" s="26"/>
      <c r="O905" s="26"/>
      <c r="P905" s="26"/>
      <c r="Q905" s="26"/>
      <c r="R905" s="26"/>
    </row>
    <row r="906" spans="8:18">
      <c r="H906" s="26"/>
      <c r="K906" s="26"/>
      <c r="M906" s="26"/>
      <c r="N906" s="26"/>
      <c r="O906" s="26"/>
      <c r="P906" s="26"/>
      <c r="Q906" s="26"/>
      <c r="R906" s="26"/>
    </row>
    <row r="907" spans="8:18">
      <c r="H907" s="26"/>
      <c r="K907" s="26"/>
      <c r="M907" s="26"/>
      <c r="N907" s="26"/>
      <c r="O907" s="26"/>
      <c r="P907" s="26"/>
      <c r="Q907" s="26"/>
      <c r="R907" s="26"/>
    </row>
    <row r="908" spans="8:18">
      <c r="H908" s="26"/>
      <c r="K908" s="26"/>
      <c r="M908" s="26"/>
      <c r="N908" s="26"/>
      <c r="O908" s="26"/>
      <c r="P908" s="26"/>
      <c r="Q908" s="26"/>
      <c r="R908" s="26"/>
    </row>
    <row r="909" spans="8:18">
      <c r="H909" s="26"/>
      <c r="K909" s="26"/>
      <c r="M909" s="26"/>
      <c r="N909" s="26"/>
      <c r="O909" s="26"/>
      <c r="P909" s="26"/>
      <c r="Q909" s="26"/>
      <c r="R909" s="26"/>
    </row>
    <row r="910" spans="8:18">
      <c r="H910" s="26"/>
      <c r="K910" s="26"/>
      <c r="M910" s="26"/>
      <c r="N910" s="26"/>
      <c r="O910" s="26"/>
      <c r="P910" s="26"/>
      <c r="Q910" s="26"/>
      <c r="R910" s="26"/>
    </row>
    <row r="911" spans="8:18">
      <c r="H911" s="26"/>
      <c r="K911" s="26"/>
      <c r="M911" s="26"/>
      <c r="N911" s="26"/>
      <c r="O911" s="26"/>
      <c r="P911" s="26"/>
      <c r="Q911" s="26"/>
      <c r="R911" s="26"/>
    </row>
    <row r="912" spans="8:18">
      <c r="H912" s="26"/>
      <c r="K912" s="26"/>
      <c r="M912" s="26"/>
      <c r="N912" s="26"/>
      <c r="O912" s="26"/>
      <c r="P912" s="26"/>
      <c r="Q912" s="26"/>
      <c r="R912" s="26"/>
    </row>
    <row r="913" spans="8:18">
      <c r="H913" s="26"/>
      <c r="K913" s="26"/>
      <c r="M913" s="26"/>
      <c r="N913" s="26"/>
      <c r="O913" s="26"/>
      <c r="P913" s="26"/>
      <c r="Q913" s="26"/>
      <c r="R913" s="26"/>
    </row>
    <row r="914" spans="8:18">
      <c r="H914" s="26"/>
      <c r="K914" s="26"/>
      <c r="M914" s="26"/>
      <c r="N914" s="26"/>
      <c r="O914" s="26"/>
      <c r="P914" s="26"/>
      <c r="Q914" s="26"/>
      <c r="R914" s="26"/>
    </row>
    <row r="915" spans="8:18">
      <c r="H915" s="26"/>
      <c r="K915" s="26"/>
      <c r="M915" s="26"/>
      <c r="N915" s="26"/>
      <c r="O915" s="26"/>
      <c r="P915" s="26"/>
      <c r="Q915" s="26"/>
      <c r="R915" s="26"/>
    </row>
    <row r="916" spans="8:18">
      <c r="H916" s="26"/>
      <c r="K916" s="26"/>
      <c r="M916" s="26"/>
      <c r="N916" s="26"/>
      <c r="O916" s="26"/>
      <c r="P916" s="26"/>
      <c r="Q916" s="26"/>
      <c r="R916" s="26"/>
    </row>
    <row r="917" spans="8:18">
      <c r="H917" s="26"/>
      <c r="K917" s="26"/>
      <c r="M917" s="26"/>
      <c r="N917" s="26"/>
      <c r="O917" s="26"/>
      <c r="P917" s="26"/>
      <c r="Q917" s="26"/>
      <c r="R917" s="26"/>
    </row>
    <row r="918" spans="8:18">
      <c r="H918" s="26"/>
      <c r="K918" s="26"/>
      <c r="M918" s="26"/>
      <c r="N918" s="26"/>
      <c r="O918" s="26"/>
      <c r="P918" s="26"/>
      <c r="Q918" s="26"/>
      <c r="R918" s="26"/>
    </row>
    <row r="919" spans="8:18">
      <c r="H919" s="26"/>
      <c r="K919" s="26"/>
      <c r="M919" s="26"/>
      <c r="N919" s="26"/>
      <c r="O919" s="26"/>
      <c r="P919" s="26"/>
      <c r="Q919" s="26"/>
      <c r="R919" s="26"/>
    </row>
    <row r="920" spans="8:18">
      <c r="H920" s="26"/>
      <c r="K920" s="26"/>
      <c r="M920" s="26"/>
      <c r="N920" s="26"/>
      <c r="O920" s="26"/>
      <c r="P920" s="26"/>
      <c r="Q920" s="26"/>
      <c r="R920" s="26"/>
    </row>
    <row r="921" spans="8:18">
      <c r="H921" s="26"/>
      <c r="K921" s="26"/>
      <c r="M921" s="26"/>
      <c r="N921" s="26"/>
      <c r="O921" s="26"/>
      <c r="P921" s="26"/>
      <c r="Q921" s="26"/>
      <c r="R921" s="26"/>
    </row>
    <row r="922" spans="8:18">
      <c r="H922" s="26"/>
      <c r="K922" s="26"/>
      <c r="M922" s="26"/>
      <c r="N922" s="26"/>
      <c r="O922" s="26"/>
      <c r="P922" s="26"/>
      <c r="Q922" s="26"/>
      <c r="R922" s="26"/>
    </row>
    <row r="923" spans="8:18">
      <c r="H923" s="26"/>
      <c r="K923" s="26"/>
      <c r="M923" s="26"/>
      <c r="N923" s="26"/>
      <c r="O923" s="26"/>
      <c r="P923" s="26"/>
      <c r="Q923" s="26"/>
      <c r="R923" s="26"/>
    </row>
    <row r="924" spans="8:18">
      <c r="H924" s="26"/>
      <c r="K924" s="26"/>
      <c r="M924" s="26"/>
      <c r="N924" s="26"/>
      <c r="O924" s="26"/>
      <c r="P924" s="26"/>
      <c r="Q924" s="26"/>
      <c r="R924" s="26"/>
    </row>
    <row r="925" spans="8:18">
      <c r="H925" s="26"/>
      <c r="K925" s="26"/>
      <c r="M925" s="26"/>
      <c r="N925" s="26"/>
      <c r="O925" s="26"/>
      <c r="P925" s="26"/>
      <c r="Q925" s="26"/>
      <c r="R925" s="26"/>
    </row>
    <row r="926" spans="8:18">
      <c r="H926" s="26"/>
      <c r="K926" s="26"/>
      <c r="M926" s="26"/>
      <c r="N926" s="26"/>
      <c r="O926" s="26"/>
      <c r="P926" s="26"/>
      <c r="Q926" s="26"/>
      <c r="R926" s="26"/>
    </row>
    <row r="927" spans="8:18">
      <c r="H927" s="26"/>
      <c r="K927" s="26"/>
      <c r="M927" s="26"/>
      <c r="N927" s="26"/>
      <c r="O927" s="26"/>
      <c r="P927" s="26"/>
      <c r="Q927" s="26"/>
      <c r="R927" s="26"/>
    </row>
    <row r="928" spans="8:18">
      <c r="H928" s="26"/>
      <c r="K928" s="26"/>
      <c r="M928" s="26"/>
      <c r="N928" s="26"/>
      <c r="O928" s="26"/>
      <c r="P928" s="26"/>
      <c r="Q928" s="26"/>
      <c r="R928" s="26"/>
    </row>
    <row r="929" spans="8:18">
      <c r="H929" s="26"/>
      <c r="K929" s="26"/>
      <c r="M929" s="26"/>
      <c r="N929" s="26"/>
      <c r="O929" s="26"/>
      <c r="P929" s="26"/>
      <c r="Q929" s="26"/>
      <c r="R929" s="26"/>
    </row>
    <row r="930" spans="8:18">
      <c r="H930" s="26"/>
      <c r="K930" s="26"/>
      <c r="M930" s="26"/>
      <c r="N930" s="26"/>
      <c r="O930" s="26"/>
      <c r="P930" s="26"/>
      <c r="Q930" s="26"/>
      <c r="R930" s="26"/>
    </row>
    <row r="931" spans="8:18">
      <c r="H931" s="26"/>
      <c r="K931" s="26"/>
      <c r="M931" s="26"/>
      <c r="N931" s="26"/>
      <c r="O931" s="26"/>
      <c r="P931" s="26"/>
      <c r="Q931" s="26"/>
      <c r="R931" s="26"/>
    </row>
    <row r="932" spans="8:18">
      <c r="H932" s="26"/>
      <c r="K932" s="26"/>
      <c r="M932" s="26"/>
      <c r="N932" s="26"/>
      <c r="O932" s="26"/>
      <c r="P932" s="26"/>
      <c r="Q932" s="26"/>
      <c r="R932" s="26"/>
    </row>
    <row r="933" spans="8:18">
      <c r="H933" s="26"/>
      <c r="K933" s="26"/>
      <c r="M933" s="26"/>
      <c r="N933" s="26"/>
      <c r="O933" s="26"/>
      <c r="P933" s="26"/>
      <c r="Q933" s="26"/>
      <c r="R933" s="26"/>
    </row>
    <row r="934" spans="8:18">
      <c r="H934" s="26"/>
      <c r="K934" s="26"/>
      <c r="M934" s="26"/>
      <c r="N934" s="26"/>
      <c r="O934" s="26"/>
      <c r="P934" s="26"/>
      <c r="Q934" s="26"/>
      <c r="R934" s="26"/>
    </row>
    <row r="935" spans="8:18">
      <c r="H935" s="26"/>
      <c r="K935" s="26"/>
      <c r="M935" s="26"/>
      <c r="N935" s="26"/>
      <c r="O935" s="26"/>
      <c r="P935" s="26"/>
      <c r="Q935" s="26"/>
      <c r="R935" s="26"/>
    </row>
    <row r="936" spans="8:18">
      <c r="H936" s="26"/>
      <c r="K936" s="26"/>
      <c r="M936" s="26"/>
      <c r="N936" s="26"/>
      <c r="O936" s="26"/>
      <c r="P936" s="26"/>
      <c r="Q936" s="26"/>
      <c r="R936" s="26"/>
    </row>
    <row r="937" spans="8:18">
      <c r="H937" s="26"/>
      <c r="K937" s="26"/>
      <c r="M937" s="26"/>
      <c r="N937" s="26"/>
      <c r="O937" s="26"/>
      <c r="P937" s="26"/>
      <c r="Q937" s="26"/>
      <c r="R937" s="26"/>
    </row>
    <row r="938" spans="8:18">
      <c r="H938" s="26"/>
      <c r="K938" s="26"/>
      <c r="M938" s="26"/>
      <c r="N938" s="26"/>
      <c r="O938" s="26"/>
      <c r="P938" s="26"/>
      <c r="Q938" s="26"/>
      <c r="R938" s="26"/>
    </row>
    <row r="939" spans="8:18">
      <c r="H939" s="26"/>
      <c r="K939" s="26"/>
      <c r="M939" s="26"/>
      <c r="N939" s="26"/>
      <c r="O939" s="26"/>
      <c r="P939" s="26"/>
      <c r="Q939" s="26"/>
      <c r="R939" s="26"/>
    </row>
    <row r="940" spans="8:18">
      <c r="H940" s="26"/>
      <c r="K940" s="26"/>
      <c r="M940" s="26"/>
      <c r="N940" s="26"/>
      <c r="O940" s="26"/>
      <c r="P940" s="26"/>
      <c r="Q940" s="26"/>
      <c r="R940" s="26"/>
    </row>
    <row r="941" spans="8:18">
      <c r="H941" s="26"/>
      <c r="K941" s="26"/>
      <c r="M941" s="26"/>
      <c r="N941" s="26"/>
      <c r="O941" s="26"/>
      <c r="P941" s="26"/>
      <c r="Q941" s="26"/>
      <c r="R941" s="26"/>
    </row>
    <row r="942" spans="8:18">
      <c r="H942" s="26"/>
      <c r="K942" s="26"/>
      <c r="M942" s="26"/>
      <c r="N942" s="26"/>
      <c r="O942" s="26"/>
      <c r="P942" s="26"/>
      <c r="Q942" s="26"/>
      <c r="R942" s="26"/>
    </row>
    <row r="943" spans="8:18">
      <c r="H943" s="26"/>
      <c r="K943" s="26"/>
      <c r="M943" s="26"/>
      <c r="N943" s="26"/>
      <c r="O943" s="26"/>
      <c r="P943" s="26"/>
      <c r="Q943" s="26"/>
      <c r="R943" s="26"/>
    </row>
    <row r="944" spans="8:18">
      <c r="H944" s="26"/>
      <c r="K944" s="26"/>
      <c r="M944" s="26"/>
      <c r="N944" s="26"/>
      <c r="O944" s="26"/>
      <c r="P944" s="26"/>
      <c r="Q944" s="26"/>
      <c r="R944" s="26"/>
    </row>
    <row r="945" spans="8:18">
      <c r="H945" s="26"/>
      <c r="K945" s="26"/>
      <c r="M945" s="26"/>
      <c r="N945" s="26"/>
      <c r="O945" s="26"/>
      <c r="P945" s="26"/>
      <c r="Q945" s="26"/>
      <c r="R945" s="26"/>
    </row>
    <row r="946" spans="8:18">
      <c r="H946" s="26"/>
      <c r="K946" s="26"/>
      <c r="M946" s="26"/>
      <c r="N946" s="26"/>
      <c r="O946" s="26"/>
      <c r="P946" s="26"/>
      <c r="Q946" s="26"/>
      <c r="R946" s="26"/>
    </row>
    <row r="947" spans="8:18">
      <c r="H947" s="26"/>
      <c r="K947" s="26"/>
      <c r="M947" s="26"/>
      <c r="N947" s="26"/>
      <c r="O947" s="26"/>
      <c r="P947" s="26"/>
      <c r="Q947" s="26"/>
      <c r="R947" s="26"/>
    </row>
    <row r="948" spans="8:18">
      <c r="H948" s="26"/>
      <c r="K948" s="26"/>
      <c r="M948" s="26"/>
      <c r="N948" s="26"/>
      <c r="O948" s="26"/>
      <c r="P948" s="26"/>
      <c r="Q948" s="26"/>
      <c r="R948" s="26"/>
    </row>
    <row r="949" spans="8:18">
      <c r="H949" s="26"/>
      <c r="K949" s="26"/>
      <c r="M949" s="26"/>
      <c r="N949" s="26"/>
      <c r="O949" s="26"/>
      <c r="P949" s="26"/>
      <c r="Q949" s="26"/>
      <c r="R949" s="26"/>
    </row>
    <row r="950" spans="8:18">
      <c r="H950" s="26"/>
      <c r="K950" s="26"/>
      <c r="M950" s="26"/>
      <c r="N950" s="26"/>
      <c r="O950" s="26"/>
      <c r="P950" s="26"/>
      <c r="Q950" s="26"/>
      <c r="R950" s="26"/>
    </row>
    <row r="951" spans="8:18">
      <c r="H951" s="26"/>
      <c r="K951" s="26"/>
      <c r="M951" s="26"/>
      <c r="N951" s="26"/>
      <c r="O951" s="26"/>
      <c r="P951" s="26"/>
      <c r="Q951" s="26"/>
      <c r="R951" s="26"/>
    </row>
    <row r="952" spans="8:18">
      <c r="H952" s="26"/>
      <c r="K952" s="26"/>
      <c r="M952" s="26"/>
      <c r="N952" s="26"/>
      <c r="O952" s="26"/>
      <c r="P952" s="26"/>
      <c r="Q952" s="26"/>
      <c r="R952" s="26"/>
    </row>
    <row r="953" spans="8:18">
      <c r="H953" s="26"/>
      <c r="K953" s="26"/>
      <c r="M953" s="26"/>
      <c r="N953" s="26"/>
      <c r="O953" s="26"/>
      <c r="P953" s="26"/>
      <c r="Q953" s="26"/>
      <c r="R953" s="26"/>
    </row>
    <row r="954" spans="8:18">
      <c r="H954" s="26"/>
      <c r="K954" s="26"/>
      <c r="M954" s="26"/>
      <c r="N954" s="26"/>
      <c r="O954" s="26"/>
      <c r="P954" s="26"/>
      <c r="Q954" s="26"/>
      <c r="R954" s="26"/>
    </row>
    <row r="955" spans="8:18">
      <c r="H955" s="26"/>
      <c r="K955" s="26"/>
      <c r="M955" s="26"/>
      <c r="N955" s="26"/>
      <c r="O955" s="26"/>
      <c r="P955" s="26"/>
      <c r="Q955" s="26"/>
      <c r="R955" s="26"/>
    </row>
    <row r="956" spans="8:18">
      <c r="H956" s="26"/>
      <c r="K956" s="26"/>
      <c r="M956" s="26"/>
      <c r="N956" s="26"/>
      <c r="O956" s="26"/>
      <c r="P956" s="26"/>
      <c r="Q956" s="26"/>
      <c r="R956" s="26"/>
    </row>
    <row r="957" spans="8:18">
      <c r="H957" s="26"/>
      <c r="K957" s="26"/>
      <c r="M957" s="26"/>
      <c r="N957" s="26"/>
      <c r="O957" s="26"/>
      <c r="P957" s="26"/>
      <c r="Q957" s="26"/>
      <c r="R957" s="26"/>
    </row>
    <row r="958" spans="8:18">
      <c r="H958" s="26"/>
      <c r="K958" s="26"/>
      <c r="M958" s="26"/>
      <c r="N958" s="26"/>
      <c r="O958" s="26"/>
      <c r="P958" s="26"/>
      <c r="Q958" s="26"/>
      <c r="R958" s="26"/>
    </row>
    <row r="959" spans="8:18">
      <c r="H959" s="26"/>
      <c r="K959" s="26"/>
      <c r="M959" s="26"/>
      <c r="N959" s="26"/>
      <c r="O959" s="26"/>
      <c r="P959" s="26"/>
      <c r="Q959" s="26"/>
      <c r="R959" s="26"/>
    </row>
    <row r="960" spans="8:18">
      <c r="H960" s="26"/>
      <c r="K960" s="26"/>
      <c r="M960" s="26"/>
      <c r="N960" s="26"/>
      <c r="O960" s="26"/>
      <c r="P960" s="26"/>
      <c r="Q960" s="26"/>
      <c r="R960" s="26"/>
    </row>
    <row r="961" spans="8:18">
      <c r="H961" s="26"/>
      <c r="K961" s="26"/>
      <c r="M961" s="26"/>
      <c r="N961" s="26"/>
      <c r="O961" s="26"/>
      <c r="P961" s="26"/>
      <c r="Q961" s="26"/>
      <c r="R961" s="26"/>
    </row>
    <row r="962" spans="8:18">
      <c r="H962" s="26"/>
      <c r="K962" s="26"/>
      <c r="M962" s="26"/>
      <c r="N962" s="26"/>
      <c r="O962" s="26"/>
      <c r="P962" s="26"/>
      <c r="Q962" s="26"/>
      <c r="R962" s="26"/>
    </row>
    <row r="963" spans="8:18">
      <c r="H963" s="26"/>
      <c r="K963" s="26"/>
      <c r="M963" s="26"/>
      <c r="N963" s="26"/>
      <c r="O963" s="26"/>
      <c r="P963" s="26"/>
      <c r="Q963" s="26"/>
      <c r="R963" s="26"/>
    </row>
    <row r="964" spans="8:18">
      <c r="H964" s="26"/>
      <c r="K964" s="26"/>
      <c r="M964" s="26"/>
      <c r="N964" s="26"/>
      <c r="O964" s="26"/>
      <c r="P964" s="26"/>
      <c r="Q964" s="26"/>
      <c r="R964" s="26"/>
    </row>
    <row r="965" spans="8:18">
      <c r="H965" s="26"/>
      <c r="K965" s="26"/>
      <c r="M965" s="26"/>
      <c r="N965" s="26"/>
      <c r="O965" s="26"/>
      <c r="P965" s="26"/>
      <c r="Q965" s="26"/>
      <c r="R965" s="26"/>
    </row>
    <row r="966" spans="8:18">
      <c r="H966" s="26"/>
      <c r="K966" s="26"/>
      <c r="M966" s="26"/>
      <c r="N966" s="26"/>
      <c r="O966" s="26"/>
      <c r="P966" s="26"/>
      <c r="Q966" s="26"/>
      <c r="R966" s="26"/>
    </row>
    <row r="967" spans="8:18">
      <c r="H967" s="26"/>
      <c r="K967" s="26"/>
      <c r="M967" s="26"/>
      <c r="N967" s="26"/>
      <c r="O967" s="26"/>
      <c r="P967" s="26"/>
      <c r="Q967" s="26"/>
      <c r="R967" s="26"/>
    </row>
    <row r="968" spans="8:18">
      <c r="H968" s="26"/>
      <c r="K968" s="26"/>
      <c r="M968" s="26"/>
      <c r="N968" s="26"/>
      <c r="O968" s="26"/>
      <c r="P968" s="26"/>
      <c r="Q968" s="26"/>
      <c r="R968" s="26"/>
    </row>
    <row r="969" spans="8:18">
      <c r="H969" s="26"/>
      <c r="K969" s="26"/>
      <c r="M969" s="26"/>
      <c r="N969" s="26"/>
      <c r="O969" s="26"/>
      <c r="P969" s="26"/>
      <c r="Q969" s="26"/>
      <c r="R969" s="26"/>
    </row>
    <row r="970" spans="8:18">
      <c r="H970" s="26"/>
      <c r="K970" s="26"/>
      <c r="M970" s="26"/>
      <c r="N970" s="26"/>
      <c r="O970" s="26"/>
      <c r="P970" s="26"/>
      <c r="Q970" s="26"/>
      <c r="R970" s="26"/>
    </row>
    <row r="971" spans="8:18">
      <c r="H971" s="26"/>
      <c r="K971" s="26"/>
      <c r="M971" s="26"/>
      <c r="N971" s="26"/>
      <c r="O971" s="26"/>
      <c r="P971" s="26"/>
      <c r="Q971" s="26"/>
      <c r="R971" s="26"/>
    </row>
    <row r="972" spans="8:18">
      <c r="H972" s="26"/>
      <c r="K972" s="26"/>
      <c r="M972" s="26"/>
      <c r="N972" s="26"/>
      <c r="O972" s="26"/>
      <c r="P972" s="26"/>
      <c r="Q972" s="26"/>
      <c r="R972" s="26"/>
    </row>
    <row r="973" spans="8:18">
      <c r="H973" s="26"/>
      <c r="K973" s="26"/>
      <c r="M973" s="26"/>
      <c r="N973" s="26"/>
      <c r="O973" s="26"/>
      <c r="P973" s="26"/>
      <c r="Q973" s="26"/>
      <c r="R973" s="26"/>
    </row>
    <row r="974" spans="8:18">
      <c r="H974" s="26"/>
      <c r="K974" s="26"/>
      <c r="M974" s="26"/>
      <c r="N974" s="26"/>
      <c r="O974" s="26"/>
      <c r="P974" s="26"/>
      <c r="Q974" s="26"/>
      <c r="R974" s="26"/>
    </row>
    <row r="975" spans="8:18">
      <c r="H975" s="26"/>
      <c r="K975" s="26"/>
      <c r="M975" s="26"/>
      <c r="N975" s="26"/>
      <c r="O975" s="26"/>
      <c r="P975" s="26"/>
      <c r="Q975" s="26"/>
      <c r="R975" s="26"/>
    </row>
    <row r="976" spans="8:18">
      <c r="H976" s="26"/>
      <c r="K976" s="26"/>
      <c r="M976" s="26"/>
      <c r="N976" s="26"/>
      <c r="O976" s="26"/>
      <c r="P976" s="26"/>
      <c r="Q976" s="26"/>
      <c r="R976" s="26"/>
    </row>
    <row r="977" spans="8:18">
      <c r="H977" s="26"/>
      <c r="K977" s="26"/>
      <c r="M977" s="26"/>
      <c r="N977" s="26"/>
      <c r="O977" s="26"/>
      <c r="P977" s="26"/>
      <c r="Q977" s="26"/>
      <c r="R977" s="26"/>
    </row>
    <row r="978" spans="8:18">
      <c r="H978" s="26"/>
      <c r="K978" s="26"/>
      <c r="M978" s="26"/>
      <c r="N978" s="26"/>
      <c r="O978" s="26"/>
      <c r="P978" s="26"/>
      <c r="Q978" s="26"/>
      <c r="R978" s="26"/>
    </row>
    <row r="979" spans="8:18">
      <c r="H979" s="26"/>
      <c r="K979" s="26"/>
      <c r="M979" s="26"/>
      <c r="N979" s="26"/>
      <c r="O979" s="26"/>
      <c r="P979" s="26"/>
      <c r="Q979" s="26"/>
      <c r="R979" s="26"/>
    </row>
    <row r="980" spans="8:18">
      <c r="H980" s="26"/>
      <c r="K980" s="26"/>
      <c r="M980" s="26"/>
      <c r="N980" s="26"/>
      <c r="O980" s="26"/>
      <c r="P980" s="26"/>
      <c r="Q980" s="26"/>
      <c r="R980" s="26"/>
    </row>
    <row r="981" spans="8:18">
      <c r="H981" s="26"/>
      <c r="K981" s="26"/>
      <c r="M981" s="26"/>
      <c r="N981" s="26"/>
      <c r="O981" s="26"/>
      <c r="P981" s="26"/>
      <c r="Q981" s="26"/>
      <c r="R981" s="26"/>
    </row>
    <row r="982" spans="8:18">
      <c r="H982" s="26"/>
      <c r="K982" s="26"/>
      <c r="M982" s="26"/>
      <c r="N982" s="26"/>
      <c r="O982" s="26"/>
      <c r="P982" s="26"/>
      <c r="Q982" s="26"/>
      <c r="R982" s="26"/>
    </row>
    <row r="983" spans="8:18">
      <c r="H983" s="26"/>
      <c r="K983" s="26"/>
      <c r="M983" s="26"/>
      <c r="N983" s="26"/>
      <c r="O983" s="26"/>
      <c r="P983" s="26"/>
      <c r="Q983" s="26"/>
      <c r="R983" s="26"/>
    </row>
    <row r="984" spans="8:18">
      <c r="H984" s="26"/>
      <c r="K984" s="26"/>
      <c r="M984" s="26"/>
      <c r="N984" s="26"/>
      <c r="O984" s="26"/>
      <c r="P984" s="26"/>
      <c r="Q984" s="26"/>
      <c r="R984" s="26"/>
    </row>
    <row r="985" spans="8:18">
      <c r="H985" s="26"/>
      <c r="K985" s="26"/>
      <c r="M985" s="26"/>
      <c r="N985" s="26"/>
      <c r="O985" s="26"/>
      <c r="P985" s="26"/>
      <c r="Q985" s="26"/>
      <c r="R985" s="26"/>
    </row>
    <row r="986" spans="8:18">
      <c r="H986" s="26"/>
      <c r="K986" s="26"/>
      <c r="M986" s="26"/>
      <c r="N986" s="26"/>
      <c r="O986" s="26"/>
      <c r="P986" s="26"/>
      <c r="Q986" s="26"/>
      <c r="R986" s="26"/>
    </row>
    <row r="987" spans="8:18">
      <c r="H987" s="26"/>
      <c r="K987" s="26"/>
      <c r="M987" s="26"/>
      <c r="N987" s="26"/>
      <c r="O987" s="26"/>
      <c r="P987" s="26"/>
      <c r="Q987" s="26"/>
      <c r="R987" s="26"/>
    </row>
    <row r="988" spans="8:18">
      <c r="H988" s="26"/>
      <c r="K988" s="26"/>
      <c r="M988" s="26"/>
      <c r="N988" s="26"/>
      <c r="O988" s="26"/>
      <c r="P988" s="26"/>
      <c r="Q988" s="26"/>
      <c r="R988" s="26"/>
    </row>
    <row r="989" spans="8:18">
      <c r="H989" s="26"/>
      <c r="K989" s="26"/>
      <c r="M989" s="26"/>
      <c r="N989" s="26"/>
      <c r="O989" s="26"/>
      <c r="P989" s="26"/>
      <c r="Q989" s="26"/>
      <c r="R989" s="26"/>
    </row>
    <row r="990" spans="8:18">
      <c r="H990" s="26"/>
      <c r="K990" s="26"/>
      <c r="M990" s="26"/>
      <c r="N990" s="26"/>
      <c r="O990" s="26"/>
      <c r="P990" s="26"/>
      <c r="Q990" s="26"/>
      <c r="R990" s="26"/>
    </row>
    <row r="991" spans="8:18">
      <c r="H991" s="26"/>
      <c r="K991" s="26"/>
      <c r="M991" s="26"/>
      <c r="N991" s="26"/>
      <c r="O991" s="26"/>
      <c r="P991" s="26"/>
      <c r="Q991" s="26"/>
      <c r="R991" s="26"/>
    </row>
    <row r="992" spans="8:18">
      <c r="H992" s="26"/>
      <c r="K992" s="26"/>
      <c r="M992" s="26"/>
      <c r="N992" s="26"/>
      <c r="O992" s="26"/>
      <c r="P992" s="26"/>
      <c r="Q992" s="26"/>
      <c r="R992" s="26"/>
    </row>
    <row r="993" spans="8:18">
      <c r="H993" s="26"/>
      <c r="K993" s="26"/>
      <c r="M993" s="26"/>
      <c r="N993" s="26"/>
      <c r="O993" s="26"/>
      <c r="P993" s="26"/>
      <c r="Q993" s="26"/>
      <c r="R993" s="26"/>
    </row>
    <row r="994" spans="8:18">
      <c r="H994" s="26"/>
      <c r="K994" s="26"/>
      <c r="M994" s="26"/>
      <c r="N994" s="26"/>
      <c r="O994" s="26"/>
      <c r="P994" s="26"/>
      <c r="Q994" s="26"/>
      <c r="R994" s="26"/>
    </row>
    <row r="995" spans="8:18">
      <c r="H995" s="26"/>
      <c r="K995" s="26"/>
      <c r="M995" s="26"/>
      <c r="N995" s="26"/>
      <c r="O995" s="26"/>
      <c r="P995" s="26"/>
      <c r="Q995" s="26"/>
      <c r="R995" s="26"/>
    </row>
    <row r="996" spans="8:18">
      <c r="H996" s="26"/>
      <c r="K996" s="26"/>
      <c r="M996" s="26"/>
      <c r="N996" s="26"/>
      <c r="O996" s="26"/>
      <c r="P996" s="26"/>
      <c r="Q996" s="26"/>
      <c r="R996" s="26"/>
    </row>
    <row r="997" spans="8:18">
      <c r="H997" s="26"/>
      <c r="K997" s="26"/>
      <c r="M997" s="26"/>
      <c r="N997" s="26"/>
      <c r="O997" s="26"/>
      <c r="P997" s="26"/>
      <c r="Q997" s="26"/>
      <c r="R997" s="26"/>
    </row>
    <row r="998" spans="8:18">
      <c r="H998" s="26"/>
      <c r="K998" s="26"/>
      <c r="M998" s="26"/>
      <c r="N998" s="26"/>
      <c r="O998" s="26"/>
      <c r="P998" s="26"/>
      <c r="Q998" s="26"/>
      <c r="R998" s="26"/>
    </row>
    <row r="999" spans="8:18">
      <c r="H999" s="26"/>
      <c r="K999" s="26"/>
      <c r="M999" s="26"/>
      <c r="N999" s="26"/>
      <c r="O999" s="26"/>
      <c r="P999" s="26"/>
      <c r="Q999" s="26"/>
      <c r="R999" s="26"/>
    </row>
    <row r="1000" spans="8:18">
      <c r="H1000" s="26"/>
      <c r="K1000" s="26"/>
      <c r="M1000" s="26"/>
      <c r="N1000" s="26"/>
      <c r="O1000" s="26"/>
      <c r="P1000" s="26"/>
      <c r="Q1000" s="26"/>
      <c r="R1000" s="26"/>
    </row>
  </sheetData>
  <sheetProtection algorithmName="SHA-512" hashValue="2WyBRoiRXiZaf0Ed9dIIg5ZQj1OwFNKFG3CCdSUZxssbxI2V2x2udS7c5LDi4QiPJ9Y8Ty54n9XisSFSnElrjw==" saltValue="GwiGcs9nXOnmBxL7gc66rg==" spinCount="100000" sheet="1" objects="1" scenarios="1"/>
  <mergeCells count="54">
    <mergeCell ref="I10:K10"/>
    <mergeCell ref="H12:K16"/>
    <mergeCell ref="L48:R48"/>
    <mergeCell ref="M46:R46"/>
    <mergeCell ref="M45:R45"/>
    <mergeCell ref="M44:R44"/>
    <mergeCell ref="Q12:S17"/>
    <mergeCell ref="Q26:S26"/>
    <mergeCell ref="Q10:S10"/>
    <mergeCell ref="Q28:S28"/>
    <mergeCell ref="Q30:S30"/>
    <mergeCell ref="Q32:S39"/>
    <mergeCell ref="I34:K34"/>
    <mergeCell ref="L49:N50"/>
    <mergeCell ref="C30:D30"/>
    <mergeCell ref="D44:E44"/>
    <mergeCell ref="H44:J44"/>
    <mergeCell ref="C32:D32"/>
    <mergeCell ref="C36:D36"/>
    <mergeCell ref="F34:G34"/>
    <mergeCell ref="F1:I1"/>
    <mergeCell ref="C37:K37"/>
    <mergeCell ref="F36:K36"/>
    <mergeCell ref="C12:D12"/>
    <mergeCell ref="I28:K28"/>
    <mergeCell ref="I26:K26"/>
    <mergeCell ref="C14:D14"/>
    <mergeCell ref="C21:D21"/>
    <mergeCell ref="C26:D26"/>
    <mergeCell ref="C28:D28"/>
    <mergeCell ref="I6:K6"/>
    <mergeCell ref="C4:D4"/>
    <mergeCell ref="I8:K8"/>
    <mergeCell ref="C6:D6"/>
    <mergeCell ref="C10:D10"/>
    <mergeCell ref="C8:D8"/>
    <mergeCell ref="N1:S1"/>
    <mergeCell ref="M43:N43"/>
    <mergeCell ref="Q6:S6"/>
    <mergeCell ref="Q8:S8"/>
    <mergeCell ref="O12:P18"/>
    <mergeCell ref="O32:P39"/>
    <mergeCell ref="A53:F53"/>
    <mergeCell ref="D45:E45"/>
    <mergeCell ref="D46:E46"/>
    <mergeCell ref="H46:J46"/>
    <mergeCell ref="H45:J45"/>
    <mergeCell ref="G49:G50"/>
    <mergeCell ref="B49:D50"/>
    <mergeCell ref="A39:B39"/>
    <mergeCell ref="C39:K40"/>
    <mergeCell ref="C34:D34"/>
    <mergeCell ref="B41:E41"/>
    <mergeCell ref="A36:B36"/>
  </mergeCells>
  <dataValidations count="3">
    <dataValidation type="list" allowBlank="1" showInputMessage="1" showErrorMessage="1" sqref="I8">
      <formula1>DD_SCHLUSSRECHNUNG</formula1>
    </dataValidation>
    <dataValidation type="list" allowBlank="1" showInputMessage="1" showErrorMessage="1" sqref="I10:K10">
      <formula1>DD_WÄHRUNG</formula1>
    </dataValidation>
    <dataValidation type="decimal" allowBlank="1" showDropDown="1" showInputMessage="1" showErrorMessage="1" errorTitle="nur positive Werte möglich" error="Für Gutschriften bitte Rechnungsart &quot;Gutschrift&quot; verwenden." sqref="N56:O59 K56:K59 H56:H59">
      <formula1>0</formula1>
      <formula2>9.99999999999999E+29</formula2>
    </dataValidation>
  </dataValidations>
  <pageMargins left="0.25" right="0.25" top="0.75" bottom="0.75" header="0.3" footer="0.3"/>
  <pageSetup paperSize="9" scale="43" fitToHeight="0" orientation="landscape" r:id="rId1"/>
  <headerFooter>
    <oddHeader>&amp;L&amp;G&amp;C&amp;B &amp;24Rechnungsdeckblatt&amp;R&amp;10Bundesamt für Strassen (ASTRA)_x000D_
Nationalstrassen- und Agglomerationsverkehrsfonds (NAF)_x000D_
c/o DLZ FI_x000D_
3003 Bern</oddHeader>
    <oddFooter>&amp;L&amp;F&amp;RSeite &amp;P von &amp;N</oddFooter>
  </headerFooter>
  <customProperties>
    <customPr name="_pios_id" r:id="rId2"/>
    <customPr name="CofWorksheetType" r:id="rId3"/>
    <customPr name="EpmWorksheetKeyString_GUID" r:id="rId4"/>
  </customProperties>
  <drawing r:id="rId5"/>
  <legacyDrawing r:id="rId6"/>
  <legacyDrawingHF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8" name="Button 4">
              <controlPr defaultSize="0" print="0" autoFill="0" autoPict="0" macro="[0]!BKM_RDB_806_SPU0027_add_third_field">
                <anchor moveWithCells="1" sizeWithCells="1">
                  <from>
                    <xdr:col>14</xdr:col>
                    <xdr:colOff>28575</xdr:colOff>
                    <xdr:row>52</xdr:row>
                    <xdr:rowOff>47625</xdr:rowOff>
                  </from>
                  <to>
                    <xdr:col>14</xdr:col>
                    <xdr:colOff>314325</xdr:colOff>
                    <xdr:row>52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FF0E3B5-457B-464D-B335-16C534112E87}">
            <xm:f>(Hilfstabelle!$E$29="Werkvertrag")</xm:f>
            <x14:dxf>
              <fill>
                <patternFill>
                  <bgColor rgb="FFFFFF99"/>
                </patternFill>
              </fill>
            </x14:dxf>
          </x14:cfRule>
          <xm:sqref>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Hilfstabelle!$A$2:$A$3</xm:f>
          </x14:formula1>
          <xm:sqref>C14:D14</xm:sqref>
        </x14:dataValidation>
        <x14:dataValidation type="list" allowBlank="1" showInputMessage="1" showErrorMessage="1">
          <x14:formula1>
            <xm:f>IF(Stammdaten!L2="1018",(Hilfstabelle!$L$2:$L$7),(Hilfstabelle!$C$2:$C$3))</xm:f>
          </x14:formula1>
          <xm:sqref>I6:K6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7_Translation">
    <tabColor theme="9" tint="0.39997558519241921"/>
  </sheetPr>
  <dimension ref="A1:B1094"/>
  <sheetViews>
    <sheetView topLeftCell="A16" workbookViewId="0"/>
  </sheetViews>
  <sheetFormatPr baseColWidth="10" defaultColWidth="11.42578125" defaultRowHeight="12.75"/>
  <cols>
    <col min="1" max="1" width="42.7109375" bestFit="1" customWidth="1"/>
    <col min="2" max="2" width="53.42578125" bestFit="1" customWidth="1"/>
    <col min="3" max="3" width="39.85546875" customWidth="1"/>
  </cols>
  <sheetData>
    <row r="1" spans="1:2">
      <c r="A1" t="s">
        <v>34</v>
      </c>
      <c r="B1" t="s">
        <v>35</v>
      </c>
    </row>
    <row r="2" spans="1:2">
      <c r="A2" t="s">
        <v>339</v>
      </c>
      <c r="B2" t="s">
        <v>340</v>
      </c>
    </row>
    <row r="3" spans="1:2">
      <c r="A3" s="16" t="s">
        <v>341</v>
      </c>
      <c r="B3" s="16" t="s">
        <v>342</v>
      </c>
    </row>
    <row r="4" spans="1:2">
      <c r="A4" s="16" t="s">
        <v>343</v>
      </c>
      <c r="B4" s="16" t="s">
        <v>344</v>
      </c>
    </row>
    <row r="5" spans="1:2">
      <c r="A5" s="16" t="s">
        <v>345</v>
      </c>
      <c r="B5" s="16" t="s">
        <v>346</v>
      </c>
    </row>
    <row r="6" spans="1:2">
      <c r="A6" s="16" t="s">
        <v>347</v>
      </c>
      <c r="B6" s="16" t="s">
        <v>348</v>
      </c>
    </row>
    <row r="7" spans="1:2">
      <c r="A7" s="16" t="s">
        <v>349</v>
      </c>
      <c r="B7" s="16" t="s">
        <v>350</v>
      </c>
    </row>
    <row r="8" spans="1:2">
      <c r="A8" s="16" t="s">
        <v>351</v>
      </c>
      <c r="B8" s="16" t="s">
        <v>352</v>
      </c>
    </row>
    <row r="9" spans="1:2">
      <c r="A9" s="16" t="s">
        <v>353</v>
      </c>
      <c r="B9" s="16" t="s">
        <v>354</v>
      </c>
    </row>
    <row r="10" spans="1:2">
      <c r="A10" s="16" t="s">
        <v>355</v>
      </c>
      <c r="B10" s="16" t="s">
        <v>356</v>
      </c>
    </row>
    <row r="11" spans="1:2">
      <c r="A11" s="16" t="s">
        <v>357</v>
      </c>
      <c r="B11" s="16" t="s">
        <v>358</v>
      </c>
    </row>
    <row r="12" spans="1:2">
      <c r="A12" s="16" t="s">
        <v>359</v>
      </c>
      <c r="B12" s="16" t="s">
        <v>360</v>
      </c>
    </row>
    <row r="13" spans="1:2">
      <c r="A13" s="16" t="s">
        <v>361</v>
      </c>
      <c r="B13" s="16" t="s">
        <v>362</v>
      </c>
    </row>
    <row r="14" spans="1:2">
      <c r="A14" s="16" t="s">
        <v>363</v>
      </c>
      <c r="B14" s="16" t="s">
        <v>364</v>
      </c>
    </row>
    <row r="15" spans="1:2">
      <c r="A15" s="16" t="s">
        <v>365</v>
      </c>
      <c r="B15" s="16" t="s">
        <v>366</v>
      </c>
    </row>
    <row r="16" spans="1:2">
      <c r="A16" s="16" t="s">
        <v>367</v>
      </c>
      <c r="B16" s="16" t="s">
        <v>368</v>
      </c>
    </row>
    <row r="17" spans="1:2">
      <c r="A17" s="16" t="s">
        <v>369</v>
      </c>
      <c r="B17" s="16" t="s">
        <v>370</v>
      </c>
    </row>
    <row r="18" spans="1:2">
      <c r="A18" s="16" t="s">
        <v>371</v>
      </c>
      <c r="B18" s="16" t="s">
        <v>372</v>
      </c>
    </row>
    <row r="19" spans="1:2">
      <c r="A19" s="16" t="s">
        <v>373</v>
      </c>
      <c r="B19" s="16" t="s">
        <v>374</v>
      </c>
    </row>
    <row r="20" spans="1:2">
      <c r="A20" s="16" t="s">
        <v>375</v>
      </c>
      <c r="B20" s="16" t="s">
        <v>376</v>
      </c>
    </row>
    <row r="21" spans="1:2">
      <c r="A21" s="16" t="s">
        <v>377</v>
      </c>
      <c r="B21" s="16" t="s">
        <v>378</v>
      </c>
    </row>
    <row r="22" spans="1:2">
      <c r="A22" s="16" t="s">
        <v>379</v>
      </c>
      <c r="B22" s="16" t="s">
        <v>380</v>
      </c>
    </row>
    <row r="23" spans="1:2">
      <c r="A23" s="16" t="s">
        <v>381</v>
      </c>
      <c r="B23" s="16" t="s">
        <v>382</v>
      </c>
    </row>
    <row r="24" spans="1:2">
      <c r="A24" s="16" t="s">
        <v>383</v>
      </c>
      <c r="B24" s="16" t="s">
        <v>384</v>
      </c>
    </row>
    <row r="25" spans="1:2">
      <c r="A25" s="16" t="s">
        <v>385</v>
      </c>
      <c r="B25" s="16" t="s">
        <v>386</v>
      </c>
    </row>
    <row r="26" spans="1:2">
      <c r="A26" s="16" t="s">
        <v>387</v>
      </c>
      <c r="B26" s="16" t="s">
        <v>388</v>
      </c>
    </row>
    <row r="27" spans="1:2">
      <c r="A27" s="16" t="s">
        <v>389</v>
      </c>
      <c r="B27" s="16" t="s">
        <v>390</v>
      </c>
    </row>
    <row r="28" spans="1:2">
      <c r="A28" s="16" t="s">
        <v>391</v>
      </c>
      <c r="B28" s="16" t="s">
        <v>392</v>
      </c>
    </row>
    <row r="29" spans="1:2">
      <c r="A29" s="16" t="s">
        <v>393</v>
      </c>
      <c r="B29" s="16" t="s">
        <v>394</v>
      </c>
    </row>
    <row r="30" spans="1:2">
      <c r="A30" s="16" t="s">
        <v>395</v>
      </c>
      <c r="B30" s="16" t="s">
        <v>396</v>
      </c>
    </row>
    <row r="31" spans="1:2">
      <c r="A31" s="16" t="s">
        <v>397</v>
      </c>
      <c r="B31" s="16" t="s">
        <v>398</v>
      </c>
    </row>
    <row r="32" spans="1:2">
      <c r="A32" s="16" t="s">
        <v>399</v>
      </c>
      <c r="B32" s="16" t="s">
        <v>400</v>
      </c>
    </row>
    <row r="33" spans="1:2">
      <c r="A33" s="16" t="s">
        <v>401</v>
      </c>
      <c r="B33" s="16" t="s">
        <v>402</v>
      </c>
    </row>
    <row r="34" spans="1:2">
      <c r="A34" s="16" t="s">
        <v>403</v>
      </c>
      <c r="B34" s="16" t="s">
        <v>404</v>
      </c>
    </row>
    <row r="35" spans="1:2">
      <c r="A35" s="16" t="s">
        <v>405</v>
      </c>
      <c r="B35" s="16" t="s">
        <v>404</v>
      </c>
    </row>
    <row r="36" spans="1:2">
      <c r="A36" s="16" t="s">
        <v>406</v>
      </c>
      <c r="B36" s="16" t="s">
        <v>407</v>
      </c>
    </row>
    <row r="37" spans="1:2">
      <c r="A37" s="16" t="s">
        <v>408</v>
      </c>
      <c r="B37" s="16" t="s">
        <v>409</v>
      </c>
    </row>
    <row r="38" spans="1:2">
      <c r="A38" s="16" t="s">
        <v>410</v>
      </c>
      <c r="B38" s="16" t="s">
        <v>411</v>
      </c>
    </row>
    <row r="39" spans="1:2">
      <c r="A39" s="16" t="s">
        <v>412</v>
      </c>
      <c r="B39" s="16" t="s">
        <v>413</v>
      </c>
    </row>
    <row r="40" spans="1:2">
      <c r="A40" s="16" t="s">
        <v>414</v>
      </c>
      <c r="B40" s="16" t="s">
        <v>415</v>
      </c>
    </row>
    <row r="41" spans="1:2">
      <c r="A41" s="16" t="s">
        <v>416</v>
      </c>
      <c r="B41" s="16" t="s">
        <v>360</v>
      </c>
    </row>
    <row r="42" spans="1:2">
      <c r="A42" s="16" t="s">
        <v>417</v>
      </c>
      <c r="B42" s="16" t="s">
        <v>418</v>
      </c>
    </row>
    <row r="43" spans="1:2">
      <c r="A43" s="16" t="s">
        <v>419</v>
      </c>
      <c r="B43" s="16" t="s">
        <v>420</v>
      </c>
    </row>
    <row r="44" spans="1:2">
      <c r="A44" s="16" t="s">
        <v>421</v>
      </c>
      <c r="B44" s="16" t="s">
        <v>422</v>
      </c>
    </row>
    <row r="45" spans="1:2">
      <c r="A45" s="16" t="s">
        <v>423</v>
      </c>
      <c r="B45" s="16" t="s">
        <v>424</v>
      </c>
    </row>
    <row r="46" spans="1:2">
      <c r="A46" s="16" t="s">
        <v>425</v>
      </c>
      <c r="B46" s="16" t="s">
        <v>426</v>
      </c>
    </row>
    <row r="47" spans="1:2">
      <c r="A47" s="16" t="s">
        <v>427</v>
      </c>
      <c r="B47" s="16" t="s">
        <v>428</v>
      </c>
    </row>
    <row r="48" spans="1:2">
      <c r="A48" s="16" t="s">
        <v>429</v>
      </c>
      <c r="B48" s="16" t="s">
        <v>430</v>
      </c>
    </row>
    <row r="49" spans="1:2">
      <c r="A49" s="16" t="s">
        <v>431</v>
      </c>
      <c r="B49" s="16" t="s">
        <v>432</v>
      </c>
    </row>
    <row r="50" spans="1:2">
      <c r="A50" s="16" t="s">
        <v>433</v>
      </c>
      <c r="B50" s="16" t="s">
        <v>434</v>
      </c>
    </row>
    <row r="51" spans="1:2">
      <c r="A51" s="16" t="s">
        <v>435</v>
      </c>
      <c r="B51" s="16" t="s">
        <v>436</v>
      </c>
    </row>
    <row r="52" spans="1:2">
      <c r="A52" s="16" t="s">
        <v>437</v>
      </c>
      <c r="B52" s="16" t="s">
        <v>438</v>
      </c>
    </row>
    <row r="53" spans="1:2">
      <c r="A53" s="16" t="s">
        <v>439</v>
      </c>
      <c r="B53" s="16" t="s">
        <v>440</v>
      </c>
    </row>
    <row r="54" spans="1:2">
      <c r="A54" s="16" t="s">
        <v>441</v>
      </c>
      <c r="B54" s="16" t="s">
        <v>374</v>
      </c>
    </row>
    <row r="55" spans="1:2">
      <c r="A55" s="16" t="s">
        <v>442</v>
      </c>
      <c r="B55" s="16" t="s">
        <v>374</v>
      </c>
    </row>
    <row r="56" spans="1:2">
      <c r="A56" s="16" t="s">
        <v>443</v>
      </c>
      <c r="B56" s="16" t="s">
        <v>444</v>
      </c>
    </row>
    <row r="57" spans="1:2">
      <c r="A57" s="16" t="s">
        <v>445</v>
      </c>
      <c r="B57" s="16" t="s">
        <v>404</v>
      </c>
    </row>
    <row r="58" spans="1:2">
      <c r="A58" s="16" t="s">
        <v>446</v>
      </c>
      <c r="B58" s="16" t="s">
        <v>447</v>
      </c>
    </row>
    <row r="59" spans="1:2">
      <c r="A59" s="16" t="s">
        <v>448</v>
      </c>
      <c r="B59" s="16" t="s">
        <v>449</v>
      </c>
    </row>
    <row r="60" spans="1:2">
      <c r="A60" s="16" t="s">
        <v>450</v>
      </c>
      <c r="B60" s="16" t="s">
        <v>451</v>
      </c>
    </row>
    <row r="61" spans="1:2">
      <c r="A61" s="16" t="s">
        <v>452</v>
      </c>
      <c r="B61" s="16" t="s">
        <v>453</v>
      </c>
    </row>
    <row r="62" spans="1:2">
      <c r="A62" s="16" t="s">
        <v>454</v>
      </c>
      <c r="B62" s="16" t="s">
        <v>455</v>
      </c>
    </row>
    <row r="63" spans="1:2">
      <c r="A63" s="16" t="s">
        <v>456</v>
      </c>
      <c r="B63" s="16" t="s">
        <v>457</v>
      </c>
    </row>
    <row r="64" spans="1:2">
      <c r="A64" s="16" t="s">
        <v>458</v>
      </c>
      <c r="B64" s="16" t="s">
        <v>459</v>
      </c>
    </row>
    <row r="65" spans="1:2">
      <c r="A65" s="16" t="s">
        <v>460</v>
      </c>
      <c r="B65" s="16" t="s">
        <v>461</v>
      </c>
    </row>
    <row r="66" spans="1:2">
      <c r="A66" s="16" t="s">
        <v>462</v>
      </c>
      <c r="B66" s="16" t="s">
        <v>463</v>
      </c>
    </row>
    <row r="67" spans="1:2">
      <c r="A67" s="16" t="s">
        <v>464</v>
      </c>
      <c r="B67" s="16" t="s">
        <v>465</v>
      </c>
    </row>
    <row r="68" spans="1:2">
      <c r="A68" s="16" t="s">
        <v>466</v>
      </c>
      <c r="B68" s="16" t="s">
        <v>467</v>
      </c>
    </row>
    <row r="69" spans="1:2">
      <c r="A69" s="16" t="s">
        <v>468</v>
      </c>
      <c r="B69" s="16" t="s">
        <v>467</v>
      </c>
    </row>
    <row r="70" spans="1:2">
      <c r="A70" s="16" t="s">
        <v>469</v>
      </c>
      <c r="B70" s="16" t="s">
        <v>470</v>
      </c>
    </row>
    <row r="71" spans="1:2">
      <c r="A71" s="16" t="s">
        <v>471</v>
      </c>
      <c r="B71" s="16" t="s">
        <v>472</v>
      </c>
    </row>
    <row r="72" spans="1:2">
      <c r="A72" s="16" t="s">
        <v>473</v>
      </c>
      <c r="B72" s="16" t="s">
        <v>472</v>
      </c>
    </row>
    <row r="73" spans="1:2">
      <c r="A73" s="16" t="s">
        <v>474</v>
      </c>
      <c r="B73" s="16" t="s">
        <v>472</v>
      </c>
    </row>
    <row r="74" spans="1:2">
      <c r="A74" s="16" t="s">
        <v>475</v>
      </c>
      <c r="B74" s="16" t="s">
        <v>476</v>
      </c>
    </row>
    <row r="75" spans="1:2">
      <c r="A75" s="16" t="s">
        <v>477</v>
      </c>
      <c r="B75" s="16" t="s">
        <v>476</v>
      </c>
    </row>
    <row r="76" spans="1:2">
      <c r="A76" s="16" t="s">
        <v>478</v>
      </c>
      <c r="B76" s="16" t="s">
        <v>479</v>
      </c>
    </row>
    <row r="77" spans="1:2">
      <c r="A77" s="16" t="s">
        <v>480</v>
      </c>
      <c r="B77" s="16" t="s">
        <v>481</v>
      </c>
    </row>
    <row r="78" spans="1:2">
      <c r="A78" s="16" t="s">
        <v>482</v>
      </c>
      <c r="B78" s="16" t="s">
        <v>483</v>
      </c>
    </row>
    <row r="79" spans="1:2">
      <c r="A79" s="16" t="s">
        <v>484</v>
      </c>
      <c r="B79" s="16" t="s">
        <v>485</v>
      </c>
    </row>
    <row r="80" spans="1:2">
      <c r="A80" s="16" t="s">
        <v>486</v>
      </c>
      <c r="B80" s="16" t="s">
        <v>409</v>
      </c>
    </row>
    <row r="81" spans="1:2">
      <c r="A81" s="16" t="s">
        <v>487</v>
      </c>
      <c r="B81" s="16" t="s">
        <v>488</v>
      </c>
    </row>
    <row r="82" spans="1:2">
      <c r="A82" s="16" t="s">
        <v>489</v>
      </c>
      <c r="B82" s="16" t="s">
        <v>490</v>
      </c>
    </row>
    <row r="83" spans="1:2">
      <c r="A83" s="16" t="s">
        <v>491</v>
      </c>
      <c r="B83" s="16" t="s">
        <v>492</v>
      </c>
    </row>
    <row r="84" spans="1:2">
      <c r="A84" s="16" t="s">
        <v>493</v>
      </c>
      <c r="B84" s="16" t="s">
        <v>494</v>
      </c>
    </row>
    <row r="85" spans="1:2">
      <c r="A85" s="16" t="s">
        <v>495</v>
      </c>
      <c r="B85" s="16" t="s">
        <v>496</v>
      </c>
    </row>
    <row r="86" spans="1:2">
      <c r="A86" s="16" t="s">
        <v>497</v>
      </c>
      <c r="B86" s="16" t="s">
        <v>498</v>
      </c>
    </row>
    <row r="87" spans="1:2">
      <c r="A87" s="16" t="s">
        <v>499</v>
      </c>
      <c r="B87" s="16" t="s">
        <v>498</v>
      </c>
    </row>
    <row r="88" spans="1:2">
      <c r="A88" s="16" t="s">
        <v>500</v>
      </c>
      <c r="B88" s="16" t="s">
        <v>501</v>
      </c>
    </row>
    <row r="89" spans="1:2">
      <c r="A89" s="16" t="s">
        <v>502</v>
      </c>
      <c r="B89" s="16" t="s">
        <v>503</v>
      </c>
    </row>
    <row r="90" spans="1:2">
      <c r="A90" s="16" t="s">
        <v>504</v>
      </c>
      <c r="B90" s="16" t="s">
        <v>503</v>
      </c>
    </row>
    <row r="91" spans="1:2">
      <c r="A91" s="16" t="s">
        <v>505</v>
      </c>
      <c r="B91" s="16" t="s">
        <v>503</v>
      </c>
    </row>
    <row r="92" spans="1:2">
      <c r="A92" s="16" t="s">
        <v>506</v>
      </c>
      <c r="B92" s="16" t="s">
        <v>507</v>
      </c>
    </row>
    <row r="93" spans="1:2">
      <c r="A93" s="16" t="s">
        <v>508</v>
      </c>
      <c r="B93" s="16" t="s">
        <v>507</v>
      </c>
    </row>
    <row r="94" spans="1:2">
      <c r="A94" s="16" t="s">
        <v>509</v>
      </c>
      <c r="B94" s="16" t="s">
        <v>510</v>
      </c>
    </row>
    <row r="95" spans="1:2">
      <c r="A95" s="16" t="s">
        <v>511</v>
      </c>
      <c r="B95" s="16" t="s">
        <v>451</v>
      </c>
    </row>
    <row r="96" spans="1:2">
      <c r="A96" s="16" t="s">
        <v>512</v>
      </c>
      <c r="B96" s="16" t="s">
        <v>451</v>
      </c>
    </row>
    <row r="97" spans="1:2">
      <c r="A97" s="16" t="s">
        <v>513</v>
      </c>
      <c r="B97" s="16" t="s">
        <v>432</v>
      </c>
    </row>
    <row r="98" spans="1:2">
      <c r="A98" s="16" t="s">
        <v>514</v>
      </c>
      <c r="B98" s="16" t="s">
        <v>451</v>
      </c>
    </row>
    <row r="99" spans="1:2">
      <c r="A99" s="16" t="s">
        <v>515</v>
      </c>
      <c r="B99" s="16" t="s">
        <v>516</v>
      </c>
    </row>
    <row r="100" spans="1:2">
      <c r="A100" s="16" t="s">
        <v>517</v>
      </c>
      <c r="B100" s="16" t="s">
        <v>518</v>
      </c>
    </row>
    <row r="101" spans="1:2">
      <c r="A101" s="16" t="s">
        <v>519</v>
      </c>
      <c r="B101" s="16" t="s">
        <v>520</v>
      </c>
    </row>
    <row r="102" spans="1:2">
      <c r="A102" s="16" t="s">
        <v>521</v>
      </c>
      <c r="B102" s="16" t="s">
        <v>522</v>
      </c>
    </row>
    <row r="103" spans="1:2">
      <c r="A103" s="16" t="s">
        <v>523</v>
      </c>
      <c r="B103" s="16" t="s">
        <v>524</v>
      </c>
    </row>
    <row r="104" spans="1:2">
      <c r="A104" s="16" t="s">
        <v>525</v>
      </c>
      <c r="B104" s="16" t="s">
        <v>418</v>
      </c>
    </row>
    <row r="105" spans="1:2">
      <c r="A105" s="16" t="s">
        <v>526</v>
      </c>
      <c r="B105" s="16" t="s">
        <v>527</v>
      </c>
    </row>
    <row r="106" spans="1:2">
      <c r="A106" s="16" t="s">
        <v>528</v>
      </c>
      <c r="B106" s="16" t="s">
        <v>529</v>
      </c>
    </row>
    <row r="107" spans="1:2">
      <c r="A107" s="16" t="s">
        <v>530</v>
      </c>
      <c r="B107" s="16" t="s">
        <v>531</v>
      </c>
    </row>
    <row r="108" spans="1:2">
      <c r="A108" s="16" t="s">
        <v>532</v>
      </c>
      <c r="B108" s="16" t="s">
        <v>533</v>
      </c>
    </row>
    <row r="109" spans="1:2">
      <c r="A109" s="16" t="s">
        <v>534</v>
      </c>
      <c r="B109" s="16" t="s">
        <v>535</v>
      </c>
    </row>
    <row r="110" spans="1:2">
      <c r="A110" s="16" t="s">
        <v>536</v>
      </c>
      <c r="B110" s="16" t="s">
        <v>422</v>
      </c>
    </row>
    <row r="111" spans="1:2">
      <c r="A111" s="16" t="s">
        <v>537</v>
      </c>
      <c r="B111" s="16" t="s">
        <v>538</v>
      </c>
    </row>
    <row r="112" spans="1:2">
      <c r="A112" s="16" t="s">
        <v>539</v>
      </c>
      <c r="B112" s="16" t="s">
        <v>540</v>
      </c>
    </row>
    <row r="113" spans="1:2">
      <c r="A113" s="16" t="s">
        <v>541</v>
      </c>
      <c r="B113" s="16" t="s">
        <v>542</v>
      </c>
    </row>
    <row r="114" spans="1:2">
      <c r="A114" s="16" t="s">
        <v>543</v>
      </c>
      <c r="B114" s="16" t="s">
        <v>544</v>
      </c>
    </row>
    <row r="115" spans="1:2">
      <c r="A115" s="16" t="s">
        <v>545</v>
      </c>
      <c r="B115" s="16" t="s">
        <v>546</v>
      </c>
    </row>
    <row r="116" spans="1:2">
      <c r="A116" s="16" t="s">
        <v>547</v>
      </c>
      <c r="B116" s="16" t="s">
        <v>548</v>
      </c>
    </row>
    <row r="117" spans="1:2">
      <c r="A117" s="16" t="s">
        <v>549</v>
      </c>
      <c r="B117" s="16" t="s">
        <v>550</v>
      </c>
    </row>
    <row r="118" spans="1:2">
      <c r="A118" s="16" t="s">
        <v>551</v>
      </c>
      <c r="B118" s="16" t="s">
        <v>552</v>
      </c>
    </row>
    <row r="119" spans="1:2">
      <c r="A119" s="16" t="s">
        <v>553</v>
      </c>
      <c r="B119" s="16" t="s">
        <v>554</v>
      </c>
    </row>
    <row r="120" spans="1:2">
      <c r="A120" s="16" t="s">
        <v>555</v>
      </c>
      <c r="B120" s="16" t="s">
        <v>556</v>
      </c>
    </row>
    <row r="121" spans="1:2">
      <c r="A121" s="16" t="s">
        <v>557</v>
      </c>
      <c r="B121" s="16" t="s">
        <v>558</v>
      </c>
    </row>
    <row r="122" spans="1:2">
      <c r="A122" s="16" t="s">
        <v>559</v>
      </c>
      <c r="B122" s="16" t="s">
        <v>560</v>
      </c>
    </row>
    <row r="123" spans="1:2">
      <c r="A123" s="16" t="s">
        <v>561</v>
      </c>
      <c r="B123" s="16" t="s">
        <v>418</v>
      </c>
    </row>
    <row r="124" spans="1:2">
      <c r="A124" s="16" t="s">
        <v>562</v>
      </c>
      <c r="B124" s="16" t="s">
        <v>563</v>
      </c>
    </row>
    <row r="125" spans="1:2">
      <c r="A125" s="16" t="s">
        <v>564</v>
      </c>
      <c r="B125" s="16" t="s">
        <v>3</v>
      </c>
    </row>
    <row r="126" spans="1:2">
      <c r="A126" s="16" t="s">
        <v>565</v>
      </c>
      <c r="B126" s="16" t="s">
        <v>566</v>
      </c>
    </row>
    <row r="127" spans="1:2">
      <c r="A127" s="16" t="s">
        <v>567</v>
      </c>
      <c r="B127" s="16" t="s">
        <v>568</v>
      </c>
    </row>
    <row r="128" spans="1:2">
      <c r="A128" s="16" t="s">
        <v>569</v>
      </c>
      <c r="B128" s="16" t="s">
        <v>542</v>
      </c>
    </row>
    <row r="129" spans="1:2">
      <c r="A129" s="16" t="s">
        <v>570</v>
      </c>
      <c r="B129" s="16" t="s">
        <v>571</v>
      </c>
    </row>
    <row r="130" spans="1:2">
      <c r="A130" s="16" t="s">
        <v>572</v>
      </c>
      <c r="B130" s="16" t="s">
        <v>571</v>
      </c>
    </row>
    <row r="131" spans="1:2">
      <c r="A131" s="16" t="s">
        <v>573</v>
      </c>
      <c r="B131" s="16" t="s">
        <v>571</v>
      </c>
    </row>
    <row r="132" spans="1:2">
      <c r="A132" s="16" t="s">
        <v>574</v>
      </c>
      <c r="B132" s="16" t="s">
        <v>575</v>
      </c>
    </row>
    <row r="133" spans="1:2">
      <c r="A133" s="16" t="s">
        <v>576</v>
      </c>
      <c r="B133" s="16" t="s">
        <v>575</v>
      </c>
    </row>
    <row r="134" spans="1:2">
      <c r="A134" s="16" t="s">
        <v>577</v>
      </c>
      <c r="B134" s="16" t="s">
        <v>575</v>
      </c>
    </row>
    <row r="135" spans="1:2">
      <c r="A135" s="16" t="s">
        <v>578</v>
      </c>
      <c r="B135" s="16" t="s">
        <v>579</v>
      </c>
    </row>
    <row r="136" spans="1:2">
      <c r="A136" s="16" t="s">
        <v>580</v>
      </c>
      <c r="B136" s="16" t="s">
        <v>581</v>
      </c>
    </row>
    <row r="137" spans="1:2">
      <c r="A137" s="16" t="s">
        <v>582</v>
      </c>
      <c r="B137" s="16" t="s">
        <v>463</v>
      </c>
    </row>
    <row r="138" spans="1:2">
      <c r="A138" s="16" t="s">
        <v>583</v>
      </c>
      <c r="B138" s="16" t="s">
        <v>463</v>
      </c>
    </row>
    <row r="139" spans="1:2">
      <c r="A139" s="16" t="s">
        <v>584</v>
      </c>
      <c r="B139" s="16" t="s">
        <v>476</v>
      </c>
    </row>
    <row r="140" spans="1:2">
      <c r="A140" s="16" t="s">
        <v>585</v>
      </c>
      <c r="B140" s="16" t="s">
        <v>586</v>
      </c>
    </row>
    <row r="141" spans="1:2">
      <c r="A141" s="16" t="s">
        <v>587</v>
      </c>
      <c r="B141" s="16" t="s">
        <v>481</v>
      </c>
    </row>
    <row r="142" spans="1:2">
      <c r="A142" s="16" t="s">
        <v>588</v>
      </c>
      <c r="B142" s="16" t="s">
        <v>589</v>
      </c>
    </row>
    <row r="143" spans="1:2">
      <c r="A143" s="16" t="s">
        <v>590</v>
      </c>
      <c r="B143" s="16" t="s">
        <v>591</v>
      </c>
    </row>
    <row r="144" spans="1:2">
      <c r="A144" s="16" t="s">
        <v>592</v>
      </c>
      <c r="B144" s="16" t="s">
        <v>593</v>
      </c>
    </row>
    <row r="145" spans="1:2">
      <c r="A145" s="16" t="s">
        <v>594</v>
      </c>
      <c r="B145" s="16" t="s">
        <v>593</v>
      </c>
    </row>
    <row r="146" spans="1:2">
      <c r="A146" s="16" t="s">
        <v>595</v>
      </c>
      <c r="B146" s="16" t="s">
        <v>593</v>
      </c>
    </row>
    <row r="147" spans="1:2">
      <c r="A147" s="16" t="s">
        <v>596</v>
      </c>
      <c r="B147" s="16" t="s">
        <v>597</v>
      </c>
    </row>
    <row r="148" spans="1:2">
      <c r="A148" s="16" t="s">
        <v>598</v>
      </c>
      <c r="B148" s="16" t="s">
        <v>599</v>
      </c>
    </row>
    <row r="149" spans="1:2">
      <c r="A149" s="16" t="s">
        <v>600</v>
      </c>
      <c r="B149" s="16" t="s">
        <v>601</v>
      </c>
    </row>
    <row r="150" spans="1:2">
      <c r="A150" s="16" t="s">
        <v>602</v>
      </c>
      <c r="B150" s="16" t="s">
        <v>603</v>
      </c>
    </row>
    <row r="151" spans="1:2">
      <c r="A151" s="16" t="s">
        <v>604</v>
      </c>
      <c r="B151" s="16" t="s">
        <v>488</v>
      </c>
    </row>
    <row r="152" spans="1:2">
      <c r="A152" s="16" t="s">
        <v>605</v>
      </c>
      <c r="B152" s="16" t="s">
        <v>606</v>
      </c>
    </row>
    <row r="153" spans="1:2">
      <c r="A153" s="16" t="s">
        <v>607</v>
      </c>
      <c r="B153" s="16" t="s">
        <v>608</v>
      </c>
    </row>
    <row r="154" spans="1:2">
      <c r="A154" s="16" t="s">
        <v>609</v>
      </c>
      <c r="B154" s="16" t="s">
        <v>492</v>
      </c>
    </row>
    <row r="155" spans="1:2">
      <c r="A155" s="16" t="s">
        <v>610</v>
      </c>
      <c r="B155" s="16" t="s">
        <v>611</v>
      </c>
    </row>
    <row r="156" spans="1:2">
      <c r="A156" s="16" t="s">
        <v>612</v>
      </c>
      <c r="B156" s="16" t="s">
        <v>613</v>
      </c>
    </row>
    <row r="157" spans="1:2">
      <c r="A157" s="16" t="s">
        <v>614</v>
      </c>
      <c r="B157" s="16" t="s">
        <v>613</v>
      </c>
    </row>
    <row r="158" spans="1:2">
      <c r="A158" s="16" t="s">
        <v>615</v>
      </c>
      <c r="B158" s="16" t="s">
        <v>616</v>
      </c>
    </row>
    <row r="159" spans="1:2">
      <c r="A159" s="16" t="s">
        <v>617</v>
      </c>
      <c r="B159" s="16" t="s">
        <v>488</v>
      </c>
    </row>
    <row r="160" spans="1:2">
      <c r="A160" s="16" t="s">
        <v>618</v>
      </c>
      <c r="B160" s="16" t="s">
        <v>488</v>
      </c>
    </row>
    <row r="161" spans="1:2">
      <c r="A161" s="16" t="s">
        <v>619</v>
      </c>
      <c r="B161" s="16" t="s">
        <v>620</v>
      </c>
    </row>
    <row r="162" spans="1:2">
      <c r="A162" s="16" t="s">
        <v>621</v>
      </c>
      <c r="B162" s="16" t="s">
        <v>501</v>
      </c>
    </row>
    <row r="163" spans="1:2">
      <c r="A163" s="16" t="s">
        <v>622</v>
      </c>
      <c r="B163" s="16" t="s">
        <v>503</v>
      </c>
    </row>
    <row r="164" spans="1:2">
      <c r="A164" s="16" t="s">
        <v>623</v>
      </c>
      <c r="B164" s="16" t="s">
        <v>624</v>
      </c>
    </row>
    <row r="165" spans="1:2">
      <c r="A165" s="16" t="s">
        <v>625</v>
      </c>
      <c r="B165" s="16" t="s">
        <v>626</v>
      </c>
    </row>
    <row r="166" spans="1:2">
      <c r="A166" s="16" t="s">
        <v>627</v>
      </c>
      <c r="B166" s="16" t="s">
        <v>628</v>
      </c>
    </row>
    <row r="167" spans="1:2">
      <c r="A167" s="16" t="s">
        <v>629</v>
      </c>
      <c r="B167" s="16" t="s">
        <v>630</v>
      </c>
    </row>
    <row r="168" spans="1:2">
      <c r="A168" s="16" t="s">
        <v>631</v>
      </c>
      <c r="B168" s="16" t="s">
        <v>632</v>
      </c>
    </row>
    <row r="169" spans="1:2">
      <c r="A169" s="16" t="s">
        <v>633</v>
      </c>
      <c r="B169" s="16" t="s">
        <v>430</v>
      </c>
    </row>
    <row r="170" spans="1:2">
      <c r="A170" s="16" t="s">
        <v>634</v>
      </c>
      <c r="B170" s="16" t="s">
        <v>540</v>
      </c>
    </row>
    <row r="171" spans="1:2">
      <c r="A171" s="16" t="s">
        <v>635</v>
      </c>
      <c r="B171" s="16" t="s">
        <v>636</v>
      </c>
    </row>
    <row r="172" spans="1:2">
      <c r="A172" s="16" t="s">
        <v>637</v>
      </c>
      <c r="B172" s="16" t="s">
        <v>638</v>
      </c>
    </row>
    <row r="173" spans="1:2">
      <c r="A173" s="16" t="s">
        <v>639</v>
      </c>
      <c r="B173" s="16" t="s">
        <v>640</v>
      </c>
    </row>
    <row r="174" spans="1:2">
      <c r="A174" s="16" t="s">
        <v>641</v>
      </c>
      <c r="B174" s="16" t="s">
        <v>642</v>
      </c>
    </row>
    <row r="175" spans="1:2">
      <c r="A175" s="16" t="s">
        <v>643</v>
      </c>
      <c r="B175" s="16" t="s">
        <v>644</v>
      </c>
    </row>
    <row r="176" spans="1:2">
      <c r="A176" s="16" t="s">
        <v>645</v>
      </c>
      <c r="B176" s="16" t="s">
        <v>644</v>
      </c>
    </row>
    <row r="177" spans="1:2">
      <c r="A177" s="16" t="s">
        <v>646</v>
      </c>
      <c r="B177" s="16" t="s">
        <v>644</v>
      </c>
    </row>
    <row r="178" spans="1:2">
      <c r="A178" s="16" t="s">
        <v>647</v>
      </c>
      <c r="B178" s="16" t="s">
        <v>648</v>
      </c>
    </row>
    <row r="179" spans="1:2">
      <c r="A179" s="16" t="s">
        <v>649</v>
      </c>
      <c r="B179" s="16" t="s">
        <v>432</v>
      </c>
    </row>
    <row r="180" spans="1:2">
      <c r="A180" s="16" t="s">
        <v>650</v>
      </c>
      <c r="B180" s="16" t="s">
        <v>651</v>
      </c>
    </row>
    <row r="181" spans="1:2">
      <c r="A181" s="16" t="s">
        <v>652</v>
      </c>
      <c r="B181" s="16" t="s">
        <v>653</v>
      </c>
    </row>
    <row r="182" spans="1:2">
      <c r="A182" s="16" t="s">
        <v>654</v>
      </c>
      <c r="B182" s="16" t="s">
        <v>548</v>
      </c>
    </row>
    <row r="183" spans="1:2">
      <c r="A183" s="16" t="s">
        <v>655</v>
      </c>
      <c r="B183" s="16" t="s">
        <v>656</v>
      </c>
    </row>
    <row r="184" spans="1:2">
      <c r="A184" s="16" t="s">
        <v>657</v>
      </c>
      <c r="B184" s="16" t="s">
        <v>656</v>
      </c>
    </row>
    <row r="185" spans="1:2">
      <c r="A185" s="16" t="s">
        <v>658</v>
      </c>
      <c r="B185" s="16" t="s">
        <v>659</v>
      </c>
    </row>
    <row r="186" spans="1:2">
      <c r="A186" s="16" t="s">
        <v>660</v>
      </c>
      <c r="B186" s="16" t="s">
        <v>661</v>
      </c>
    </row>
    <row r="187" spans="1:2">
      <c r="A187" s="16" t="s">
        <v>662</v>
      </c>
      <c r="B187" s="16" t="s">
        <v>663</v>
      </c>
    </row>
    <row r="188" spans="1:2">
      <c r="A188" s="16" t="s">
        <v>664</v>
      </c>
      <c r="B188" s="16" t="s">
        <v>665</v>
      </c>
    </row>
    <row r="189" spans="1:2">
      <c r="A189" s="16" t="s">
        <v>666</v>
      </c>
      <c r="B189" s="16" t="s">
        <v>667</v>
      </c>
    </row>
    <row r="190" spans="1:2">
      <c r="A190" s="16" t="s">
        <v>668</v>
      </c>
      <c r="B190" s="16" t="s">
        <v>669</v>
      </c>
    </row>
    <row r="191" spans="1:2">
      <c r="A191" s="16" t="s">
        <v>670</v>
      </c>
      <c r="B191" s="16" t="s">
        <v>671</v>
      </c>
    </row>
    <row r="192" spans="1:2">
      <c r="A192" s="16" t="s">
        <v>672</v>
      </c>
      <c r="B192" s="16" t="s">
        <v>673</v>
      </c>
    </row>
    <row r="193" spans="1:2">
      <c r="A193" s="16" t="s">
        <v>674</v>
      </c>
      <c r="B193" s="16" t="s">
        <v>675</v>
      </c>
    </row>
    <row r="194" spans="1:2">
      <c r="A194" s="16" t="s">
        <v>676</v>
      </c>
      <c r="B194" s="16" t="s">
        <v>677</v>
      </c>
    </row>
    <row r="195" spans="1:2">
      <c r="A195" s="16" t="s">
        <v>678</v>
      </c>
      <c r="B195" s="16" t="s">
        <v>679</v>
      </c>
    </row>
    <row r="196" spans="1:2">
      <c r="A196" s="16" t="s">
        <v>680</v>
      </c>
      <c r="B196" s="16" t="s">
        <v>5</v>
      </c>
    </row>
    <row r="197" spans="1:2">
      <c r="A197" s="16" t="s">
        <v>681</v>
      </c>
      <c r="B197" s="16" t="s">
        <v>682</v>
      </c>
    </row>
    <row r="198" spans="1:2">
      <c r="A198" s="16" t="s">
        <v>683</v>
      </c>
      <c r="B198" s="16" t="s">
        <v>684</v>
      </c>
    </row>
    <row r="199" spans="1:2">
      <c r="A199" s="16" t="s">
        <v>685</v>
      </c>
      <c r="B199" s="16" t="s">
        <v>686</v>
      </c>
    </row>
    <row r="200" spans="1:2">
      <c r="A200" s="16" t="s">
        <v>687</v>
      </c>
      <c r="B200" s="16" t="s">
        <v>688</v>
      </c>
    </row>
    <row r="201" spans="1:2">
      <c r="A201" s="16" t="s">
        <v>689</v>
      </c>
      <c r="B201" s="16" t="s">
        <v>690</v>
      </c>
    </row>
    <row r="202" spans="1:2">
      <c r="A202" s="16" t="s">
        <v>691</v>
      </c>
      <c r="B202" s="16" t="s">
        <v>692</v>
      </c>
    </row>
    <row r="203" spans="1:2">
      <c r="A203" s="16" t="s">
        <v>693</v>
      </c>
      <c r="B203" s="16" t="s">
        <v>694</v>
      </c>
    </row>
    <row r="204" spans="1:2">
      <c r="A204" s="16" t="s">
        <v>695</v>
      </c>
      <c r="B204" s="16" t="s">
        <v>696</v>
      </c>
    </row>
    <row r="205" spans="1:2">
      <c r="A205" s="16" t="s">
        <v>697</v>
      </c>
      <c r="B205" s="16" t="s">
        <v>698</v>
      </c>
    </row>
    <row r="206" spans="1:2">
      <c r="A206" s="16" t="s">
        <v>699</v>
      </c>
      <c r="B206" s="16" t="s">
        <v>700</v>
      </c>
    </row>
    <row r="207" spans="1:2">
      <c r="A207" s="16" t="s">
        <v>701</v>
      </c>
      <c r="B207" s="16" t="s">
        <v>702</v>
      </c>
    </row>
    <row r="208" spans="1:2">
      <c r="A208" s="16" t="s">
        <v>703</v>
      </c>
      <c r="B208" s="16" t="s">
        <v>704</v>
      </c>
    </row>
    <row r="209" spans="1:2">
      <c r="A209" s="16" t="s">
        <v>705</v>
      </c>
      <c r="B209" s="16" t="s">
        <v>706</v>
      </c>
    </row>
    <row r="210" spans="1:2">
      <c r="A210" s="16" t="s">
        <v>707</v>
      </c>
      <c r="B210" s="16" t="s">
        <v>708</v>
      </c>
    </row>
    <row r="211" spans="1:2">
      <c r="A211" s="16" t="s">
        <v>709</v>
      </c>
      <c r="B211" s="16" t="s">
        <v>710</v>
      </c>
    </row>
    <row r="212" spans="1:2">
      <c r="A212" s="16" t="s">
        <v>711</v>
      </c>
      <c r="B212" s="16" t="s">
        <v>712</v>
      </c>
    </row>
    <row r="213" spans="1:2">
      <c r="A213" s="16" t="s">
        <v>713</v>
      </c>
      <c r="B213" s="16" t="s">
        <v>714</v>
      </c>
    </row>
    <row r="214" spans="1:2">
      <c r="A214" s="16" t="s">
        <v>715</v>
      </c>
      <c r="B214" s="16" t="s">
        <v>716</v>
      </c>
    </row>
    <row r="215" spans="1:2">
      <c r="A215" s="16" t="s">
        <v>717</v>
      </c>
      <c r="B215" s="16" t="s">
        <v>718</v>
      </c>
    </row>
    <row r="216" spans="1:2">
      <c r="A216" s="16" t="s">
        <v>719</v>
      </c>
      <c r="B216" s="16" t="s">
        <v>720</v>
      </c>
    </row>
    <row r="217" spans="1:2">
      <c r="A217" s="16" t="s">
        <v>721</v>
      </c>
      <c r="B217" s="16" t="s">
        <v>722</v>
      </c>
    </row>
    <row r="218" spans="1:2">
      <c r="A218" s="16" t="s">
        <v>723</v>
      </c>
      <c r="B218" s="16" t="s">
        <v>724</v>
      </c>
    </row>
    <row r="219" spans="1:2">
      <c r="A219" s="16" t="s">
        <v>725</v>
      </c>
      <c r="B219" s="16" t="s">
        <v>726</v>
      </c>
    </row>
    <row r="220" spans="1:2">
      <c r="A220" s="16" t="s">
        <v>727</v>
      </c>
      <c r="B220" s="16" t="s">
        <v>728</v>
      </c>
    </row>
    <row r="221" spans="1:2">
      <c r="A221" s="16" t="s">
        <v>729</v>
      </c>
      <c r="B221" s="16" t="s">
        <v>730</v>
      </c>
    </row>
    <row r="222" spans="1:2">
      <c r="A222" s="16" t="s">
        <v>731</v>
      </c>
      <c r="B222" s="16" t="s">
        <v>354</v>
      </c>
    </row>
    <row r="223" spans="1:2">
      <c r="A223" s="16" t="s">
        <v>732</v>
      </c>
      <c r="B223" s="16" t="s">
        <v>733</v>
      </c>
    </row>
    <row r="224" spans="1:2">
      <c r="A224" s="16" t="s">
        <v>734</v>
      </c>
      <c r="B224" s="16" t="s">
        <v>735</v>
      </c>
    </row>
    <row r="225" spans="1:2">
      <c r="A225" s="16" t="s">
        <v>736</v>
      </c>
      <c r="B225" s="16" t="s">
        <v>737</v>
      </c>
    </row>
    <row r="226" spans="1:2">
      <c r="A226" s="16" t="s">
        <v>738</v>
      </c>
      <c r="B226" s="16" t="s">
        <v>739</v>
      </c>
    </row>
    <row r="227" spans="1:2">
      <c r="A227" s="16" t="s">
        <v>740</v>
      </c>
      <c r="B227" s="16" t="s">
        <v>741</v>
      </c>
    </row>
    <row r="228" spans="1:2">
      <c r="A228" s="16" t="s">
        <v>742</v>
      </c>
      <c r="B228" s="16" t="s">
        <v>743</v>
      </c>
    </row>
    <row r="229" spans="1:2">
      <c r="A229" s="16" t="s">
        <v>744</v>
      </c>
      <c r="B229" s="16" t="s">
        <v>745</v>
      </c>
    </row>
    <row r="230" spans="1:2">
      <c r="A230" s="16" t="s">
        <v>746</v>
      </c>
      <c r="B230" s="16" t="s">
        <v>747</v>
      </c>
    </row>
    <row r="231" spans="1:2">
      <c r="A231" s="16" t="s">
        <v>748</v>
      </c>
      <c r="B231" s="16" t="s">
        <v>749</v>
      </c>
    </row>
    <row r="232" spans="1:2">
      <c r="A232" s="16" t="s">
        <v>750</v>
      </c>
      <c r="B232" s="16" t="s">
        <v>751</v>
      </c>
    </row>
    <row r="233" spans="1:2">
      <c r="A233" s="16" t="s">
        <v>752</v>
      </c>
      <c r="B233" s="16" t="s">
        <v>753</v>
      </c>
    </row>
    <row r="234" spans="1:2">
      <c r="A234" s="16" t="s">
        <v>754</v>
      </c>
      <c r="B234" s="16" t="s">
        <v>755</v>
      </c>
    </row>
    <row r="235" spans="1:2">
      <c r="A235" s="16" t="s">
        <v>756</v>
      </c>
      <c r="B235" s="16" t="s">
        <v>757</v>
      </c>
    </row>
    <row r="236" spans="1:2">
      <c r="A236" s="16" t="s">
        <v>758</v>
      </c>
      <c r="B236" s="16" t="s">
        <v>759</v>
      </c>
    </row>
    <row r="237" spans="1:2">
      <c r="A237" s="16" t="s">
        <v>760</v>
      </c>
      <c r="B237" s="16" t="s">
        <v>761</v>
      </c>
    </row>
    <row r="238" spans="1:2">
      <c r="A238" s="16" t="s">
        <v>762</v>
      </c>
      <c r="B238" s="16" t="s">
        <v>763</v>
      </c>
    </row>
    <row r="239" spans="1:2">
      <c r="A239" s="16" t="s">
        <v>764</v>
      </c>
      <c r="B239" s="16" t="s">
        <v>765</v>
      </c>
    </row>
    <row r="240" spans="1:2">
      <c r="A240" s="16" t="s">
        <v>766</v>
      </c>
      <c r="B240" s="16" t="s">
        <v>767</v>
      </c>
    </row>
    <row r="241" spans="1:2">
      <c r="A241" s="16" t="s">
        <v>768</v>
      </c>
      <c r="B241" s="16" t="s">
        <v>769</v>
      </c>
    </row>
    <row r="242" spans="1:2">
      <c r="A242" s="16" t="s">
        <v>770</v>
      </c>
      <c r="B242" s="16" t="s">
        <v>771</v>
      </c>
    </row>
    <row r="243" spans="1:2">
      <c r="A243" s="16" t="s">
        <v>772</v>
      </c>
      <c r="B243" s="16" t="s">
        <v>773</v>
      </c>
    </row>
    <row r="244" spans="1:2">
      <c r="A244" s="16" t="s">
        <v>774</v>
      </c>
      <c r="B244" s="16" t="s">
        <v>775</v>
      </c>
    </row>
    <row r="245" spans="1:2">
      <c r="A245" s="16" t="s">
        <v>776</v>
      </c>
      <c r="B245" s="16" t="s">
        <v>777</v>
      </c>
    </row>
    <row r="246" spans="1:2">
      <c r="A246" s="16" t="s">
        <v>778</v>
      </c>
      <c r="B246" s="16" t="s">
        <v>779</v>
      </c>
    </row>
    <row r="247" spans="1:2">
      <c r="A247" s="16" t="s">
        <v>780</v>
      </c>
      <c r="B247" s="16" t="s">
        <v>781</v>
      </c>
    </row>
    <row r="248" spans="1:2">
      <c r="A248" s="16" t="s">
        <v>782</v>
      </c>
      <c r="B248" s="16" t="s">
        <v>783</v>
      </c>
    </row>
    <row r="249" spans="1:2">
      <c r="A249" s="16" t="s">
        <v>784</v>
      </c>
      <c r="B249" s="16" t="s">
        <v>785</v>
      </c>
    </row>
    <row r="250" spans="1:2">
      <c r="A250" s="16" t="s">
        <v>786</v>
      </c>
      <c r="B250" s="16" t="s">
        <v>787</v>
      </c>
    </row>
    <row r="251" spans="1:2">
      <c r="A251" s="16" t="s">
        <v>788</v>
      </c>
      <c r="B251" s="16" t="s">
        <v>789</v>
      </c>
    </row>
    <row r="252" spans="1:2">
      <c r="A252" s="16" t="s">
        <v>790</v>
      </c>
      <c r="B252" s="16" t="s">
        <v>791</v>
      </c>
    </row>
    <row r="253" spans="1:2">
      <c r="A253" s="16" t="s">
        <v>792</v>
      </c>
      <c r="B253" s="16" t="s">
        <v>793</v>
      </c>
    </row>
    <row r="254" spans="1:2">
      <c r="A254" s="16" t="s">
        <v>794</v>
      </c>
      <c r="B254" s="16" t="s">
        <v>795</v>
      </c>
    </row>
    <row r="255" spans="1:2">
      <c r="A255" s="16" t="s">
        <v>796</v>
      </c>
      <c r="B255" s="16" t="s">
        <v>797</v>
      </c>
    </row>
    <row r="256" spans="1:2">
      <c r="A256" s="16" t="s">
        <v>798</v>
      </c>
      <c r="B256" s="16" t="s">
        <v>799</v>
      </c>
    </row>
    <row r="257" spans="1:2">
      <c r="A257" s="16" t="s">
        <v>800</v>
      </c>
      <c r="B257" s="16" t="s">
        <v>801</v>
      </c>
    </row>
    <row r="258" spans="1:2">
      <c r="A258" s="16" t="s">
        <v>802</v>
      </c>
      <c r="B258" s="16" t="s">
        <v>803</v>
      </c>
    </row>
    <row r="259" spans="1:2">
      <c r="A259" s="16" t="s">
        <v>804</v>
      </c>
      <c r="B259" s="16" t="s">
        <v>805</v>
      </c>
    </row>
    <row r="260" spans="1:2">
      <c r="A260" s="16" t="s">
        <v>806</v>
      </c>
      <c r="B260" s="16" t="s">
        <v>807</v>
      </c>
    </row>
    <row r="261" spans="1:2">
      <c r="A261" s="16" t="s">
        <v>808</v>
      </c>
      <c r="B261" s="16" t="s">
        <v>809</v>
      </c>
    </row>
    <row r="262" spans="1:2">
      <c r="A262" s="16" t="s">
        <v>810</v>
      </c>
      <c r="B262" s="16" t="s">
        <v>811</v>
      </c>
    </row>
    <row r="263" spans="1:2">
      <c r="A263" s="16" t="s">
        <v>812</v>
      </c>
      <c r="B263" s="16" t="s">
        <v>813</v>
      </c>
    </row>
    <row r="264" spans="1:2">
      <c r="A264" s="16" t="s">
        <v>814</v>
      </c>
      <c r="B264" s="16" t="s">
        <v>815</v>
      </c>
    </row>
    <row r="265" spans="1:2">
      <c r="A265" s="16" t="s">
        <v>816</v>
      </c>
      <c r="B265" s="16" t="s">
        <v>817</v>
      </c>
    </row>
    <row r="266" spans="1:2">
      <c r="A266" s="16" t="s">
        <v>818</v>
      </c>
      <c r="B266" s="16" t="s">
        <v>819</v>
      </c>
    </row>
    <row r="267" spans="1:2">
      <c r="A267" s="16" t="s">
        <v>820</v>
      </c>
      <c r="B267" s="16" t="s">
        <v>675</v>
      </c>
    </row>
    <row r="268" spans="1:2">
      <c r="A268" s="16" t="s">
        <v>821</v>
      </c>
      <c r="B268" s="16" t="s">
        <v>822</v>
      </c>
    </row>
    <row r="269" spans="1:2">
      <c r="A269" s="16" t="s">
        <v>823</v>
      </c>
      <c r="B269" s="16" t="s">
        <v>824</v>
      </c>
    </row>
    <row r="270" spans="1:2">
      <c r="A270" s="16" t="s">
        <v>825</v>
      </c>
      <c r="B270" s="16" t="s">
        <v>826</v>
      </c>
    </row>
    <row r="271" spans="1:2">
      <c r="A271" s="16" t="s">
        <v>827</v>
      </c>
      <c r="B271" s="16" t="s">
        <v>828</v>
      </c>
    </row>
    <row r="272" spans="1:2">
      <c r="A272" s="16" t="s">
        <v>829</v>
      </c>
      <c r="B272" s="16" t="s">
        <v>566</v>
      </c>
    </row>
    <row r="273" spans="1:2">
      <c r="A273" s="16" t="s">
        <v>830</v>
      </c>
      <c r="B273" s="16" t="s">
        <v>831</v>
      </c>
    </row>
    <row r="274" spans="1:2">
      <c r="A274" s="16" t="s">
        <v>832</v>
      </c>
      <c r="B274" s="16" t="s">
        <v>833</v>
      </c>
    </row>
    <row r="275" spans="1:2">
      <c r="A275" s="16" t="s">
        <v>834</v>
      </c>
      <c r="B275" s="16" t="s">
        <v>813</v>
      </c>
    </row>
    <row r="276" spans="1:2">
      <c r="A276" s="16" t="s">
        <v>835</v>
      </c>
      <c r="B276" s="16" t="s">
        <v>811</v>
      </c>
    </row>
    <row r="277" spans="1:2">
      <c r="A277" s="16" t="s">
        <v>836</v>
      </c>
      <c r="B277" s="16" t="s">
        <v>837</v>
      </c>
    </row>
    <row r="278" spans="1:2">
      <c r="A278" s="16" t="s">
        <v>838</v>
      </c>
      <c r="B278" s="16" t="s">
        <v>839</v>
      </c>
    </row>
    <row r="279" spans="1:2">
      <c r="A279" s="16" t="s">
        <v>840</v>
      </c>
      <c r="B279" s="16" t="s">
        <v>841</v>
      </c>
    </row>
    <row r="280" spans="1:2">
      <c r="A280" s="16" t="s">
        <v>842</v>
      </c>
      <c r="B280" s="16" t="s">
        <v>843</v>
      </c>
    </row>
    <row r="281" spans="1:2">
      <c r="A281" s="16" t="s">
        <v>844</v>
      </c>
      <c r="B281" s="16" t="s">
        <v>845</v>
      </c>
    </row>
    <row r="282" spans="1:2">
      <c r="A282" s="16" t="s">
        <v>846</v>
      </c>
      <c r="B282" s="16" t="s">
        <v>847</v>
      </c>
    </row>
    <row r="283" spans="1:2">
      <c r="A283" s="16" t="s">
        <v>848</v>
      </c>
      <c r="B283" s="16" t="s">
        <v>461</v>
      </c>
    </row>
    <row r="284" spans="1:2">
      <c r="A284" s="16" t="s">
        <v>849</v>
      </c>
      <c r="B284" s="16" t="s">
        <v>789</v>
      </c>
    </row>
    <row r="285" spans="1:2">
      <c r="A285" s="16" t="s">
        <v>850</v>
      </c>
      <c r="B285" s="16" t="s">
        <v>4</v>
      </c>
    </row>
    <row r="286" spans="1:2">
      <c r="A286" s="16" t="s">
        <v>851</v>
      </c>
      <c r="B286" s="16" t="s">
        <v>852</v>
      </c>
    </row>
    <row r="287" spans="1:2">
      <c r="A287" s="16" t="s">
        <v>853</v>
      </c>
      <c r="B287" s="16" t="s">
        <v>854</v>
      </c>
    </row>
    <row r="288" spans="1:2">
      <c r="A288" s="16" t="s">
        <v>855</v>
      </c>
      <c r="B288" s="16" t="s">
        <v>856</v>
      </c>
    </row>
    <row r="289" spans="1:2">
      <c r="A289" s="16" t="s">
        <v>857</v>
      </c>
      <c r="B289" s="16" t="s">
        <v>858</v>
      </c>
    </row>
    <row r="290" spans="1:2">
      <c r="A290" s="16" t="s">
        <v>859</v>
      </c>
      <c r="B290" s="16" t="s">
        <v>860</v>
      </c>
    </row>
    <row r="291" spans="1:2">
      <c r="A291" s="16" t="s">
        <v>861</v>
      </c>
      <c r="B291" s="16" t="s">
        <v>862</v>
      </c>
    </row>
    <row r="292" spans="1:2">
      <c r="A292" s="16" t="s">
        <v>863</v>
      </c>
      <c r="B292" s="16" t="s">
        <v>864</v>
      </c>
    </row>
    <row r="293" spans="1:2">
      <c r="A293" s="16" t="s">
        <v>865</v>
      </c>
      <c r="B293" s="16" t="s">
        <v>866</v>
      </c>
    </row>
    <row r="294" spans="1:2">
      <c r="A294" s="16" t="s">
        <v>867</v>
      </c>
      <c r="B294" s="16" t="s">
        <v>868</v>
      </c>
    </row>
    <row r="295" spans="1:2">
      <c r="A295" s="16" t="s">
        <v>869</v>
      </c>
      <c r="B295" s="16" t="s">
        <v>870</v>
      </c>
    </row>
    <row r="296" spans="1:2">
      <c r="A296" s="16" t="s">
        <v>871</v>
      </c>
      <c r="B296" s="16" t="s">
        <v>872</v>
      </c>
    </row>
    <row r="297" spans="1:2">
      <c r="A297" s="16" t="s">
        <v>873</v>
      </c>
      <c r="B297" s="16" t="s">
        <v>874</v>
      </c>
    </row>
    <row r="298" spans="1:2">
      <c r="A298" s="16" t="s">
        <v>875</v>
      </c>
      <c r="B298" s="16" t="s">
        <v>876</v>
      </c>
    </row>
    <row r="299" spans="1:2">
      <c r="A299" s="16" t="s">
        <v>877</v>
      </c>
      <c r="B299" s="16" t="s">
        <v>878</v>
      </c>
    </row>
    <row r="300" spans="1:2">
      <c r="A300" s="16" t="s">
        <v>879</v>
      </c>
      <c r="B300" s="16" t="s">
        <v>880</v>
      </c>
    </row>
    <row r="301" spans="1:2">
      <c r="A301" s="16" t="s">
        <v>881</v>
      </c>
      <c r="B301" s="16" t="s">
        <v>882</v>
      </c>
    </row>
    <row r="302" spans="1:2">
      <c r="A302" s="16" t="s">
        <v>883</v>
      </c>
      <c r="B302" s="16" t="s">
        <v>884</v>
      </c>
    </row>
    <row r="303" spans="1:2">
      <c r="A303" s="16" t="s">
        <v>885</v>
      </c>
      <c r="B303" s="16" t="s">
        <v>886</v>
      </c>
    </row>
    <row r="304" spans="1:2">
      <c r="A304" s="16" t="s">
        <v>887</v>
      </c>
      <c r="B304" s="16" t="s">
        <v>888</v>
      </c>
    </row>
    <row r="305" spans="1:2">
      <c r="A305" s="16" t="s">
        <v>889</v>
      </c>
      <c r="B305" s="16" t="s">
        <v>890</v>
      </c>
    </row>
    <row r="306" spans="1:2">
      <c r="A306" s="16" t="s">
        <v>891</v>
      </c>
      <c r="B306" s="16" t="s">
        <v>892</v>
      </c>
    </row>
    <row r="307" spans="1:2">
      <c r="A307" s="16" t="s">
        <v>893</v>
      </c>
      <c r="B307" s="16" t="s">
        <v>894</v>
      </c>
    </row>
    <row r="308" spans="1:2">
      <c r="A308" s="16" t="s">
        <v>895</v>
      </c>
      <c r="B308" s="16" t="s">
        <v>476</v>
      </c>
    </row>
    <row r="309" spans="1:2">
      <c r="A309" s="16" t="s">
        <v>896</v>
      </c>
      <c r="B309" s="16" t="s">
        <v>897</v>
      </c>
    </row>
    <row r="310" spans="1:2">
      <c r="A310" s="16" t="s">
        <v>898</v>
      </c>
      <c r="B310" s="16" t="s">
        <v>899</v>
      </c>
    </row>
    <row r="311" spans="1:2">
      <c r="A311" s="16" t="s">
        <v>900</v>
      </c>
      <c r="B311" s="16" t="s">
        <v>901</v>
      </c>
    </row>
    <row r="312" spans="1:2">
      <c r="A312" s="16" t="s">
        <v>902</v>
      </c>
      <c r="B312" s="16" t="s">
        <v>903</v>
      </c>
    </row>
    <row r="313" spans="1:2">
      <c r="A313" s="16" t="s">
        <v>904</v>
      </c>
      <c r="B313" s="16" t="s">
        <v>905</v>
      </c>
    </row>
    <row r="314" spans="1:2">
      <c r="A314" s="16" t="s">
        <v>906</v>
      </c>
      <c r="B314" s="16" t="s">
        <v>907</v>
      </c>
    </row>
    <row r="315" spans="1:2">
      <c r="A315" s="16" t="s">
        <v>908</v>
      </c>
      <c r="B315" s="16" t="s">
        <v>909</v>
      </c>
    </row>
    <row r="316" spans="1:2">
      <c r="A316" s="16" t="s">
        <v>910</v>
      </c>
      <c r="B316" s="16" t="s">
        <v>911</v>
      </c>
    </row>
    <row r="317" spans="1:2">
      <c r="A317" s="16" t="s">
        <v>912</v>
      </c>
      <c r="B317" s="16" t="s">
        <v>913</v>
      </c>
    </row>
    <row r="318" spans="1:2">
      <c r="A318" s="16" t="s">
        <v>914</v>
      </c>
      <c r="B318" s="16" t="s">
        <v>915</v>
      </c>
    </row>
    <row r="319" spans="1:2">
      <c r="A319" s="16" t="s">
        <v>916</v>
      </c>
      <c r="B319" s="16" t="s">
        <v>917</v>
      </c>
    </row>
    <row r="320" spans="1:2">
      <c r="A320" s="16" t="s">
        <v>918</v>
      </c>
      <c r="B320" s="16" t="s">
        <v>919</v>
      </c>
    </row>
    <row r="321" spans="1:2">
      <c r="A321" s="16" t="s">
        <v>920</v>
      </c>
      <c r="B321" s="16" t="s">
        <v>921</v>
      </c>
    </row>
    <row r="322" spans="1:2">
      <c r="A322" s="16" t="s">
        <v>922</v>
      </c>
      <c r="B322" s="16" t="s">
        <v>923</v>
      </c>
    </row>
    <row r="323" spans="1:2">
      <c r="A323" s="16" t="s">
        <v>924</v>
      </c>
      <c r="B323" s="16" t="s">
        <v>925</v>
      </c>
    </row>
    <row r="324" spans="1:2">
      <c r="A324" s="16" t="s">
        <v>926</v>
      </c>
      <c r="B324" s="16" t="s">
        <v>927</v>
      </c>
    </row>
    <row r="325" spans="1:2">
      <c r="A325" s="16" t="s">
        <v>928</v>
      </c>
      <c r="B325" s="16" t="s">
        <v>929</v>
      </c>
    </row>
    <row r="326" spans="1:2">
      <c r="A326" s="16" t="s">
        <v>930</v>
      </c>
      <c r="B326" s="16" t="s">
        <v>931</v>
      </c>
    </row>
    <row r="327" spans="1:2">
      <c r="A327" s="16" t="s">
        <v>932</v>
      </c>
      <c r="B327" s="16" t="s">
        <v>933</v>
      </c>
    </row>
    <row r="328" spans="1:2">
      <c r="A328" s="16" t="s">
        <v>934</v>
      </c>
      <c r="B328" s="16" t="s">
        <v>935</v>
      </c>
    </row>
    <row r="329" spans="1:2">
      <c r="A329" s="16" t="s">
        <v>936</v>
      </c>
      <c r="B329" s="16" t="s">
        <v>937</v>
      </c>
    </row>
    <row r="330" spans="1:2">
      <c r="A330" s="16" t="s">
        <v>938</v>
      </c>
      <c r="B330" s="16" t="s">
        <v>939</v>
      </c>
    </row>
    <row r="331" spans="1:2">
      <c r="A331" s="16" t="s">
        <v>940</v>
      </c>
      <c r="B331" s="16" t="s">
        <v>941</v>
      </c>
    </row>
    <row r="332" spans="1:2">
      <c r="A332" s="16" t="s">
        <v>942</v>
      </c>
      <c r="B332" s="16" t="s">
        <v>943</v>
      </c>
    </row>
    <row r="333" spans="1:2">
      <c r="A333" s="16" t="s">
        <v>944</v>
      </c>
      <c r="B333" s="16" t="s">
        <v>945</v>
      </c>
    </row>
    <row r="334" spans="1:2">
      <c r="A334" s="16" t="s">
        <v>946</v>
      </c>
      <c r="B334" s="16" t="s">
        <v>947</v>
      </c>
    </row>
    <row r="335" spans="1:2">
      <c r="A335" s="16" t="s">
        <v>948</v>
      </c>
      <c r="B335" s="16" t="s">
        <v>949</v>
      </c>
    </row>
    <row r="336" spans="1:2">
      <c r="A336" s="16" t="s">
        <v>950</v>
      </c>
      <c r="B336" s="16" t="s">
        <v>951</v>
      </c>
    </row>
    <row r="337" spans="1:2">
      <c r="A337" s="16" t="s">
        <v>952</v>
      </c>
      <c r="B337" s="16" t="s">
        <v>845</v>
      </c>
    </row>
    <row r="338" spans="1:2">
      <c r="A338" s="16" t="s">
        <v>953</v>
      </c>
      <c r="B338" s="16" t="s">
        <v>954</v>
      </c>
    </row>
    <row r="339" spans="1:2">
      <c r="A339" s="16" t="s">
        <v>955</v>
      </c>
      <c r="B339" s="16" t="s">
        <v>949</v>
      </c>
    </row>
    <row r="340" spans="1:2">
      <c r="A340" s="16" t="s">
        <v>956</v>
      </c>
      <c r="B340" s="16" t="s">
        <v>957</v>
      </c>
    </row>
    <row r="341" spans="1:2">
      <c r="A341" s="16" t="s">
        <v>958</v>
      </c>
      <c r="B341" s="16" t="s">
        <v>959</v>
      </c>
    </row>
    <row r="342" spans="1:2">
      <c r="A342" s="16" t="s">
        <v>960</v>
      </c>
      <c r="B342" s="16" t="s">
        <v>961</v>
      </c>
    </row>
    <row r="343" spans="1:2">
      <c r="A343" s="16" t="s">
        <v>962</v>
      </c>
      <c r="B343" s="16" t="s">
        <v>963</v>
      </c>
    </row>
    <row r="344" spans="1:2">
      <c r="A344" s="16" t="s">
        <v>964</v>
      </c>
      <c r="B344" s="16" t="s">
        <v>965</v>
      </c>
    </row>
    <row r="345" spans="1:2">
      <c r="A345" s="16" t="s">
        <v>966</v>
      </c>
      <c r="B345" s="16" t="s">
        <v>967</v>
      </c>
    </row>
    <row r="346" spans="1:2">
      <c r="A346" s="16" t="s">
        <v>968</v>
      </c>
      <c r="B346" s="16" t="s">
        <v>969</v>
      </c>
    </row>
    <row r="347" spans="1:2">
      <c r="A347" s="16" t="s">
        <v>970</v>
      </c>
      <c r="B347" s="16" t="s">
        <v>971</v>
      </c>
    </row>
    <row r="348" spans="1:2">
      <c r="A348" s="16" t="s">
        <v>972</v>
      </c>
      <c r="B348" s="16" t="s">
        <v>973</v>
      </c>
    </row>
    <row r="349" spans="1:2">
      <c r="A349" s="16" t="s">
        <v>974</v>
      </c>
      <c r="B349" s="16" t="s">
        <v>975</v>
      </c>
    </row>
    <row r="350" spans="1:2">
      <c r="A350" s="16" t="s">
        <v>976</v>
      </c>
      <c r="B350" s="16" t="s">
        <v>977</v>
      </c>
    </row>
    <row r="351" spans="1:2">
      <c r="A351" s="16" t="s">
        <v>978</v>
      </c>
      <c r="B351" s="16" t="s">
        <v>979</v>
      </c>
    </row>
    <row r="352" spans="1:2">
      <c r="A352" s="16" t="s">
        <v>980</v>
      </c>
      <c r="B352" s="16" t="s">
        <v>981</v>
      </c>
    </row>
    <row r="353" spans="1:2">
      <c r="A353" s="16" t="s">
        <v>982</v>
      </c>
      <c r="B353" s="16" t="s">
        <v>983</v>
      </c>
    </row>
    <row r="354" spans="1:2">
      <c r="A354" s="16" t="s">
        <v>984</v>
      </c>
      <c r="B354" s="16" t="s">
        <v>985</v>
      </c>
    </row>
    <row r="355" spans="1:2">
      <c r="A355" s="16" t="s">
        <v>986</v>
      </c>
      <c r="B355" s="16" t="s">
        <v>987</v>
      </c>
    </row>
    <row r="356" spans="1:2">
      <c r="A356" s="16" t="s">
        <v>988</v>
      </c>
      <c r="B356" s="16" t="s">
        <v>989</v>
      </c>
    </row>
    <row r="357" spans="1:2">
      <c r="A357" s="16" t="s">
        <v>990</v>
      </c>
      <c r="B357" s="16" t="s">
        <v>991</v>
      </c>
    </row>
    <row r="358" spans="1:2">
      <c r="A358" s="16" t="s">
        <v>992</v>
      </c>
      <c r="B358" s="16" t="s">
        <v>775</v>
      </c>
    </row>
    <row r="359" spans="1:2">
      <c r="A359" s="16" t="s">
        <v>993</v>
      </c>
      <c r="B359" s="16" t="s">
        <v>994</v>
      </c>
    </row>
    <row r="360" spans="1:2">
      <c r="A360" s="16" t="s">
        <v>995</v>
      </c>
      <c r="B360" s="16" t="s">
        <v>996</v>
      </c>
    </row>
    <row r="361" spans="1:2">
      <c r="A361" s="16" t="s">
        <v>997</v>
      </c>
      <c r="B361" s="16" t="s">
        <v>998</v>
      </c>
    </row>
    <row r="362" spans="1:2">
      <c r="A362" s="16" t="s">
        <v>999</v>
      </c>
      <c r="B362" s="16" t="s">
        <v>1000</v>
      </c>
    </row>
    <row r="363" spans="1:2">
      <c r="A363" s="16" t="s">
        <v>1001</v>
      </c>
      <c r="B363" s="16" t="s">
        <v>1002</v>
      </c>
    </row>
    <row r="364" spans="1:2">
      <c r="A364" s="16" t="s">
        <v>1003</v>
      </c>
      <c r="B364" s="16" t="s">
        <v>1004</v>
      </c>
    </row>
    <row r="365" spans="1:2">
      <c r="A365" s="16" t="s">
        <v>1005</v>
      </c>
      <c r="B365" s="16" t="s">
        <v>1006</v>
      </c>
    </row>
    <row r="366" spans="1:2">
      <c r="A366" s="16" t="s">
        <v>1007</v>
      </c>
      <c r="B366" s="16" t="s">
        <v>1008</v>
      </c>
    </row>
    <row r="367" spans="1:2">
      <c r="A367" s="16" t="s">
        <v>1009</v>
      </c>
      <c r="B367" s="16" t="s">
        <v>1010</v>
      </c>
    </row>
    <row r="368" spans="1:2">
      <c r="A368" s="16" t="s">
        <v>1011</v>
      </c>
      <c r="B368" s="16" t="s">
        <v>1012</v>
      </c>
    </row>
    <row r="369" spans="1:2">
      <c r="A369" s="16" t="s">
        <v>1013</v>
      </c>
      <c r="B369" s="16" t="s">
        <v>1014</v>
      </c>
    </row>
    <row r="370" spans="1:2">
      <c r="A370" s="16" t="s">
        <v>1015</v>
      </c>
      <c r="B370" s="16" t="s">
        <v>1016</v>
      </c>
    </row>
    <row r="371" spans="1:2">
      <c r="A371" s="16" t="s">
        <v>1017</v>
      </c>
      <c r="B371" s="16" t="s">
        <v>1018</v>
      </c>
    </row>
    <row r="372" spans="1:2">
      <c r="A372" s="16" t="s">
        <v>1019</v>
      </c>
      <c r="B372" s="16" t="s">
        <v>1020</v>
      </c>
    </row>
    <row r="373" spans="1:2">
      <c r="A373" s="16" t="s">
        <v>1021</v>
      </c>
      <c r="B373" s="16" t="s">
        <v>1022</v>
      </c>
    </row>
    <row r="374" spans="1:2">
      <c r="A374" s="16" t="s">
        <v>1023</v>
      </c>
      <c r="B374" s="16" t="s">
        <v>1024</v>
      </c>
    </row>
    <row r="375" spans="1:2">
      <c r="A375" s="16" t="s">
        <v>1025</v>
      </c>
      <c r="B375" s="16" t="s">
        <v>1026</v>
      </c>
    </row>
    <row r="376" spans="1:2">
      <c r="A376" s="16" t="s">
        <v>1027</v>
      </c>
      <c r="B376" s="16" t="s">
        <v>1028</v>
      </c>
    </row>
    <row r="377" spans="1:2">
      <c r="A377" s="16" t="s">
        <v>1029</v>
      </c>
      <c r="B377" s="16" t="s">
        <v>1030</v>
      </c>
    </row>
    <row r="378" spans="1:2">
      <c r="A378" s="16" t="s">
        <v>1031</v>
      </c>
      <c r="B378" s="16" t="s">
        <v>1028</v>
      </c>
    </row>
    <row r="379" spans="1:2">
      <c r="A379" s="16" t="s">
        <v>1032</v>
      </c>
      <c r="B379" s="16" t="s">
        <v>1033</v>
      </c>
    </row>
    <row r="380" spans="1:2">
      <c r="A380" s="16" t="s">
        <v>1034</v>
      </c>
      <c r="B380" s="16" t="s">
        <v>1035</v>
      </c>
    </row>
    <row r="381" spans="1:2">
      <c r="A381" s="16" t="s">
        <v>1036</v>
      </c>
      <c r="B381" s="16" t="s">
        <v>1037</v>
      </c>
    </row>
    <row r="382" spans="1:2">
      <c r="A382" s="16" t="s">
        <v>1038</v>
      </c>
      <c r="B382" s="16" t="s">
        <v>1039</v>
      </c>
    </row>
    <row r="383" spans="1:2">
      <c r="A383" s="16" t="s">
        <v>1040</v>
      </c>
      <c r="B383" s="16" t="s">
        <v>1041</v>
      </c>
    </row>
    <row r="384" spans="1:2">
      <c r="A384" s="16" t="s">
        <v>1042</v>
      </c>
      <c r="B384" s="16" t="s">
        <v>1043</v>
      </c>
    </row>
    <row r="385" spans="1:2">
      <c r="A385" s="16" t="s">
        <v>1044</v>
      </c>
      <c r="B385" s="16" t="s">
        <v>1045</v>
      </c>
    </row>
    <row r="386" spans="1:2">
      <c r="A386" s="16" t="s">
        <v>1046</v>
      </c>
      <c r="B386" s="16" t="s">
        <v>1047</v>
      </c>
    </row>
    <row r="387" spans="1:2">
      <c r="A387" s="16" t="s">
        <v>1048</v>
      </c>
      <c r="B387" s="16" t="s">
        <v>1049</v>
      </c>
    </row>
    <row r="388" spans="1:2">
      <c r="A388" s="16" t="s">
        <v>1050</v>
      </c>
      <c r="B388" s="16" t="s">
        <v>1051</v>
      </c>
    </row>
    <row r="389" spans="1:2">
      <c r="A389" s="16" t="s">
        <v>1052</v>
      </c>
      <c r="B389" s="16" t="s">
        <v>1053</v>
      </c>
    </row>
    <row r="390" spans="1:2">
      <c r="A390" s="16" t="s">
        <v>1054</v>
      </c>
      <c r="B390" s="16" t="s">
        <v>1055</v>
      </c>
    </row>
    <row r="391" spans="1:2">
      <c r="A391" s="16" t="s">
        <v>1056</v>
      </c>
      <c r="B391" s="16" t="s">
        <v>1057</v>
      </c>
    </row>
    <row r="392" spans="1:2">
      <c r="A392" s="16" t="s">
        <v>1058</v>
      </c>
      <c r="B392" s="16" t="s">
        <v>1059</v>
      </c>
    </row>
    <row r="393" spans="1:2">
      <c r="A393" s="16" t="s">
        <v>1060</v>
      </c>
      <c r="B393" s="16" t="s">
        <v>1061</v>
      </c>
    </row>
    <row r="394" spans="1:2">
      <c r="A394" s="16" t="s">
        <v>1062</v>
      </c>
      <c r="B394" s="16" t="s">
        <v>1063</v>
      </c>
    </row>
    <row r="395" spans="1:2">
      <c r="A395" s="16" t="s">
        <v>1064</v>
      </c>
      <c r="B395" s="16" t="s">
        <v>1065</v>
      </c>
    </row>
    <row r="396" spans="1:2">
      <c r="A396" s="16" t="s">
        <v>1066</v>
      </c>
      <c r="B396" s="16" t="s">
        <v>1067</v>
      </c>
    </row>
    <row r="397" spans="1:2">
      <c r="A397" s="16" t="s">
        <v>1068</v>
      </c>
      <c r="B397" s="16" t="s">
        <v>1069</v>
      </c>
    </row>
    <row r="398" spans="1:2">
      <c r="A398" s="16" t="s">
        <v>1070</v>
      </c>
      <c r="B398" s="16" t="s">
        <v>1071</v>
      </c>
    </row>
    <row r="399" spans="1:2">
      <c r="A399" s="16" t="s">
        <v>1072</v>
      </c>
      <c r="B399" s="16" t="s">
        <v>1073</v>
      </c>
    </row>
    <row r="400" spans="1:2">
      <c r="A400" s="16" t="s">
        <v>1074</v>
      </c>
      <c r="B400" s="16" t="s">
        <v>1075</v>
      </c>
    </row>
    <row r="401" spans="1:2">
      <c r="A401" s="16" t="s">
        <v>1076</v>
      </c>
      <c r="B401" s="16" t="s">
        <v>1077</v>
      </c>
    </row>
    <row r="402" spans="1:2">
      <c r="A402" s="16" t="s">
        <v>1078</v>
      </c>
      <c r="B402" s="16" t="s">
        <v>1079</v>
      </c>
    </row>
    <row r="403" spans="1:2">
      <c r="A403" s="16" t="s">
        <v>1080</v>
      </c>
      <c r="B403" s="16" t="s">
        <v>1081</v>
      </c>
    </row>
    <row r="404" spans="1:2">
      <c r="A404" s="16" t="s">
        <v>1082</v>
      </c>
      <c r="B404" s="16" t="s">
        <v>293</v>
      </c>
    </row>
    <row r="405" spans="1:2">
      <c r="A405" s="16" t="s">
        <v>1083</v>
      </c>
      <c r="B405" s="16" t="s">
        <v>1084</v>
      </c>
    </row>
    <row r="406" spans="1:2">
      <c r="A406" s="16" t="s">
        <v>1085</v>
      </c>
      <c r="B406" s="16" t="s">
        <v>1086</v>
      </c>
    </row>
    <row r="407" spans="1:2">
      <c r="A407" s="16" t="s">
        <v>1087</v>
      </c>
      <c r="B407" s="16" t="s">
        <v>1088</v>
      </c>
    </row>
    <row r="408" spans="1:2">
      <c r="A408" s="16" t="s">
        <v>1089</v>
      </c>
      <c r="B408" s="16" t="s">
        <v>1090</v>
      </c>
    </row>
    <row r="409" spans="1:2">
      <c r="A409" s="16" t="s">
        <v>1091</v>
      </c>
      <c r="B409" s="16" t="s">
        <v>1092</v>
      </c>
    </row>
    <row r="410" spans="1:2">
      <c r="A410" s="16" t="s">
        <v>1093</v>
      </c>
      <c r="B410" s="16" t="s">
        <v>1094</v>
      </c>
    </row>
    <row r="411" spans="1:2">
      <c r="A411" s="16" t="s">
        <v>1095</v>
      </c>
      <c r="B411" s="16" t="s">
        <v>1096</v>
      </c>
    </row>
    <row r="412" spans="1:2">
      <c r="A412" s="16" t="s">
        <v>1097</v>
      </c>
      <c r="B412" s="16" t="s">
        <v>1098</v>
      </c>
    </row>
    <row r="413" spans="1:2">
      <c r="A413" s="16" t="s">
        <v>1099</v>
      </c>
      <c r="B413" s="16" t="s">
        <v>1100</v>
      </c>
    </row>
    <row r="414" spans="1:2">
      <c r="A414" s="16" t="s">
        <v>1101</v>
      </c>
      <c r="B414" s="16" t="s">
        <v>1102</v>
      </c>
    </row>
    <row r="415" spans="1:2">
      <c r="A415" s="16" t="s">
        <v>1103</v>
      </c>
      <c r="B415" s="16" t="s">
        <v>1104</v>
      </c>
    </row>
    <row r="416" spans="1:2">
      <c r="A416" s="16" t="s">
        <v>1105</v>
      </c>
      <c r="B416" s="16" t="s">
        <v>1106</v>
      </c>
    </row>
    <row r="417" spans="1:2">
      <c r="A417" s="16" t="s">
        <v>1107</v>
      </c>
      <c r="B417" s="16" t="s">
        <v>1108</v>
      </c>
    </row>
    <row r="418" spans="1:2">
      <c r="A418" s="16" t="s">
        <v>1109</v>
      </c>
      <c r="B418" s="16" t="s">
        <v>1110</v>
      </c>
    </row>
    <row r="419" spans="1:2">
      <c r="A419" s="16" t="s">
        <v>1111</v>
      </c>
      <c r="B419" s="16" t="s">
        <v>1112</v>
      </c>
    </row>
    <row r="420" spans="1:2">
      <c r="A420" s="16" t="s">
        <v>1113</v>
      </c>
      <c r="B420" s="16" t="s">
        <v>1114</v>
      </c>
    </row>
    <row r="421" spans="1:2">
      <c r="A421" s="16" t="s">
        <v>1115</v>
      </c>
      <c r="B421" s="16" t="s">
        <v>1116</v>
      </c>
    </row>
    <row r="422" spans="1:2">
      <c r="A422" s="16" t="s">
        <v>1117</v>
      </c>
      <c r="B422" s="16" t="s">
        <v>1118</v>
      </c>
    </row>
    <row r="423" spans="1:2">
      <c r="A423" s="16" t="s">
        <v>1119</v>
      </c>
      <c r="B423" s="16" t="s">
        <v>1120</v>
      </c>
    </row>
    <row r="424" spans="1:2">
      <c r="A424" s="16" t="s">
        <v>1121</v>
      </c>
      <c r="B424" s="16" t="s">
        <v>1122</v>
      </c>
    </row>
    <row r="425" spans="1:2">
      <c r="A425" s="16" t="s">
        <v>1123</v>
      </c>
      <c r="B425" s="16" t="s">
        <v>1124</v>
      </c>
    </row>
    <row r="426" spans="1:2">
      <c r="A426" s="16" t="s">
        <v>1125</v>
      </c>
      <c r="B426" s="16" t="s">
        <v>1126</v>
      </c>
    </row>
    <row r="427" spans="1:2">
      <c r="A427" s="16" t="s">
        <v>1127</v>
      </c>
      <c r="B427" s="16" t="s">
        <v>1128</v>
      </c>
    </row>
    <row r="428" spans="1:2">
      <c r="A428" s="16" t="s">
        <v>1129</v>
      </c>
      <c r="B428" s="16" t="s">
        <v>531</v>
      </c>
    </row>
    <row r="429" spans="1:2">
      <c r="A429" s="16" t="s">
        <v>1130</v>
      </c>
      <c r="B429" s="16" t="s">
        <v>424</v>
      </c>
    </row>
    <row r="430" spans="1:2">
      <c r="A430" s="16" t="s">
        <v>1131</v>
      </c>
      <c r="B430" s="16" t="s">
        <v>542</v>
      </c>
    </row>
    <row r="431" spans="1:2">
      <c r="A431" s="16" t="s">
        <v>1132</v>
      </c>
      <c r="B431" s="16" t="s">
        <v>1133</v>
      </c>
    </row>
    <row r="432" spans="1:2">
      <c r="A432" s="16" t="s">
        <v>1134</v>
      </c>
      <c r="B432" s="16" t="s">
        <v>941</v>
      </c>
    </row>
    <row r="433" spans="1:2">
      <c r="A433" s="16" t="s">
        <v>1135</v>
      </c>
      <c r="B433" s="16" t="s">
        <v>1136</v>
      </c>
    </row>
    <row r="434" spans="1:2">
      <c r="A434" s="16" t="s">
        <v>1137</v>
      </c>
      <c r="B434" s="16" t="s">
        <v>620</v>
      </c>
    </row>
    <row r="435" spans="1:2">
      <c r="A435" s="16" t="s">
        <v>1138</v>
      </c>
      <c r="B435" s="16" t="s">
        <v>1139</v>
      </c>
    </row>
    <row r="436" spans="1:2">
      <c r="A436" s="16" t="s">
        <v>1140</v>
      </c>
      <c r="B436" s="16" t="s">
        <v>1141</v>
      </c>
    </row>
    <row r="437" spans="1:2">
      <c r="A437" s="16" t="s">
        <v>1142</v>
      </c>
      <c r="B437" s="16" t="s">
        <v>1143</v>
      </c>
    </row>
    <row r="438" spans="1:2">
      <c r="A438" s="16" t="s">
        <v>1144</v>
      </c>
      <c r="B438" s="16" t="s">
        <v>1145</v>
      </c>
    </row>
    <row r="439" spans="1:2">
      <c r="A439" s="16" t="s">
        <v>1146</v>
      </c>
      <c r="B439" s="16" t="s">
        <v>1147</v>
      </c>
    </row>
    <row r="440" spans="1:2">
      <c r="A440" s="16" t="s">
        <v>1148</v>
      </c>
      <c r="B440" s="16" t="s">
        <v>1149</v>
      </c>
    </row>
    <row r="441" spans="1:2">
      <c r="A441" s="16" t="s">
        <v>1150</v>
      </c>
      <c r="B441" s="16" t="s">
        <v>1151</v>
      </c>
    </row>
    <row r="442" spans="1:2">
      <c r="A442" s="16" t="s">
        <v>1152</v>
      </c>
      <c r="B442" s="16" t="s">
        <v>1153</v>
      </c>
    </row>
    <row r="443" spans="1:2">
      <c r="A443" s="16" t="s">
        <v>1154</v>
      </c>
      <c r="B443" s="16" t="s">
        <v>1155</v>
      </c>
    </row>
    <row r="444" spans="1:2">
      <c r="A444" s="16" t="s">
        <v>1156</v>
      </c>
      <c r="B444" s="16" t="s">
        <v>1157</v>
      </c>
    </row>
    <row r="445" spans="1:2">
      <c r="A445" s="16" t="s">
        <v>1158</v>
      </c>
      <c r="B445" s="16" t="s">
        <v>1159</v>
      </c>
    </row>
    <row r="446" spans="1:2">
      <c r="A446" s="16" t="s">
        <v>1160</v>
      </c>
      <c r="B446" s="16" t="s">
        <v>1161</v>
      </c>
    </row>
    <row r="447" spans="1:2">
      <c r="A447" s="16" t="s">
        <v>1162</v>
      </c>
      <c r="B447" s="16" t="s">
        <v>455</v>
      </c>
    </row>
    <row r="448" spans="1:2">
      <c r="A448" s="16" t="s">
        <v>1163</v>
      </c>
      <c r="B448" s="16" t="s">
        <v>1164</v>
      </c>
    </row>
    <row r="449" spans="1:2">
      <c r="A449" s="16" t="s">
        <v>1165</v>
      </c>
      <c r="B449" s="16" t="s">
        <v>374</v>
      </c>
    </row>
    <row r="450" spans="1:2">
      <c r="A450" s="16" t="s">
        <v>1166</v>
      </c>
      <c r="B450" s="16" t="s">
        <v>374</v>
      </c>
    </row>
    <row r="451" spans="1:2">
      <c r="A451" s="16" t="s">
        <v>1167</v>
      </c>
      <c r="B451" s="16" t="s">
        <v>611</v>
      </c>
    </row>
    <row r="452" spans="1:2">
      <c r="A452" s="16" t="s">
        <v>1168</v>
      </c>
      <c r="B452" s="16" t="s">
        <v>1169</v>
      </c>
    </row>
    <row r="453" spans="1:2">
      <c r="A453" s="16" t="s">
        <v>1170</v>
      </c>
      <c r="B453" s="16" t="s">
        <v>1171</v>
      </c>
    </row>
    <row r="454" spans="1:2">
      <c r="A454" s="16" t="s">
        <v>1172</v>
      </c>
      <c r="B454" s="16" t="s">
        <v>636</v>
      </c>
    </row>
    <row r="455" spans="1:2">
      <c r="A455" s="16" t="s">
        <v>1173</v>
      </c>
      <c r="B455" s="16" t="s">
        <v>540</v>
      </c>
    </row>
    <row r="456" spans="1:2">
      <c r="A456" s="16" t="s">
        <v>1174</v>
      </c>
      <c r="B456" s="16" t="s">
        <v>642</v>
      </c>
    </row>
    <row r="457" spans="1:2">
      <c r="A457" s="16" t="s">
        <v>1175</v>
      </c>
      <c r="B457" s="16" t="s">
        <v>1176</v>
      </c>
    </row>
    <row r="458" spans="1:2">
      <c r="A458" s="16" t="s">
        <v>1177</v>
      </c>
      <c r="B458" s="16" t="s">
        <v>1178</v>
      </c>
    </row>
    <row r="459" spans="1:2">
      <c r="A459" s="16" t="s">
        <v>1179</v>
      </c>
      <c r="B459" s="16" t="s">
        <v>1180</v>
      </c>
    </row>
    <row r="460" spans="1:2">
      <c r="A460" s="16" t="s">
        <v>1181</v>
      </c>
      <c r="B460" s="16" t="s">
        <v>1182</v>
      </c>
    </row>
    <row r="461" spans="1:2">
      <c r="A461" s="16" t="s">
        <v>1183</v>
      </c>
      <c r="B461" s="16" t="s">
        <v>1184</v>
      </c>
    </row>
    <row r="462" spans="1:2">
      <c r="A462" s="16" t="s">
        <v>1185</v>
      </c>
      <c r="B462" s="16" t="s">
        <v>571</v>
      </c>
    </row>
    <row r="463" spans="1:2">
      <c r="A463" s="16" t="s">
        <v>1186</v>
      </c>
      <c r="B463" s="16" t="s">
        <v>575</v>
      </c>
    </row>
    <row r="464" spans="1:2">
      <c r="A464" s="16" t="s">
        <v>1187</v>
      </c>
      <c r="B464" s="16" t="s">
        <v>648</v>
      </c>
    </row>
    <row r="465" spans="1:2">
      <c r="A465" s="16" t="s">
        <v>1188</v>
      </c>
      <c r="B465" s="16" t="s">
        <v>837</v>
      </c>
    </row>
    <row r="466" spans="1:2">
      <c r="A466" s="16" t="s">
        <v>1189</v>
      </c>
      <c r="B466" s="16" t="s">
        <v>1190</v>
      </c>
    </row>
    <row r="467" spans="1:2">
      <c r="A467" s="16" t="s">
        <v>1191</v>
      </c>
      <c r="B467" s="16" t="s">
        <v>1192</v>
      </c>
    </row>
    <row r="468" spans="1:2">
      <c r="A468" s="16" t="s">
        <v>1193</v>
      </c>
      <c r="B468" s="16" t="s">
        <v>455</v>
      </c>
    </row>
    <row r="469" spans="1:2">
      <c r="A469" s="16" t="s">
        <v>1194</v>
      </c>
      <c r="B469" s="16" t="s">
        <v>457</v>
      </c>
    </row>
    <row r="470" spans="1:2">
      <c r="A470" s="16" t="s">
        <v>1195</v>
      </c>
      <c r="B470" s="16" t="s">
        <v>1196</v>
      </c>
    </row>
    <row r="471" spans="1:2">
      <c r="A471" s="16" t="s">
        <v>1197</v>
      </c>
      <c r="B471" s="16" t="s">
        <v>1198</v>
      </c>
    </row>
    <row r="472" spans="1:2">
      <c r="A472" s="16" t="s">
        <v>1199</v>
      </c>
      <c r="B472" s="16" t="s">
        <v>411</v>
      </c>
    </row>
    <row r="473" spans="1:2">
      <c r="A473" s="16" t="s">
        <v>1200</v>
      </c>
      <c r="B473" s="16" t="s">
        <v>1201</v>
      </c>
    </row>
    <row r="474" spans="1:2">
      <c r="A474" s="16" t="s">
        <v>1202</v>
      </c>
      <c r="B474" s="16" t="s">
        <v>1203</v>
      </c>
    </row>
    <row r="475" spans="1:2">
      <c r="A475" s="16" t="s">
        <v>1204</v>
      </c>
      <c r="B475" s="16" t="s">
        <v>1205</v>
      </c>
    </row>
    <row r="476" spans="1:2">
      <c r="A476" s="16" t="s">
        <v>1206</v>
      </c>
      <c r="B476" s="16" t="s">
        <v>1207</v>
      </c>
    </row>
    <row r="477" spans="1:2">
      <c r="A477" s="16" t="s">
        <v>1208</v>
      </c>
      <c r="B477" s="16" t="s">
        <v>1207</v>
      </c>
    </row>
    <row r="478" spans="1:2">
      <c r="A478" s="16" t="s">
        <v>1209</v>
      </c>
      <c r="B478" s="16" t="s">
        <v>459</v>
      </c>
    </row>
    <row r="479" spans="1:2">
      <c r="A479" s="16" t="s">
        <v>1210</v>
      </c>
      <c r="B479" s="16" t="s">
        <v>1211</v>
      </c>
    </row>
    <row r="480" spans="1:2">
      <c r="A480" s="16" t="s">
        <v>1212</v>
      </c>
      <c r="B480" s="16" t="s">
        <v>1213</v>
      </c>
    </row>
    <row r="481" spans="1:2">
      <c r="A481" s="16" t="s">
        <v>1214</v>
      </c>
      <c r="B481" s="16" t="s">
        <v>1215</v>
      </c>
    </row>
    <row r="482" spans="1:2">
      <c r="A482" s="16" t="s">
        <v>1216</v>
      </c>
      <c r="B482" s="16" t="s">
        <v>1217</v>
      </c>
    </row>
    <row r="483" spans="1:2">
      <c r="A483" s="16" t="s">
        <v>1218</v>
      </c>
      <c r="B483" s="16" t="s">
        <v>465</v>
      </c>
    </row>
    <row r="484" spans="1:2">
      <c r="A484" s="16" t="s">
        <v>1219</v>
      </c>
      <c r="B484" s="16" t="s">
        <v>1220</v>
      </c>
    </row>
    <row r="485" spans="1:2">
      <c r="A485" s="16" t="s">
        <v>1221</v>
      </c>
      <c r="B485" s="16" t="s">
        <v>467</v>
      </c>
    </row>
    <row r="486" spans="1:2">
      <c r="A486" s="16" t="s">
        <v>1222</v>
      </c>
      <c r="B486" s="16" t="s">
        <v>1223</v>
      </c>
    </row>
    <row r="487" spans="1:2">
      <c r="A487" s="16" t="s">
        <v>1224</v>
      </c>
      <c r="B487" s="16" t="s">
        <v>470</v>
      </c>
    </row>
    <row r="488" spans="1:2">
      <c r="A488" s="16" t="s">
        <v>1225</v>
      </c>
      <c r="B488" s="16" t="s">
        <v>1226</v>
      </c>
    </row>
    <row r="489" spans="1:2">
      <c r="A489" s="16" t="s">
        <v>1227</v>
      </c>
      <c r="B489" s="16" t="s">
        <v>636</v>
      </c>
    </row>
    <row r="490" spans="1:2">
      <c r="A490" s="16" t="s">
        <v>1228</v>
      </c>
      <c r="B490" s="16" t="s">
        <v>1229</v>
      </c>
    </row>
    <row r="491" spans="1:2">
      <c r="A491" s="16" t="s">
        <v>1230</v>
      </c>
      <c r="B491" s="16" t="s">
        <v>1231</v>
      </c>
    </row>
    <row r="492" spans="1:2">
      <c r="A492" s="16" t="s">
        <v>1232</v>
      </c>
      <c r="B492" s="16" t="s">
        <v>1233</v>
      </c>
    </row>
    <row r="493" spans="1:2">
      <c r="A493" s="16" t="s">
        <v>1234</v>
      </c>
      <c r="B493" s="16" t="s">
        <v>1235</v>
      </c>
    </row>
    <row r="494" spans="1:2">
      <c r="A494" s="16" t="s">
        <v>1236</v>
      </c>
      <c r="B494" s="16" t="s">
        <v>1237</v>
      </c>
    </row>
    <row r="495" spans="1:2">
      <c r="A495" s="16" t="s">
        <v>1238</v>
      </c>
      <c r="B495" s="16" t="s">
        <v>1239</v>
      </c>
    </row>
    <row r="496" spans="1:2">
      <c r="A496" s="16" t="s">
        <v>1240</v>
      </c>
      <c r="B496" s="16" t="s">
        <v>483</v>
      </c>
    </row>
    <row r="497" spans="1:2">
      <c r="A497" s="16" t="s">
        <v>1241</v>
      </c>
      <c r="B497" s="16" t="s">
        <v>1242</v>
      </c>
    </row>
    <row r="498" spans="1:2">
      <c r="A498" s="16" t="s">
        <v>1243</v>
      </c>
      <c r="B498" s="16" t="s">
        <v>1244</v>
      </c>
    </row>
    <row r="499" spans="1:2">
      <c r="A499" s="16" t="s">
        <v>1245</v>
      </c>
      <c r="B499" s="16" t="s">
        <v>1246</v>
      </c>
    </row>
    <row r="500" spans="1:2">
      <c r="A500" s="16" t="s">
        <v>1247</v>
      </c>
      <c r="B500" s="16" t="s">
        <v>1248</v>
      </c>
    </row>
    <row r="501" spans="1:2">
      <c r="A501" s="16" t="s">
        <v>1249</v>
      </c>
      <c r="B501" s="16" t="s">
        <v>1250</v>
      </c>
    </row>
    <row r="502" spans="1:2">
      <c r="A502" s="16" t="s">
        <v>1251</v>
      </c>
      <c r="B502" s="16" t="s">
        <v>1252</v>
      </c>
    </row>
    <row r="503" spans="1:2">
      <c r="A503" s="16" t="s">
        <v>1253</v>
      </c>
      <c r="B503" s="16" t="s">
        <v>1254</v>
      </c>
    </row>
    <row r="504" spans="1:2">
      <c r="A504" s="16" t="s">
        <v>1255</v>
      </c>
      <c r="B504" s="16" t="s">
        <v>1254</v>
      </c>
    </row>
    <row r="505" spans="1:2">
      <c r="A505" s="16" t="s">
        <v>1256</v>
      </c>
      <c r="B505" s="16" t="s">
        <v>488</v>
      </c>
    </row>
    <row r="506" spans="1:2">
      <c r="A506" s="16" t="s">
        <v>1257</v>
      </c>
      <c r="B506" s="16" t="s">
        <v>1258</v>
      </c>
    </row>
    <row r="507" spans="1:2">
      <c r="A507" s="16" t="s">
        <v>1259</v>
      </c>
      <c r="B507" s="16" t="s">
        <v>1260</v>
      </c>
    </row>
    <row r="508" spans="1:2">
      <c r="A508" s="16" t="s">
        <v>1261</v>
      </c>
      <c r="B508" s="16" t="s">
        <v>1262</v>
      </c>
    </row>
    <row r="509" spans="1:2">
      <c r="A509" s="16" t="s">
        <v>1263</v>
      </c>
      <c r="B509" s="16" t="s">
        <v>1264</v>
      </c>
    </row>
    <row r="510" spans="1:2">
      <c r="A510" s="16" t="s">
        <v>1265</v>
      </c>
      <c r="B510" s="16" t="s">
        <v>1266</v>
      </c>
    </row>
    <row r="511" spans="1:2">
      <c r="A511" s="16" t="s">
        <v>1267</v>
      </c>
      <c r="B511" s="16" t="s">
        <v>1268</v>
      </c>
    </row>
    <row r="512" spans="1:2">
      <c r="A512" s="16" t="s">
        <v>1269</v>
      </c>
      <c r="B512" s="16" t="s">
        <v>1270</v>
      </c>
    </row>
    <row r="513" spans="1:2">
      <c r="A513" s="16" t="s">
        <v>1271</v>
      </c>
      <c r="B513" s="16" t="s">
        <v>1272</v>
      </c>
    </row>
    <row r="514" spans="1:2">
      <c r="A514" s="16" t="s">
        <v>1273</v>
      </c>
      <c r="B514" s="16" t="s">
        <v>494</v>
      </c>
    </row>
    <row r="515" spans="1:2">
      <c r="A515" s="16" t="s">
        <v>1274</v>
      </c>
      <c r="B515" s="16" t="s">
        <v>1275</v>
      </c>
    </row>
    <row r="516" spans="1:2">
      <c r="A516" s="16" t="s">
        <v>1276</v>
      </c>
      <c r="B516" s="16" t="s">
        <v>1277</v>
      </c>
    </row>
    <row r="517" spans="1:2">
      <c r="A517" s="16" t="s">
        <v>1278</v>
      </c>
      <c r="B517" s="16" t="s">
        <v>496</v>
      </c>
    </row>
    <row r="518" spans="1:2">
      <c r="A518" s="16" t="s">
        <v>1279</v>
      </c>
      <c r="B518" s="16" t="s">
        <v>1280</v>
      </c>
    </row>
    <row r="519" spans="1:2">
      <c r="A519" s="16" t="s">
        <v>1281</v>
      </c>
      <c r="B519" s="16" t="s">
        <v>1282</v>
      </c>
    </row>
    <row r="520" spans="1:2">
      <c r="A520" s="16" t="s">
        <v>1283</v>
      </c>
      <c r="B520" s="16" t="s">
        <v>498</v>
      </c>
    </row>
    <row r="521" spans="1:2">
      <c r="A521" s="16" t="s">
        <v>1284</v>
      </c>
      <c r="B521" s="16" t="s">
        <v>498</v>
      </c>
    </row>
    <row r="522" spans="1:2">
      <c r="A522" s="16" t="s">
        <v>1285</v>
      </c>
      <c r="B522" s="16" t="s">
        <v>1286</v>
      </c>
    </row>
    <row r="523" spans="1:2">
      <c r="A523" s="16" t="s">
        <v>1287</v>
      </c>
      <c r="B523" s="16" t="s">
        <v>1288</v>
      </c>
    </row>
    <row r="524" spans="1:2">
      <c r="A524" s="16" t="s">
        <v>1289</v>
      </c>
      <c r="B524" s="16" t="s">
        <v>1290</v>
      </c>
    </row>
    <row r="525" spans="1:2">
      <c r="A525" s="16" t="s">
        <v>1291</v>
      </c>
      <c r="B525" s="16" t="s">
        <v>503</v>
      </c>
    </row>
    <row r="526" spans="1:2">
      <c r="A526" s="16" t="s">
        <v>1292</v>
      </c>
      <c r="B526" s="16" t="s">
        <v>503</v>
      </c>
    </row>
    <row r="527" spans="1:2">
      <c r="A527" s="16" t="s">
        <v>1293</v>
      </c>
      <c r="B527" s="16" t="s">
        <v>1294</v>
      </c>
    </row>
    <row r="528" spans="1:2">
      <c r="A528" s="16" t="s">
        <v>1295</v>
      </c>
      <c r="B528" s="16" t="s">
        <v>1296</v>
      </c>
    </row>
    <row r="529" spans="1:2">
      <c r="A529" s="16" t="s">
        <v>1297</v>
      </c>
      <c r="B529" s="16" t="s">
        <v>1298</v>
      </c>
    </row>
    <row r="530" spans="1:2">
      <c r="A530" s="16" t="s">
        <v>1299</v>
      </c>
      <c r="B530" s="16" t="s">
        <v>1300</v>
      </c>
    </row>
    <row r="531" spans="1:2">
      <c r="A531" s="16" t="s">
        <v>1301</v>
      </c>
      <c r="B531" s="16" t="s">
        <v>1302</v>
      </c>
    </row>
    <row r="532" spans="1:2">
      <c r="A532" s="16" t="s">
        <v>1303</v>
      </c>
      <c r="B532" s="16" t="s">
        <v>1304</v>
      </c>
    </row>
    <row r="533" spans="1:2">
      <c r="A533" s="16" t="s">
        <v>1305</v>
      </c>
      <c r="B533" s="16" t="s">
        <v>1300</v>
      </c>
    </row>
    <row r="534" spans="1:2">
      <c r="A534" s="16" t="s">
        <v>1306</v>
      </c>
      <c r="B534" s="16" t="s">
        <v>1307</v>
      </c>
    </row>
    <row r="535" spans="1:2">
      <c r="A535" s="16" t="s">
        <v>1308</v>
      </c>
      <c r="B535" s="16" t="s">
        <v>1309</v>
      </c>
    </row>
    <row r="536" spans="1:2">
      <c r="A536" s="16" t="s">
        <v>1310</v>
      </c>
      <c r="B536" s="16" t="s">
        <v>1311</v>
      </c>
    </row>
    <row r="537" spans="1:2">
      <c r="A537" s="16" t="s">
        <v>1312</v>
      </c>
      <c r="B537" s="16" t="s">
        <v>1313</v>
      </c>
    </row>
    <row r="538" spans="1:2">
      <c r="A538" s="16" t="s">
        <v>1314</v>
      </c>
      <c r="B538" s="16" t="s">
        <v>1315</v>
      </c>
    </row>
    <row r="539" spans="1:2">
      <c r="A539" s="16" t="s">
        <v>1316</v>
      </c>
      <c r="B539" s="16" t="s">
        <v>1317</v>
      </c>
    </row>
    <row r="540" spans="1:2">
      <c r="A540" s="16" t="s">
        <v>1318</v>
      </c>
      <c r="B540" s="16" t="s">
        <v>1319</v>
      </c>
    </row>
    <row r="541" spans="1:2">
      <c r="A541" s="16" t="s">
        <v>1320</v>
      </c>
      <c r="B541" s="16" t="s">
        <v>659</v>
      </c>
    </row>
    <row r="542" spans="1:2">
      <c r="A542" s="16" t="s">
        <v>1321</v>
      </c>
      <c r="B542" s="16" t="s">
        <v>1322</v>
      </c>
    </row>
    <row r="543" spans="1:2">
      <c r="A543" s="16" t="s">
        <v>1323</v>
      </c>
      <c r="B543" s="16" t="s">
        <v>1324</v>
      </c>
    </row>
    <row r="544" spans="1:2">
      <c r="A544" s="16" t="s">
        <v>1325</v>
      </c>
      <c r="B544" s="16" t="s">
        <v>1326</v>
      </c>
    </row>
    <row r="545" spans="1:2">
      <c r="A545" s="16" t="s">
        <v>1327</v>
      </c>
      <c r="B545" s="16" t="s">
        <v>1328</v>
      </c>
    </row>
    <row r="546" spans="1:2">
      <c r="A546" s="16" t="s">
        <v>1329</v>
      </c>
      <c r="B546" s="16" t="s">
        <v>1328</v>
      </c>
    </row>
    <row r="547" spans="1:2">
      <c r="A547" s="16" t="s">
        <v>1330</v>
      </c>
      <c r="B547" s="16" t="s">
        <v>1331</v>
      </c>
    </row>
    <row r="548" spans="1:2">
      <c r="A548" s="16" t="s">
        <v>1332</v>
      </c>
      <c r="B548" s="16" t="s">
        <v>1333</v>
      </c>
    </row>
    <row r="549" spans="1:2">
      <c r="A549" s="16" t="s">
        <v>1334</v>
      </c>
      <c r="B549" s="16" t="s">
        <v>1335</v>
      </c>
    </row>
    <row r="550" spans="1:2">
      <c r="A550" s="16" t="s">
        <v>1336</v>
      </c>
      <c r="B550" s="16" t="s">
        <v>1337</v>
      </c>
    </row>
    <row r="551" spans="1:2">
      <c r="A551" s="16" t="s">
        <v>1338</v>
      </c>
      <c r="B551" s="16" t="s">
        <v>1339</v>
      </c>
    </row>
    <row r="552" spans="1:2">
      <c r="A552" s="16" t="s">
        <v>1340</v>
      </c>
      <c r="B552" s="16" t="s">
        <v>1341</v>
      </c>
    </row>
    <row r="553" spans="1:2">
      <c r="A553" s="16" t="s">
        <v>1342</v>
      </c>
      <c r="B553" s="16" t="s">
        <v>1343</v>
      </c>
    </row>
    <row r="554" spans="1:2">
      <c r="A554" s="16" t="s">
        <v>1344</v>
      </c>
      <c r="B554" s="16" t="s">
        <v>1345</v>
      </c>
    </row>
    <row r="555" spans="1:2">
      <c r="A555" s="16" t="s">
        <v>1346</v>
      </c>
      <c r="B555" s="16" t="s">
        <v>1347</v>
      </c>
    </row>
    <row r="556" spans="1:2">
      <c r="A556" s="16" t="s">
        <v>1348</v>
      </c>
      <c r="B556" s="16" t="s">
        <v>1349</v>
      </c>
    </row>
    <row r="557" spans="1:2">
      <c r="A557" s="16" t="s">
        <v>1350</v>
      </c>
      <c r="B557" s="16" t="s">
        <v>1351</v>
      </c>
    </row>
    <row r="558" spans="1:2">
      <c r="A558" s="16" t="s">
        <v>1352</v>
      </c>
      <c r="B558" s="16" t="s">
        <v>1353</v>
      </c>
    </row>
    <row r="559" spans="1:2">
      <c r="A559" s="16" t="s">
        <v>1354</v>
      </c>
      <c r="B559" s="16" t="s">
        <v>1355</v>
      </c>
    </row>
    <row r="560" spans="1:2">
      <c r="A560" s="16" t="s">
        <v>1356</v>
      </c>
      <c r="B560" s="16" t="s">
        <v>1357</v>
      </c>
    </row>
    <row r="561" spans="1:2">
      <c r="A561" s="16" t="s">
        <v>1358</v>
      </c>
      <c r="B561" s="16" t="s">
        <v>1359</v>
      </c>
    </row>
    <row r="562" spans="1:2">
      <c r="A562" s="16" t="s">
        <v>1360</v>
      </c>
      <c r="B562" s="16" t="s">
        <v>1361</v>
      </c>
    </row>
    <row r="563" spans="1:2">
      <c r="A563" s="16" t="s">
        <v>1362</v>
      </c>
      <c r="B563" s="16" t="s">
        <v>1363</v>
      </c>
    </row>
    <row r="564" spans="1:2">
      <c r="A564" s="16" t="s">
        <v>1364</v>
      </c>
      <c r="B564" s="16" t="s">
        <v>1365</v>
      </c>
    </row>
    <row r="565" spans="1:2">
      <c r="A565" s="16" t="s">
        <v>1366</v>
      </c>
      <c r="B565" s="16" t="s">
        <v>1367</v>
      </c>
    </row>
    <row r="566" spans="1:2">
      <c r="A566" s="16" t="s">
        <v>1368</v>
      </c>
      <c r="B566" s="16" t="s">
        <v>1369</v>
      </c>
    </row>
    <row r="567" spans="1:2">
      <c r="A567" s="16" t="s">
        <v>1370</v>
      </c>
      <c r="B567" s="16" t="s">
        <v>1371</v>
      </c>
    </row>
    <row r="568" spans="1:2">
      <c r="A568" s="16" t="s">
        <v>1372</v>
      </c>
      <c r="B568" s="16" t="s">
        <v>1373</v>
      </c>
    </row>
    <row r="569" spans="1:2">
      <c r="A569" s="16" t="s">
        <v>1374</v>
      </c>
      <c r="B569" s="16" t="s">
        <v>1375</v>
      </c>
    </row>
    <row r="570" spans="1:2">
      <c r="A570" s="16" t="s">
        <v>1376</v>
      </c>
      <c r="B570" s="16" t="s">
        <v>1377</v>
      </c>
    </row>
    <row r="571" spans="1:2">
      <c r="A571" s="16" t="s">
        <v>1378</v>
      </c>
      <c r="B571" s="16" t="s">
        <v>1379</v>
      </c>
    </row>
    <row r="572" spans="1:2">
      <c r="A572" s="16" t="s">
        <v>1380</v>
      </c>
      <c r="B572" s="16" t="s">
        <v>1381</v>
      </c>
    </row>
    <row r="573" spans="1:2">
      <c r="A573" s="16" t="s">
        <v>1382</v>
      </c>
      <c r="B573" s="16" t="s">
        <v>1383</v>
      </c>
    </row>
    <row r="574" spans="1:2">
      <c r="A574" s="16" t="s">
        <v>1384</v>
      </c>
      <c r="B574" s="16" t="s">
        <v>1385</v>
      </c>
    </row>
    <row r="575" spans="1:2">
      <c r="A575" s="16" t="s">
        <v>1386</v>
      </c>
      <c r="B575" s="16" t="s">
        <v>1387</v>
      </c>
    </row>
    <row r="576" spans="1:2">
      <c r="A576" s="16" t="s">
        <v>1388</v>
      </c>
      <c r="B576" s="16" t="s">
        <v>690</v>
      </c>
    </row>
    <row r="577" spans="1:2">
      <c r="A577" s="16" t="s">
        <v>1389</v>
      </c>
      <c r="B577" s="16" t="s">
        <v>1390</v>
      </c>
    </row>
    <row r="578" spans="1:2">
      <c r="A578" s="16" t="s">
        <v>1391</v>
      </c>
      <c r="B578" s="16" t="s">
        <v>1392</v>
      </c>
    </row>
    <row r="579" spans="1:2">
      <c r="A579" s="16" t="s">
        <v>1393</v>
      </c>
      <c r="B579" s="16" t="s">
        <v>1394</v>
      </c>
    </row>
    <row r="580" spans="1:2">
      <c r="A580" s="16" t="s">
        <v>1395</v>
      </c>
      <c r="B580" s="16" t="s">
        <v>1396</v>
      </c>
    </row>
    <row r="581" spans="1:2">
      <c r="A581" s="16" t="s">
        <v>1397</v>
      </c>
      <c r="B581" s="16" t="s">
        <v>1398</v>
      </c>
    </row>
    <row r="582" spans="1:2">
      <c r="A582" s="16" t="s">
        <v>1399</v>
      </c>
      <c r="B582" s="16" t="s">
        <v>1400</v>
      </c>
    </row>
    <row r="583" spans="1:2">
      <c r="A583" s="16" t="s">
        <v>1401</v>
      </c>
      <c r="B583" s="16" t="s">
        <v>1402</v>
      </c>
    </row>
    <row r="584" spans="1:2">
      <c r="A584" s="16" t="s">
        <v>1403</v>
      </c>
      <c r="B584" s="16" t="s">
        <v>1404</v>
      </c>
    </row>
    <row r="585" spans="1:2">
      <c r="A585" s="16" t="s">
        <v>1405</v>
      </c>
      <c r="B585" s="16" t="s">
        <v>1406</v>
      </c>
    </row>
    <row r="586" spans="1:2">
      <c r="A586" s="16" t="s">
        <v>1407</v>
      </c>
      <c r="B586" s="16" t="s">
        <v>1408</v>
      </c>
    </row>
    <row r="587" spans="1:2">
      <c r="A587" s="16" t="s">
        <v>1409</v>
      </c>
      <c r="B587" s="16" t="s">
        <v>1410</v>
      </c>
    </row>
    <row r="588" spans="1:2">
      <c r="A588" s="16" t="s">
        <v>1411</v>
      </c>
      <c r="B588" s="16" t="s">
        <v>1412</v>
      </c>
    </row>
    <row r="589" spans="1:2">
      <c r="A589" s="16" t="s">
        <v>1413</v>
      </c>
      <c r="B589" s="16" t="s">
        <v>1414</v>
      </c>
    </row>
    <row r="590" spans="1:2">
      <c r="A590" s="16" t="s">
        <v>1415</v>
      </c>
      <c r="B590" s="16" t="s">
        <v>1416</v>
      </c>
    </row>
    <row r="591" spans="1:2">
      <c r="A591" s="16" t="s">
        <v>1417</v>
      </c>
      <c r="B591" s="16" t="s">
        <v>1418</v>
      </c>
    </row>
    <row r="592" spans="1:2">
      <c r="A592" s="16" t="s">
        <v>1419</v>
      </c>
      <c r="B592" s="16" t="s">
        <v>1420</v>
      </c>
    </row>
    <row r="593" spans="1:2">
      <c r="A593" s="16" t="s">
        <v>1421</v>
      </c>
      <c r="B593" s="16" t="s">
        <v>1422</v>
      </c>
    </row>
    <row r="594" spans="1:2">
      <c r="A594" s="16" t="s">
        <v>1423</v>
      </c>
      <c r="B594" s="16" t="s">
        <v>1424</v>
      </c>
    </row>
    <row r="595" spans="1:2">
      <c r="A595" s="16" t="s">
        <v>1425</v>
      </c>
      <c r="B595" s="16" t="s">
        <v>1426</v>
      </c>
    </row>
    <row r="596" spans="1:2">
      <c r="A596" s="16" t="s">
        <v>1427</v>
      </c>
      <c r="B596" s="16" t="s">
        <v>1428</v>
      </c>
    </row>
    <row r="597" spans="1:2">
      <c r="A597" s="16" t="s">
        <v>1429</v>
      </c>
      <c r="B597" s="16" t="s">
        <v>1430</v>
      </c>
    </row>
    <row r="598" spans="1:2">
      <c r="A598" s="16" t="s">
        <v>1431</v>
      </c>
      <c r="B598" s="16" t="s">
        <v>1432</v>
      </c>
    </row>
    <row r="599" spans="1:2">
      <c r="A599" s="16" t="s">
        <v>1433</v>
      </c>
      <c r="B599" s="16" t="s">
        <v>1434</v>
      </c>
    </row>
    <row r="600" spans="1:2">
      <c r="A600" s="16" t="s">
        <v>1435</v>
      </c>
      <c r="B600" s="16" t="s">
        <v>1436</v>
      </c>
    </row>
    <row r="601" spans="1:2">
      <c r="A601" s="16" t="s">
        <v>1437</v>
      </c>
      <c r="B601" s="16" t="s">
        <v>1438</v>
      </c>
    </row>
    <row r="602" spans="1:2">
      <c r="A602" s="16" t="s">
        <v>1439</v>
      </c>
      <c r="B602" s="16" t="s">
        <v>1440</v>
      </c>
    </row>
    <row r="603" spans="1:2">
      <c r="A603" s="16" t="s">
        <v>1441</v>
      </c>
      <c r="B603" s="16" t="s">
        <v>1442</v>
      </c>
    </row>
    <row r="604" spans="1:2">
      <c r="A604" s="16" t="s">
        <v>1443</v>
      </c>
      <c r="B604" s="16" t="s">
        <v>1444</v>
      </c>
    </row>
    <row r="605" spans="1:2">
      <c r="A605" s="16" t="s">
        <v>1445</v>
      </c>
      <c r="B605" s="16" t="s">
        <v>1446</v>
      </c>
    </row>
    <row r="606" spans="1:2">
      <c r="A606" s="16" t="s">
        <v>1447</v>
      </c>
      <c r="B606" s="16" t="s">
        <v>1448</v>
      </c>
    </row>
    <row r="607" spans="1:2">
      <c r="A607" s="16" t="s">
        <v>1449</v>
      </c>
      <c r="B607" s="16" t="s">
        <v>1450</v>
      </c>
    </row>
    <row r="608" spans="1:2">
      <c r="A608" s="16" t="s">
        <v>1451</v>
      </c>
      <c r="B608" s="16" t="s">
        <v>1452</v>
      </c>
    </row>
    <row r="609" spans="1:2">
      <c r="A609" s="16" t="s">
        <v>1453</v>
      </c>
      <c r="B609" s="16" t="s">
        <v>1454</v>
      </c>
    </row>
    <row r="610" spans="1:2">
      <c r="A610" s="16" t="s">
        <v>1455</v>
      </c>
      <c r="B610" s="16" t="s">
        <v>1456</v>
      </c>
    </row>
    <row r="611" spans="1:2">
      <c r="A611" s="16" t="s">
        <v>1457</v>
      </c>
      <c r="B611" s="16" t="s">
        <v>1458</v>
      </c>
    </row>
    <row r="612" spans="1:2">
      <c r="A612" s="16" t="s">
        <v>1459</v>
      </c>
      <c r="B612" s="16" t="s">
        <v>1460</v>
      </c>
    </row>
    <row r="613" spans="1:2">
      <c r="A613" s="16" t="s">
        <v>1461</v>
      </c>
      <c r="B613" s="16" t="s">
        <v>1462</v>
      </c>
    </row>
    <row r="614" spans="1:2">
      <c r="A614" s="16" t="s">
        <v>1463</v>
      </c>
      <c r="B614" s="16" t="s">
        <v>1464</v>
      </c>
    </row>
    <row r="615" spans="1:2">
      <c r="A615" s="16" t="s">
        <v>1465</v>
      </c>
      <c r="B615" s="16" t="s">
        <v>1466</v>
      </c>
    </row>
    <row r="616" spans="1:2">
      <c r="A616" s="16" t="s">
        <v>1467</v>
      </c>
      <c r="B616" s="16" t="s">
        <v>1468</v>
      </c>
    </row>
    <row r="617" spans="1:2">
      <c r="A617" s="16" t="s">
        <v>1469</v>
      </c>
      <c r="B617" s="16" t="s">
        <v>1470</v>
      </c>
    </row>
    <row r="618" spans="1:2">
      <c r="A618" s="16" t="s">
        <v>1471</v>
      </c>
      <c r="B618" s="16" t="s">
        <v>1472</v>
      </c>
    </row>
    <row r="619" spans="1:2">
      <c r="A619" s="16" t="s">
        <v>1473</v>
      </c>
      <c r="B619" s="16" t="s">
        <v>1474</v>
      </c>
    </row>
    <row r="620" spans="1:2">
      <c r="A620" s="16" t="s">
        <v>1475</v>
      </c>
      <c r="B620" s="16" t="s">
        <v>1476</v>
      </c>
    </row>
    <row r="621" spans="1:2">
      <c r="A621" s="16" t="s">
        <v>1477</v>
      </c>
      <c r="B621" s="16" t="s">
        <v>1478</v>
      </c>
    </row>
    <row r="622" spans="1:2">
      <c r="A622" s="16" t="s">
        <v>1479</v>
      </c>
      <c r="B622" s="16" t="s">
        <v>1480</v>
      </c>
    </row>
    <row r="623" spans="1:2">
      <c r="A623" s="16" t="s">
        <v>1481</v>
      </c>
      <c r="B623" s="16" t="s">
        <v>1482</v>
      </c>
    </row>
    <row r="624" spans="1:2">
      <c r="A624" s="16" t="s">
        <v>1483</v>
      </c>
      <c r="B624" s="16" t="s">
        <v>1484</v>
      </c>
    </row>
    <row r="625" spans="1:2">
      <c r="A625" s="16" t="s">
        <v>1485</v>
      </c>
      <c r="B625" s="16" t="s">
        <v>1486</v>
      </c>
    </row>
    <row r="626" spans="1:2">
      <c r="A626" s="16" t="s">
        <v>1487</v>
      </c>
      <c r="B626" s="16" t="s">
        <v>1488</v>
      </c>
    </row>
    <row r="627" spans="1:2">
      <c r="A627" s="16" t="s">
        <v>1489</v>
      </c>
      <c r="B627" s="16" t="s">
        <v>1490</v>
      </c>
    </row>
    <row r="628" spans="1:2">
      <c r="A628" s="16" t="s">
        <v>1491</v>
      </c>
      <c r="B628" s="16" t="s">
        <v>1492</v>
      </c>
    </row>
    <row r="629" spans="1:2">
      <c r="A629" s="16" t="s">
        <v>1493</v>
      </c>
      <c r="B629" s="16" t="s">
        <v>1494</v>
      </c>
    </row>
    <row r="630" spans="1:2">
      <c r="A630" s="16" t="s">
        <v>1495</v>
      </c>
      <c r="B630" s="16" t="s">
        <v>1496</v>
      </c>
    </row>
    <row r="631" spans="1:2">
      <c r="A631" s="16" t="s">
        <v>1497</v>
      </c>
      <c r="B631" s="16" t="s">
        <v>1498</v>
      </c>
    </row>
    <row r="632" spans="1:2">
      <c r="A632" s="16" t="s">
        <v>1499</v>
      </c>
      <c r="B632" s="16" t="s">
        <v>1500</v>
      </c>
    </row>
    <row r="633" spans="1:2">
      <c r="A633" s="16" t="s">
        <v>1501</v>
      </c>
      <c r="B633" s="16" t="s">
        <v>1502</v>
      </c>
    </row>
    <row r="634" spans="1:2">
      <c r="A634" s="16" t="s">
        <v>1503</v>
      </c>
      <c r="B634" s="16" t="s">
        <v>1504</v>
      </c>
    </row>
    <row r="635" spans="1:2">
      <c r="A635" s="16" t="s">
        <v>1505</v>
      </c>
      <c r="B635" s="16" t="s">
        <v>708</v>
      </c>
    </row>
    <row r="636" spans="1:2">
      <c r="A636" s="16" t="s">
        <v>1506</v>
      </c>
      <c r="B636" s="16" t="s">
        <v>1507</v>
      </c>
    </row>
    <row r="637" spans="1:2">
      <c r="A637" s="16" t="s">
        <v>1508</v>
      </c>
      <c r="B637" s="16" t="s">
        <v>1509</v>
      </c>
    </row>
    <row r="638" spans="1:2">
      <c r="A638" s="16" t="s">
        <v>1510</v>
      </c>
      <c r="B638" s="16" t="s">
        <v>1511</v>
      </c>
    </row>
    <row r="639" spans="1:2">
      <c r="A639" s="16" t="s">
        <v>1512</v>
      </c>
      <c r="B639" s="16" t="s">
        <v>1513</v>
      </c>
    </row>
    <row r="640" spans="1:2">
      <c r="A640" s="16" t="s">
        <v>1514</v>
      </c>
      <c r="B640" s="16" t="s">
        <v>1515</v>
      </c>
    </row>
    <row r="641" spans="1:2">
      <c r="A641" s="16" t="s">
        <v>1516</v>
      </c>
      <c r="B641" s="16" t="s">
        <v>1517</v>
      </c>
    </row>
    <row r="642" spans="1:2">
      <c r="A642" s="16" t="s">
        <v>1518</v>
      </c>
      <c r="B642" s="16" t="s">
        <v>710</v>
      </c>
    </row>
    <row r="643" spans="1:2">
      <c r="A643" s="16" t="s">
        <v>1519</v>
      </c>
      <c r="B643" s="16" t="s">
        <v>1520</v>
      </c>
    </row>
    <row r="644" spans="1:2">
      <c r="A644" s="16" t="s">
        <v>1521</v>
      </c>
      <c r="B644" s="16" t="s">
        <v>1522</v>
      </c>
    </row>
    <row r="645" spans="1:2">
      <c r="A645" s="16" t="s">
        <v>1523</v>
      </c>
      <c r="B645" s="16" t="s">
        <v>1524</v>
      </c>
    </row>
    <row r="646" spans="1:2">
      <c r="A646" s="16" t="s">
        <v>1525</v>
      </c>
      <c r="B646" s="16" t="s">
        <v>1526</v>
      </c>
    </row>
    <row r="647" spans="1:2">
      <c r="A647" s="16" t="s">
        <v>1527</v>
      </c>
      <c r="B647" s="16" t="s">
        <v>1528</v>
      </c>
    </row>
    <row r="648" spans="1:2">
      <c r="A648" s="16" t="s">
        <v>1529</v>
      </c>
      <c r="B648" s="16" t="s">
        <v>1530</v>
      </c>
    </row>
    <row r="649" spans="1:2">
      <c r="A649" s="16" t="s">
        <v>1531</v>
      </c>
      <c r="B649" s="16" t="s">
        <v>1532</v>
      </c>
    </row>
    <row r="650" spans="1:2">
      <c r="A650" s="16" t="s">
        <v>1533</v>
      </c>
      <c r="B650" s="16" t="s">
        <v>1534</v>
      </c>
    </row>
    <row r="651" spans="1:2">
      <c r="A651" s="16" t="s">
        <v>1535</v>
      </c>
      <c r="B651" s="16" t="s">
        <v>1536</v>
      </c>
    </row>
    <row r="652" spans="1:2">
      <c r="A652" s="16" t="s">
        <v>1537</v>
      </c>
      <c r="B652" s="16" t="s">
        <v>1538</v>
      </c>
    </row>
    <row r="653" spans="1:2">
      <c r="A653" s="16" t="s">
        <v>1539</v>
      </c>
      <c r="B653" s="16" t="s">
        <v>1540</v>
      </c>
    </row>
    <row r="654" spans="1:2">
      <c r="A654" s="16" t="s">
        <v>1541</v>
      </c>
      <c r="B654" s="16" t="s">
        <v>1542</v>
      </c>
    </row>
    <row r="655" spans="1:2">
      <c r="A655" s="16" t="s">
        <v>1543</v>
      </c>
      <c r="B655" s="16" t="s">
        <v>1544</v>
      </c>
    </row>
    <row r="656" spans="1:2">
      <c r="A656" s="16" t="s">
        <v>1545</v>
      </c>
      <c r="B656" s="16" t="s">
        <v>1546</v>
      </c>
    </row>
    <row r="657" spans="1:2">
      <c r="A657" s="16" t="s">
        <v>1547</v>
      </c>
      <c r="B657" s="16" t="s">
        <v>1548</v>
      </c>
    </row>
    <row r="658" spans="1:2">
      <c r="A658" s="16" t="s">
        <v>1549</v>
      </c>
      <c r="B658" s="16" t="s">
        <v>1550</v>
      </c>
    </row>
    <row r="659" spans="1:2">
      <c r="A659" s="16" t="s">
        <v>1551</v>
      </c>
      <c r="B659" s="16" t="s">
        <v>1552</v>
      </c>
    </row>
    <row r="660" spans="1:2">
      <c r="A660" s="16" t="s">
        <v>1553</v>
      </c>
      <c r="B660" s="16" t="s">
        <v>1554</v>
      </c>
    </row>
    <row r="661" spans="1:2">
      <c r="A661" s="16" t="s">
        <v>1555</v>
      </c>
      <c r="B661" s="16" t="s">
        <v>1556</v>
      </c>
    </row>
    <row r="662" spans="1:2">
      <c r="A662" s="16" t="s">
        <v>1557</v>
      </c>
      <c r="B662" s="16" t="s">
        <v>1558</v>
      </c>
    </row>
    <row r="663" spans="1:2">
      <c r="A663" s="16" t="s">
        <v>1559</v>
      </c>
      <c r="B663" s="16" t="s">
        <v>1560</v>
      </c>
    </row>
    <row r="664" spans="1:2">
      <c r="A664" s="16" t="s">
        <v>1561</v>
      </c>
      <c r="B664" s="16" t="s">
        <v>1562</v>
      </c>
    </row>
    <row r="665" spans="1:2">
      <c r="A665" s="16" t="s">
        <v>1563</v>
      </c>
      <c r="B665" s="16" t="s">
        <v>1564</v>
      </c>
    </row>
    <row r="666" spans="1:2">
      <c r="A666" s="16" t="s">
        <v>1565</v>
      </c>
      <c r="B666" s="16" t="s">
        <v>1566</v>
      </c>
    </row>
    <row r="667" spans="1:2">
      <c r="A667" s="16" t="s">
        <v>1567</v>
      </c>
      <c r="B667" s="16" t="s">
        <v>1568</v>
      </c>
    </row>
    <row r="668" spans="1:2">
      <c r="A668" s="16" t="s">
        <v>1569</v>
      </c>
      <c r="B668" s="16" t="s">
        <v>1570</v>
      </c>
    </row>
    <row r="669" spans="1:2">
      <c r="A669" s="16" t="s">
        <v>1571</v>
      </c>
      <c r="B669" s="16" t="s">
        <v>1572</v>
      </c>
    </row>
    <row r="670" spans="1:2">
      <c r="A670" s="16" t="s">
        <v>1573</v>
      </c>
      <c r="B670" s="16" t="s">
        <v>1574</v>
      </c>
    </row>
    <row r="671" spans="1:2">
      <c r="A671" s="16" t="s">
        <v>1575</v>
      </c>
      <c r="B671" s="16" t="s">
        <v>1576</v>
      </c>
    </row>
    <row r="672" spans="1:2">
      <c r="A672" s="16" t="s">
        <v>1577</v>
      </c>
      <c r="B672" s="16" t="s">
        <v>1578</v>
      </c>
    </row>
    <row r="673" spans="1:2">
      <c r="A673" s="16" t="s">
        <v>1579</v>
      </c>
      <c r="B673" s="16" t="s">
        <v>1580</v>
      </c>
    </row>
    <row r="674" spans="1:2">
      <c r="A674" s="16" t="s">
        <v>1581</v>
      </c>
      <c r="B674" s="16" t="s">
        <v>1582</v>
      </c>
    </row>
    <row r="675" spans="1:2">
      <c r="A675" s="16" t="s">
        <v>1583</v>
      </c>
      <c r="B675" s="16" t="s">
        <v>1584</v>
      </c>
    </row>
    <row r="676" spans="1:2">
      <c r="A676" s="16" t="s">
        <v>1585</v>
      </c>
      <c r="B676" s="16" t="s">
        <v>1586</v>
      </c>
    </row>
    <row r="677" spans="1:2">
      <c r="A677" s="16" t="s">
        <v>1587</v>
      </c>
      <c r="B677" s="16" t="s">
        <v>1588</v>
      </c>
    </row>
    <row r="678" spans="1:2">
      <c r="A678" s="16" t="s">
        <v>1589</v>
      </c>
      <c r="B678" s="16" t="s">
        <v>996</v>
      </c>
    </row>
    <row r="679" spans="1:2">
      <c r="A679" s="16" t="s">
        <v>1590</v>
      </c>
      <c r="B679" s="16" t="s">
        <v>1591</v>
      </c>
    </row>
    <row r="680" spans="1:2">
      <c r="A680" s="16" t="s">
        <v>1592</v>
      </c>
      <c r="B680" s="16" t="s">
        <v>1593</v>
      </c>
    </row>
    <row r="681" spans="1:2">
      <c r="A681" s="16" t="s">
        <v>1594</v>
      </c>
      <c r="B681" s="16" t="s">
        <v>1595</v>
      </c>
    </row>
    <row r="682" spans="1:2">
      <c r="A682" s="16" t="s">
        <v>1596</v>
      </c>
      <c r="B682" s="16" t="s">
        <v>1597</v>
      </c>
    </row>
    <row r="683" spans="1:2">
      <c r="A683" s="16" t="s">
        <v>1598</v>
      </c>
      <c r="B683" s="16" t="s">
        <v>1599</v>
      </c>
    </row>
    <row r="684" spans="1:2">
      <c r="A684" s="16" t="s">
        <v>1600</v>
      </c>
      <c r="B684" s="16" t="s">
        <v>1601</v>
      </c>
    </row>
    <row r="685" spans="1:2">
      <c r="A685" s="16" t="s">
        <v>1602</v>
      </c>
      <c r="B685" s="16" t="s">
        <v>1603</v>
      </c>
    </row>
    <row r="686" spans="1:2">
      <c r="A686" s="16" t="s">
        <v>1604</v>
      </c>
      <c r="B686" s="16" t="s">
        <v>969</v>
      </c>
    </row>
    <row r="687" spans="1:2">
      <c r="A687" s="16" t="s">
        <v>1605</v>
      </c>
      <c r="B687" s="16" t="s">
        <v>1603</v>
      </c>
    </row>
    <row r="688" spans="1:2">
      <c r="A688" s="16" t="s">
        <v>1606</v>
      </c>
      <c r="B688" s="16" t="s">
        <v>805</v>
      </c>
    </row>
    <row r="689" spans="1:2">
      <c r="A689" s="16" t="s">
        <v>1607</v>
      </c>
      <c r="B689" s="16" t="s">
        <v>1608</v>
      </c>
    </row>
    <row r="690" spans="1:2">
      <c r="A690" s="16" t="s">
        <v>1609</v>
      </c>
      <c r="B690" s="16" t="s">
        <v>1610</v>
      </c>
    </row>
    <row r="691" spans="1:2">
      <c r="A691" s="16" t="s">
        <v>1611</v>
      </c>
      <c r="B691" s="16" t="s">
        <v>1612</v>
      </c>
    </row>
    <row r="692" spans="1:2">
      <c r="A692" s="16" t="s">
        <v>1613</v>
      </c>
      <c r="B692" s="16" t="s">
        <v>1614</v>
      </c>
    </row>
    <row r="693" spans="1:2">
      <c r="A693" s="16" t="s">
        <v>1615</v>
      </c>
      <c r="B693" s="16" t="s">
        <v>1616</v>
      </c>
    </row>
    <row r="694" spans="1:2">
      <c r="A694" s="16" t="s">
        <v>1617</v>
      </c>
      <c r="B694" s="16" t="s">
        <v>1618</v>
      </c>
    </row>
    <row r="695" spans="1:2">
      <c r="A695" s="16" t="s">
        <v>1619</v>
      </c>
      <c r="B695" s="16" t="s">
        <v>1620</v>
      </c>
    </row>
    <row r="696" spans="1:2">
      <c r="A696" s="16" t="s">
        <v>1621</v>
      </c>
      <c r="B696" s="16" t="s">
        <v>1622</v>
      </c>
    </row>
    <row r="697" spans="1:2">
      <c r="A697" s="16" t="s">
        <v>1623</v>
      </c>
      <c r="B697" s="16" t="s">
        <v>1624</v>
      </c>
    </row>
    <row r="698" spans="1:2">
      <c r="A698" s="16" t="s">
        <v>1625</v>
      </c>
      <c r="B698" s="16" t="s">
        <v>1626</v>
      </c>
    </row>
    <row r="699" spans="1:2">
      <c r="A699" s="16" t="s">
        <v>1627</v>
      </c>
      <c r="B699" s="16" t="s">
        <v>1628</v>
      </c>
    </row>
    <row r="700" spans="1:2">
      <c r="A700" s="16" t="s">
        <v>1629</v>
      </c>
      <c r="B700" s="16" t="s">
        <v>1630</v>
      </c>
    </row>
    <row r="701" spans="1:2">
      <c r="A701" s="16" t="s">
        <v>1631</v>
      </c>
      <c r="B701" s="16" t="s">
        <v>1632</v>
      </c>
    </row>
    <row r="702" spans="1:2">
      <c r="A702" s="16" t="s">
        <v>1633</v>
      </c>
      <c r="B702" s="16" t="s">
        <v>1634</v>
      </c>
    </row>
    <row r="703" spans="1:2">
      <c r="A703" s="16" t="s">
        <v>1635</v>
      </c>
      <c r="B703" s="16" t="s">
        <v>1636</v>
      </c>
    </row>
    <row r="704" spans="1:2">
      <c r="A704" s="16" t="s">
        <v>1637</v>
      </c>
      <c r="B704" s="16" t="s">
        <v>1638</v>
      </c>
    </row>
    <row r="705" spans="1:2">
      <c r="A705" s="16" t="s">
        <v>1639</v>
      </c>
      <c r="B705" s="16" t="s">
        <v>1640</v>
      </c>
    </row>
    <row r="706" spans="1:2">
      <c r="A706" s="16" t="s">
        <v>1641</v>
      </c>
      <c r="B706" s="16" t="s">
        <v>1642</v>
      </c>
    </row>
    <row r="707" spans="1:2">
      <c r="A707" s="16" t="s">
        <v>1643</v>
      </c>
      <c r="B707" s="16" t="s">
        <v>1644</v>
      </c>
    </row>
    <row r="708" spans="1:2">
      <c r="A708" s="16" t="s">
        <v>1645</v>
      </c>
      <c r="B708" s="16" t="s">
        <v>1646</v>
      </c>
    </row>
    <row r="709" spans="1:2">
      <c r="A709" s="16" t="s">
        <v>1647</v>
      </c>
      <c r="B709" s="16" t="s">
        <v>1648</v>
      </c>
    </row>
    <row r="710" spans="1:2">
      <c r="A710" s="16" t="s">
        <v>1649</v>
      </c>
      <c r="B710" s="16" t="s">
        <v>1650</v>
      </c>
    </row>
    <row r="711" spans="1:2">
      <c r="A711" s="16" t="s">
        <v>1651</v>
      </c>
      <c r="B711" s="16" t="s">
        <v>1652</v>
      </c>
    </row>
    <row r="712" spans="1:2">
      <c r="A712" s="16" t="s">
        <v>1653</v>
      </c>
      <c r="B712" s="16" t="s">
        <v>1654</v>
      </c>
    </row>
    <row r="713" spans="1:2">
      <c r="A713" s="16" t="s">
        <v>1655</v>
      </c>
      <c r="B713" s="16" t="s">
        <v>1656</v>
      </c>
    </row>
    <row r="714" spans="1:2">
      <c r="A714" s="16" t="s">
        <v>1657</v>
      </c>
      <c r="B714" s="16" t="s">
        <v>1658</v>
      </c>
    </row>
    <row r="715" spans="1:2">
      <c r="A715" s="16" t="s">
        <v>1659</v>
      </c>
      <c r="B715" s="16" t="s">
        <v>1660</v>
      </c>
    </row>
    <row r="716" spans="1:2">
      <c r="A716" s="16" t="s">
        <v>1661</v>
      </c>
      <c r="B716" s="16" t="s">
        <v>1662</v>
      </c>
    </row>
    <row r="717" spans="1:2">
      <c r="A717" s="16" t="s">
        <v>1663</v>
      </c>
      <c r="B717" s="16" t="s">
        <v>787</v>
      </c>
    </row>
    <row r="718" spans="1:2">
      <c r="A718" s="16" t="s">
        <v>1664</v>
      </c>
      <c r="B718" s="16" t="s">
        <v>1665</v>
      </c>
    </row>
    <row r="719" spans="1:2">
      <c r="A719" s="16" t="s">
        <v>1666</v>
      </c>
      <c r="B719" s="16" t="s">
        <v>1667</v>
      </c>
    </row>
    <row r="720" spans="1:2">
      <c r="A720" s="16" t="s">
        <v>1668</v>
      </c>
      <c r="B720" s="16" t="s">
        <v>1669</v>
      </c>
    </row>
    <row r="721" spans="1:2">
      <c r="A721" s="16" t="s">
        <v>1670</v>
      </c>
      <c r="B721" s="16" t="s">
        <v>1671</v>
      </c>
    </row>
    <row r="722" spans="1:2">
      <c r="A722" s="16" t="s">
        <v>1672</v>
      </c>
      <c r="B722" s="16" t="s">
        <v>1673</v>
      </c>
    </row>
    <row r="723" spans="1:2">
      <c r="A723" s="16" t="s">
        <v>1674</v>
      </c>
      <c r="B723" s="16" t="s">
        <v>1675</v>
      </c>
    </row>
    <row r="724" spans="1:2">
      <c r="A724" s="16" t="s">
        <v>1676</v>
      </c>
      <c r="B724" s="16" t="s">
        <v>1677</v>
      </c>
    </row>
    <row r="725" spans="1:2">
      <c r="A725" s="16" t="s">
        <v>1678</v>
      </c>
      <c r="B725" s="16" t="s">
        <v>1679</v>
      </c>
    </row>
    <row r="726" spans="1:2">
      <c r="A726" s="16" t="s">
        <v>1680</v>
      </c>
      <c r="B726" s="16" t="s">
        <v>1681</v>
      </c>
    </row>
    <row r="727" spans="1:2">
      <c r="A727" s="16" t="s">
        <v>1682</v>
      </c>
      <c r="B727" s="16" t="s">
        <v>1683</v>
      </c>
    </row>
    <row r="728" spans="1:2">
      <c r="A728" s="16" t="s">
        <v>1684</v>
      </c>
      <c r="B728" s="16" t="s">
        <v>1685</v>
      </c>
    </row>
    <row r="729" spans="1:2">
      <c r="A729" s="16" t="s">
        <v>1686</v>
      </c>
      <c r="B729" s="16" t="s">
        <v>1687</v>
      </c>
    </row>
    <row r="730" spans="1:2">
      <c r="A730" s="16" t="s">
        <v>1688</v>
      </c>
      <c r="B730" s="16" t="s">
        <v>1689</v>
      </c>
    </row>
    <row r="731" spans="1:2">
      <c r="A731" s="16" t="s">
        <v>1690</v>
      </c>
      <c r="B731" s="16" t="s">
        <v>1691</v>
      </c>
    </row>
    <row r="732" spans="1:2">
      <c r="A732" s="16" t="s">
        <v>1692</v>
      </c>
      <c r="B732" s="16" t="s">
        <v>1693</v>
      </c>
    </row>
    <row r="733" spans="1:2">
      <c r="A733" s="16" t="s">
        <v>1694</v>
      </c>
      <c r="B733" s="16" t="s">
        <v>1695</v>
      </c>
    </row>
    <row r="734" spans="1:2">
      <c r="A734" s="16" t="s">
        <v>1696</v>
      </c>
      <c r="B734" s="16" t="s">
        <v>1697</v>
      </c>
    </row>
    <row r="735" spans="1:2">
      <c r="A735" s="16" t="s">
        <v>1698</v>
      </c>
      <c r="B735" s="16" t="s">
        <v>1699</v>
      </c>
    </row>
    <row r="736" spans="1:2">
      <c r="A736" s="16" t="s">
        <v>1700</v>
      </c>
      <c r="B736" s="16" t="s">
        <v>1701</v>
      </c>
    </row>
    <row r="737" spans="1:2">
      <c r="A737" s="16" t="s">
        <v>1702</v>
      </c>
      <c r="B737" s="16" t="s">
        <v>1703</v>
      </c>
    </row>
    <row r="738" spans="1:2">
      <c r="A738" s="16" t="s">
        <v>1704</v>
      </c>
      <c r="B738" s="16" t="s">
        <v>1705</v>
      </c>
    </row>
    <row r="739" spans="1:2">
      <c r="A739" s="16" t="s">
        <v>1706</v>
      </c>
      <c r="B739" s="16" t="s">
        <v>1707</v>
      </c>
    </row>
    <row r="740" spans="1:2">
      <c r="A740" s="16" t="s">
        <v>1708</v>
      </c>
      <c r="B740" s="16" t="s">
        <v>1709</v>
      </c>
    </row>
    <row r="741" spans="1:2">
      <c r="A741" s="16" t="s">
        <v>1710</v>
      </c>
      <c r="B741" s="16" t="s">
        <v>1711</v>
      </c>
    </row>
    <row r="742" spans="1:2">
      <c r="A742" s="16" t="s">
        <v>1712</v>
      </c>
      <c r="B742" s="16" t="s">
        <v>1713</v>
      </c>
    </row>
    <row r="743" spans="1:2">
      <c r="A743" s="16" t="s">
        <v>1714</v>
      </c>
      <c r="B743" s="16" t="s">
        <v>1715</v>
      </c>
    </row>
    <row r="744" spans="1:2">
      <c r="A744" s="16" t="s">
        <v>1716</v>
      </c>
      <c r="B744" s="16" t="s">
        <v>1717</v>
      </c>
    </row>
    <row r="745" spans="1:2">
      <c r="A745" s="16" t="s">
        <v>1718</v>
      </c>
      <c r="B745" s="16" t="s">
        <v>1719</v>
      </c>
    </row>
    <row r="746" spans="1:2">
      <c r="A746" s="16" t="s">
        <v>1720</v>
      </c>
      <c r="B746" s="16" t="s">
        <v>1721</v>
      </c>
    </row>
    <row r="747" spans="1:2">
      <c r="A747" s="16" t="s">
        <v>1722</v>
      </c>
      <c r="B747" s="16" t="s">
        <v>1723</v>
      </c>
    </row>
    <row r="748" spans="1:2">
      <c r="A748" s="16" t="s">
        <v>1724</v>
      </c>
      <c r="B748" s="16" t="s">
        <v>1725</v>
      </c>
    </row>
    <row r="749" spans="1:2">
      <c r="A749" s="16" t="s">
        <v>1726</v>
      </c>
      <c r="B749" s="16" t="s">
        <v>1727</v>
      </c>
    </row>
    <row r="750" spans="1:2">
      <c r="A750" s="16" t="s">
        <v>1728</v>
      </c>
      <c r="B750" s="16" t="s">
        <v>1729</v>
      </c>
    </row>
    <row r="751" spans="1:2">
      <c r="A751" s="16" t="s">
        <v>1730</v>
      </c>
      <c r="B751" s="16" t="s">
        <v>1731</v>
      </c>
    </row>
    <row r="752" spans="1:2">
      <c r="A752" s="16" t="s">
        <v>1732</v>
      </c>
      <c r="B752" s="16" t="s">
        <v>1733</v>
      </c>
    </row>
    <row r="753" spans="1:2">
      <c r="A753" s="16" t="s">
        <v>1734</v>
      </c>
      <c r="B753" s="16" t="s">
        <v>1735</v>
      </c>
    </row>
    <row r="754" spans="1:2">
      <c r="A754" s="16" t="s">
        <v>1736</v>
      </c>
      <c r="B754" s="16" t="s">
        <v>1737</v>
      </c>
    </row>
    <row r="755" spans="1:2">
      <c r="A755" s="16" t="s">
        <v>1738</v>
      </c>
      <c r="B755" s="16" t="s">
        <v>1739</v>
      </c>
    </row>
    <row r="756" spans="1:2">
      <c r="A756" s="16" t="s">
        <v>1740</v>
      </c>
      <c r="B756" s="16" t="s">
        <v>1741</v>
      </c>
    </row>
    <row r="757" spans="1:2">
      <c r="A757" s="16" t="s">
        <v>1742</v>
      </c>
      <c r="B757" s="16" t="s">
        <v>1063</v>
      </c>
    </row>
    <row r="758" spans="1:2">
      <c r="A758" s="16" t="s">
        <v>1743</v>
      </c>
      <c r="B758" s="16" t="s">
        <v>1744</v>
      </c>
    </row>
    <row r="759" spans="1:2">
      <c r="A759" s="16" t="s">
        <v>1745</v>
      </c>
      <c r="B759" s="16" t="s">
        <v>1746</v>
      </c>
    </row>
    <row r="760" spans="1:2">
      <c r="A760" s="16" t="s">
        <v>1747</v>
      </c>
      <c r="B760" s="16" t="s">
        <v>1748</v>
      </c>
    </row>
    <row r="761" spans="1:2">
      <c r="A761" s="16" t="s">
        <v>1749</v>
      </c>
      <c r="B761" s="16" t="s">
        <v>1750</v>
      </c>
    </row>
    <row r="762" spans="1:2">
      <c r="A762" s="16" t="s">
        <v>1751</v>
      </c>
      <c r="B762" s="16" t="s">
        <v>1752</v>
      </c>
    </row>
    <row r="763" spans="1:2">
      <c r="A763" s="16" t="s">
        <v>1753</v>
      </c>
      <c r="B763" s="16" t="s">
        <v>1754</v>
      </c>
    </row>
    <row r="764" spans="1:2">
      <c r="A764" s="16" t="s">
        <v>1755</v>
      </c>
      <c r="B764" s="16" t="s">
        <v>1756</v>
      </c>
    </row>
    <row r="765" spans="1:2">
      <c r="A765" s="16" t="s">
        <v>1757</v>
      </c>
      <c r="B765" s="16" t="s">
        <v>1758</v>
      </c>
    </row>
    <row r="766" spans="1:2">
      <c r="A766" s="16" t="s">
        <v>1759</v>
      </c>
      <c r="B766" s="16" t="s">
        <v>1760</v>
      </c>
    </row>
    <row r="767" spans="1:2">
      <c r="A767" s="16" t="s">
        <v>1761</v>
      </c>
      <c r="B767" s="16" t="s">
        <v>1762</v>
      </c>
    </row>
    <row r="768" spans="1:2">
      <c r="A768" s="16" t="s">
        <v>1763</v>
      </c>
      <c r="B768" s="16" t="s">
        <v>1764</v>
      </c>
    </row>
    <row r="769" spans="1:2">
      <c r="A769" s="16" t="s">
        <v>1765</v>
      </c>
      <c r="B769" s="16" t="s">
        <v>1766</v>
      </c>
    </row>
    <row r="770" spans="1:2">
      <c r="A770" s="16" t="s">
        <v>1767</v>
      </c>
      <c r="B770" s="16" t="s">
        <v>1768</v>
      </c>
    </row>
    <row r="771" spans="1:2">
      <c r="A771" s="16" t="s">
        <v>1769</v>
      </c>
      <c r="B771" s="16" t="s">
        <v>1770</v>
      </c>
    </row>
    <row r="772" spans="1:2">
      <c r="A772" s="16" t="s">
        <v>1771</v>
      </c>
      <c r="B772" s="16" t="s">
        <v>1772</v>
      </c>
    </row>
    <row r="773" spans="1:2">
      <c r="A773" s="16" t="s">
        <v>1773</v>
      </c>
      <c r="B773" s="16" t="s">
        <v>1774</v>
      </c>
    </row>
    <row r="774" spans="1:2">
      <c r="A774" s="16" t="s">
        <v>1775</v>
      </c>
      <c r="B774" s="16" t="s">
        <v>1776</v>
      </c>
    </row>
    <row r="775" spans="1:2">
      <c r="A775" s="16" t="s">
        <v>1777</v>
      </c>
      <c r="B775" s="16" t="s">
        <v>1778</v>
      </c>
    </row>
    <row r="776" spans="1:2">
      <c r="A776" s="16" t="s">
        <v>1779</v>
      </c>
      <c r="B776" s="16" t="s">
        <v>1780</v>
      </c>
    </row>
    <row r="777" spans="1:2">
      <c r="A777" s="16" t="s">
        <v>1781</v>
      </c>
      <c r="B777" s="16" t="s">
        <v>1782</v>
      </c>
    </row>
    <row r="778" spans="1:2">
      <c r="A778" s="16" t="s">
        <v>1783</v>
      </c>
      <c r="B778" s="16" t="s">
        <v>1784</v>
      </c>
    </row>
    <row r="779" spans="1:2">
      <c r="A779" s="16" t="s">
        <v>1785</v>
      </c>
      <c r="B779" s="16" t="s">
        <v>1786</v>
      </c>
    </row>
    <row r="780" spans="1:2">
      <c r="A780" s="16" t="s">
        <v>1787</v>
      </c>
      <c r="B780" s="16" t="s">
        <v>1788</v>
      </c>
    </row>
    <row r="781" spans="1:2">
      <c r="A781" s="16" t="s">
        <v>1789</v>
      </c>
      <c r="B781" s="16" t="s">
        <v>1790</v>
      </c>
    </row>
    <row r="782" spans="1:2">
      <c r="A782" s="16" t="s">
        <v>1791</v>
      </c>
      <c r="B782" s="16" t="s">
        <v>1792</v>
      </c>
    </row>
    <row r="783" spans="1:2">
      <c r="A783" s="16" t="s">
        <v>1793</v>
      </c>
      <c r="B783" s="16" t="s">
        <v>1794</v>
      </c>
    </row>
    <row r="784" spans="1:2">
      <c r="A784" s="16" t="s">
        <v>1795</v>
      </c>
      <c r="B784" s="16" t="s">
        <v>824</v>
      </c>
    </row>
    <row r="785" spans="1:2">
      <c r="A785" s="16" t="s">
        <v>1796</v>
      </c>
      <c r="B785" s="16" t="s">
        <v>1797</v>
      </c>
    </row>
    <row r="786" spans="1:2">
      <c r="A786" s="16" t="s">
        <v>1798</v>
      </c>
      <c r="B786" s="16" t="s">
        <v>1799</v>
      </c>
    </row>
    <row r="787" spans="1:2">
      <c r="A787" s="16" t="s">
        <v>1800</v>
      </c>
      <c r="B787" s="16" t="s">
        <v>1801</v>
      </c>
    </row>
    <row r="788" spans="1:2">
      <c r="A788" s="16" t="s">
        <v>1802</v>
      </c>
      <c r="B788" s="16" t="s">
        <v>1803</v>
      </c>
    </row>
    <row r="789" spans="1:2">
      <c r="A789" s="16" t="s">
        <v>1804</v>
      </c>
      <c r="B789" s="16" t="s">
        <v>1805</v>
      </c>
    </row>
    <row r="790" spans="1:2">
      <c r="A790" s="16" t="s">
        <v>1806</v>
      </c>
      <c r="B790" s="16" t="s">
        <v>1807</v>
      </c>
    </row>
    <row r="791" spans="1:2">
      <c r="A791" s="16" t="s">
        <v>1808</v>
      </c>
      <c r="B791" s="16" t="s">
        <v>1809</v>
      </c>
    </row>
    <row r="792" spans="1:2">
      <c r="A792" s="16" t="s">
        <v>1810</v>
      </c>
      <c r="B792" s="16" t="s">
        <v>1811</v>
      </c>
    </row>
    <row r="793" spans="1:2">
      <c r="A793" s="16" t="s">
        <v>1812</v>
      </c>
      <c r="B793" s="16" t="s">
        <v>1813</v>
      </c>
    </row>
    <row r="794" spans="1:2">
      <c r="A794" s="16" t="s">
        <v>1814</v>
      </c>
      <c r="B794" s="16" t="s">
        <v>1815</v>
      </c>
    </row>
    <row r="795" spans="1:2">
      <c r="A795" s="16" t="s">
        <v>1816</v>
      </c>
      <c r="B795" s="16" t="s">
        <v>1817</v>
      </c>
    </row>
    <row r="796" spans="1:2">
      <c r="A796" s="16" t="s">
        <v>1818</v>
      </c>
      <c r="B796" s="16" t="s">
        <v>1819</v>
      </c>
    </row>
    <row r="797" spans="1:2">
      <c r="A797" s="16" t="s">
        <v>1820</v>
      </c>
      <c r="B797" s="16" t="s">
        <v>1821</v>
      </c>
    </row>
    <row r="798" spans="1:2">
      <c r="A798" s="16" t="s">
        <v>1822</v>
      </c>
      <c r="B798" s="16" t="s">
        <v>688</v>
      </c>
    </row>
    <row r="799" spans="1:2">
      <c r="A799" s="16" t="s">
        <v>1823</v>
      </c>
      <c r="B799" s="16" t="s">
        <v>1824</v>
      </c>
    </row>
    <row r="800" spans="1:2">
      <c r="A800" s="16" t="s">
        <v>1825</v>
      </c>
      <c r="B800" s="16" t="s">
        <v>1826</v>
      </c>
    </row>
    <row r="801" spans="1:2">
      <c r="A801" s="16" t="s">
        <v>1827</v>
      </c>
      <c r="B801" s="16" t="s">
        <v>1828</v>
      </c>
    </row>
    <row r="802" spans="1:2">
      <c r="A802" s="16" t="s">
        <v>1829</v>
      </c>
      <c r="B802" s="16" t="s">
        <v>1830</v>
      </c>
    </row>
    <row r="803" spans="1:2">
      <c r="A803" s="16" t="s">
        <v>1831</v>
      </c>
      <c r="B803" s="16" t="s">
        <v>1832</v>
      </c>
    </row>
    <row r="804" spans="1:2">
      <c r="A804" s="16" t="s">
        <v>1833</v>
      </c>
      <c r="B804" s="16" t="s">
        <v>1834</v>
      </c>
    </row>
    <row r="805" spans="1:2">
      <c r="A805" s="16" t="s">
        <v>1835</v>
      </c>
      <c r="B805" s="16" t="s">
        <v>1836</v>
      </c>
    </row>
    <row r="806" spans="1:2">
      <c r="A806" s="16" t="s">
        <v>1837</v>
      </c>
      <c r="B806" s="16" t="s">
        <v>1838</v>
      </c>
    </row>
    <row r="807" spans="1:2">
      <c r="A807" s="16" t="s">
        <v>1839</v>
      </c>
      <c r="B807" s="16" t="s">
        <v>1840</v>
      </c>
    </row>
    <row r="808" spans="1:2">
      <c r="A808" s="16" t="s">
        <v>1841</v>
      </c>
      <c r="B808" s="16" t="s">
        <v>1842</v>
      </c>
    </row>
    <row r="809" spans="1:2">
      <c r="A809" s="16" t="s">
        <v>1843</v>
      </c>
      <c r="B809" s="16" t="s">
        <v>1844</v>
      </c>
    </row>
    <row r="810" spans="1:2">
      <c r="A810" s="16" t="s">
        <v>1845</v>
      </c>
      <c r="B810" s="16" t="s">
        <v>1846</v>
      </c>
    </row>
    <row r="811" spans="1:2">
      <c r="A811" s="16" t="s">
        <v>1847</v>
      </c>
      <c r="B811" s="16" t="s">
        <v>1848</v>
      </c>
    </row>
    <row r="812" spans="1:2">
      <c r="A812" s="16" t="s">
        <v>1849</v>
      </c>
      <c r="B812" s="16" t="s">
        <v>1850</v>
      </c>
    </row>
    <row r="813" spans="1:2">
      <c r="A813" s="16" t="s">
        <v>1851</v>
      </c>
      <c r="B813" s="16" t="s">
        <v>1852</v>
      </c>
    </row>
    <row r="814" spans="1:2">
      <c r="A814" s="16" t="s">
        <v>1853</v>
      </c>
      <c r="B814" s="16" t="s">
        <v>1854</v>
      </c>
    </row>
    <row r="815" spans="1:2">
      <c r="A815" s="16" t="s">
        <v>1855</v>
      </c>
      <c r="B815" s="16" t="s">
        <v>1856</v>
      </c>
    </row>
    <row r="816" spans="1:2">
      <c r="A816" s="16" t="s">
        <v>1857</v>
      </c>
      <c r="B816" s="16" t="s">
        <v>1858</v>
      </c>
    </row>
    <row r="817" spans="1:2">
      <c r="A817" s="16" t="s">
        <v>1859</v>
      </c>
      <c r="B817" s="16" t="s">
        <v>1860</v>
      </c>
    </row>
    <row r="818" spans="1:2">
      <c r="A818" s="16" t="s">
        <v>1861</v>
      </c>
      <c r="B818" s="16" t="s">
        <v>1862</v>
      </c>
    </row>
    <row r="819" spans="1:2">
      <c r="A819" s="16" t="s">
        <v>1863</v>
      </c>
      <c r="B819" s="16" t="s">
        <v>1667</v>
      </c>
    </row>
    <row r="820" spans="1:2">
      <c r="A820" s="16" t="s">
        <v>1864</v>
      </c>
      <c r="B820" s="16" t="s">
        <v>890</v>
      </c>
    </row>
    <row r="821" spans="1:2">
      <c r="A821" s="16" t="s">
        <v>1865</v>
      </c>
      <c r="B821" s="16" t="s">
        <v>1866</v>
      </c>
    </row>
    <row r="822" spans="1:2">
      <c r="A822" s="16" t="s">
        <v>1867</v>
      </c>
      <c r="B822" s="16" t="s">
        <v>1868</v>
      </c>
    </row>
    <row r="823" spans="1:2">
      <c r="A823" s="16" t="s">
        <v>1869</v>
      </c>
      <c r="B823" s="16" t="s">
        <v>989</v>
      </c>
    </row>
    <row r="824" spans="1:2">
      <c r="A824" s="16" t="s">
        <v>1870</v>
      </c>
      <c r="B824" s="16" t="s">
        <v>1871</v>
      </c>
    </row>
    <row r="825" spans="1:2">
      <c r="A825" s="16" t="s">
        <v>1872</v>
      </c>
      <c r="B825" s="16" t="s">
        <v>4</v>
      </c>
    </row>
    <row r="826" spans="1:2">
      <c r="A826" s="16" t="s">
        <v>1873</v>
      </c>
      <c r="B826" s="16" t="s">
        <v>1874</v>
      </c>
    </row>
    <row r="827" spans="1:2">
      <c r="A827" s="16" t="s">
        <v>1875</v>
      </c>
      <c r="B827" s="16" t="s">
        <v>1876</v>
      </c>
    </row>
    <row r="828" spans="1:2">
      <c r="A828" s="16" t="s">
        <v>1877</v>
      </c>
      <c r="B828" s="16" t="s">
        <v>1878</v>
      </c>
    </row>
    <row r="829" spans="1:2">
      <c r="A829" s="16" t="s">
        <v>1879</v>
      </c>
      <c r="B829" s="16" t="s">
        <v>1010</v>
      </c>
    </row>
    <row r="830" spans="1:2">
      <c r="A830" s="16" t="s">
        <v>1880</v>
      </c>
      <c r="B830" s="16" t="s">
        <v>1881</v>
      </c>
    </row>
    <row r="831" spans="1:2">
      <c r="A831" s="16" t="s">
        <v>1882</v>
      </c>
      <c r="B831" s="16" t="s">
        <v>856</v>
      </c>
    </row>
    <row r="832" spans="1:2">
      <c r="A832" s="16" t="s">
        <v>1883</v>
      </c>
      <c r="B832" s="16" t="s">
        <v>858</v>
      </c>
    </row>
    <row r="833" spans="1:2">
      <c r="A833" s="16" t="s">
        <v>1884</v>
      </c>
      <c r="B833" s="16" t="s">
        <v>1885</v>
      </c>
    </row>
    <row r="834" spans="1:2">
      <c r="A834" s="16" t="s">
        <v>1886</v>
      </c>
      <c r="B834" s="16" t="s">
        <v>675</v>
      </c>
    </row>
    <row r="835" spans="1:2">
      <c r="A835" s="16" t="s">
        <v>1887</v>
      </c>
      <c r="B835" s="16" t="s">
        <v>1888</v>
      </c>
    </row>
    <row r="836" spans="1:2">
      <c r="A836" s="16" t="s">
        <v>1889</v>
      </c>
      <c r="B836" s="16" t="s">
        <v>1868</v>
      </c>
    </row>
    <row r="837" spans="1:2">
      <c r="A837" s="16" t="s">
        <v>1890</v>
      </c>
      <c r="B837" s="16" t="s">
        <v>1891</v>
      </c>
    </row>
    <row r="838" spans="1:2">
      <c r="A838" s="16" t="s">
        <v>1892</v>
      </c>
      <c r="B838" s="16" t="s">
        <v>1893</v>
      </c>
    </row>
    <row r="839" spans="1:2">
      <c r="A839" s="16" t="s">
        <v>1894</v>
      </c>
      <c r="B839" s="16" t="s">
        <v>1895</v>
      </c>
    </row>
    <row r="840" spans="1:2">
      <c r="A840" s="16" t="s">
        <v>1896</v>
      </c>
      <c r="B840" s="16" t="s">
        <v>1897</v>
      </c>
    </row>
    <row r="841" spans="1:2">
      <c r="A841" s="16" t="s">
        <v>1898</v>
      </c>
      <c r="B841" s="16" t="s">
        <v>1899</v>
      </c>
    </row>
    <row r="842" spans="1:2">
      <c r="A842" s="16" t="s">
        <v>1900</v>
      </c>
      <c r="B842" s="16" t="s">
        <v>1901</v>
      </c>
    </row>
    <row r="843" spans="1:2">
      <c r="A843" s="16" t="s">
        <v>1902</v>
      </c>
      <c r="B843" s="16" t="s">
        <v>1648</v>
      </c>
    </row>
    <row r="844" spans="1:2">
      <c r="A844" s="16" t="s">
        <v>1903</v>
      </c>
      <c r="B844" s="16" t="s">
        <v>1904</v>
      </c>
    </row>
    <row r="845" spans="1:2">
      <c r="A845" s="16" t="s">
        <v>1905</v>
      </c>
      <c r="B845" s="16" t="s">
        <v>1906</v>
      </c>
    </row>
    <row r="846" spans="1:2">
      <c r="A846" s="16" t="s">
        <v>1907</v>
      </c>
      <c r="B846" s="16" t="s">
        <v>1908</v>
      </c>
    </row>
    <row r="847" spans="1:2">
      <c r="A847" s="16" t="s">
        <v>1909</v>
      </c>
      <c r="B847" s="16" t="s">
        <v>1910</v>
      </c>
    </row>
    <row r="848" spans="1:2">
      <c r="A848" s="16" t="s">
        <v>1911</v>
      </c>
      <c r="B848" s="16" t="s">
        <v>1912</v>
      </c>
    </row>
    <row r="849" spans="1:2">
      <c r="A849" s="16" t="s">
        <v>1913</v>
      </c>
      <c r="B849" s="16" t="s">
        <v>1914</v>
      </c>
    </row>
    <row r="850" spans="1:2">
      <c r="A850" s="16" t="s">
        <v>1915</v>
      </c>
      <c r="B850" s="16" t="s">
        <v>1916</v>
      </c>
    </row>
    <row r="851" spans="1:2">
      <c r="A851" s="16" t="s">
        <v>1917</v>
      </c>
      <c r="B851" s="16" t="s">
        <v>1918</v>
      </c>
    </row>
    <row r="852" spans="1:2">
      <c r="A852" s="16" t="s">
        <v>1919</v>
      </c>
      <c r="B852" s="16" t="s">
        <v>1920</v>
      </c>
    </row>
    <row r="853" spans="1:2">
      <c r="A853" s="16" t="s">
        <v>1921</v>
      </c>
      <c r="B853" s="16" t="s">
        <v>1922</v>
      </c>
    </row>
    <row r="854" spans="1:2">
      <c r="A854" s="16" t="s">
        <v>1923</v>
      </c>
      <c r="B854" s="16" t="s">
        <v>1924</v>
      </c>
    </row>
    <row r="855" spans="1:2">
      <c r="A855" s="16" t="s">
        <v>1925</v>
      </c>
      <c r="B855" s="16" t="s">
        <v>1926</v>
      </c>
    </row>
    <row r="856" spans="1:2">
      <c r="A856" s="16" t="s">
        <v>1927</v>
      </c>
      <c r="B856" s="16" t="s">
        <v>1928</v>
      </c>
    </row>
    <row r="857" spans="1:2">
      <c r="A857" s="16" t="s">
        <v>1929</v>
      </c>
      <c r="B857" s="16" t="s">
        <v>1930</v>
      </c>
    </row>
    <row r="858" spans="1:2">
      <c r="A858" s="16" t="s">
        <v>1931</v>
      </c>
      <c r="B858" s="16" t="s">
        <v>1932</v>
      </c>
    </row>
    <row r="859" spans="1:2">
      <c r="A859" s="16" t="s">
        <v>1933</v>
      </c>
      <c r="B859" s="16" t="s">
        <v>1934</v>
      </c>
    </row>
    <row r="860" spans="1:2">
      <c r="A860" s="16" t="s">
        <v>1935</v>
      </c>
      <c r="B860" s="16" t="s">
        <v>1936</v>
      </c>
    </row>
    <row r="861" spans="1:2">
      <c r="A861" s="16" t="s">
        <v>1937</v>
      </c>
      <c r="B861" s="16" t="s">
        <v>1938</v>
      </c>
    </row>
    <row r="862" spans="1:2">
      <c r="A862" s="16" t="s">
        <v>1939</v>
      </c>
      <c r="B862" s="16" t="s">
        <v>1940</v>
      </c>
    </row>
    <row r="863" spans="1:2">
      <c r="A863" s="16" t="s">
        <v>1941</v>
      </c>
      <c r="B863" s="16" t="s">
        <v>1936</v>
      </c>
    </row>
    <row r="864" spans="1:2">
      <c r="A864" s="16" t="s">
        <v>1942</v>
      </c>
      <c r="B864" s="16" t="s">
        <v>1943</v>
      </c>
    </row>
    <row r="865" spans="1:2">
      <c r="A865" s="16" t="s">
        <v>1944</v>
      </c>
      <c r="B865" s="16" t="s">
        <v>1945</v>
      </c>
    </row>
    <row r="866" spans="1:2">
      <c r="A866" s="16" t="s">
        <v>1946</v>
      </c>
      <c r="B866" s="16" t="s">
        <v>1947</v>
      </c>
    </row>
    <row r="867" spans="1:2">
      <c r="A867" s="16" t="s">
        <v>1948</v>
      </c>
      <c r="B867" s="16" t="s">
        <v>688</v>
      </c>
    </row>
    <row r="868" spans="1:2">
      <c r="A868" s="16" t="s">
        <v>1949</v>
      </c>
      <c r="B868" s="16" t="s">
        <v>1950</v>
      </c>
    </row>
    <row r="869" spans="1:2">
      <c r="A869" s="16" t="s">
        <v>1951</v>
      </c>
      <c r="B869" s="16" t="s">
        <v>1952</v>
      </c>
    </row>
    <row r="870" spans="1:2">
      <c r="A870" s="16" t="s">
        <v>1953</v>
      </c>
      <c r="B870" s="16" t="s">
        <v>1954</v>
      </c>
    </row>
    <row r="871" spans="1:2">
      <c r="A871" s="16" t="s">
        <v>1955</v>
      </c>
      <c r="B871" s="16" t="s">
        <v>1956</v>
      </c>
    </row>
    <row r="872" spans="1:2">
      <c r="A872" s="16" t="s">
        <v>1957</v>
      </c>
      <c r="B872" s="16" t="s">
        <v>378</v>
      </c>
    </row>
    <row r="873" spans="1:2">
      <c r="A873" s="16" t="s">
        <v>1958</v>
      </c>
      <c r="B873" s="16" t="s">
        <v>1959</v>
      </c>
    </row>
    <row r="874" spans="1:2">
      <c r="A874" s="16" t="s">
        <v>1960</v>
      </c>
      <c r="B874" s="16" t="s">
        <v>1961</v>
      </c>
    </row>
    <row r="875" spans="1:2">
      <c r="A875" s="16" t="s">
        <v>1962</v>
      </c>
      <c r="B875" s="16" t="s">
        <v>1963</v>
      </c>
    </row>
    <row r="876" spans="1:2">
      <c r="A876" s="16" t="s">
        <v>1964</v>
      </c>
      <c r="B876" s="16" t="s">
        <v>1965</v>
      </c>
    </row>
    <row r="877" spans="1:2">
      <c r="A877" s="16" t="s">
        <v>1966</v>
      </c>
      <c r="B877" s="16" t="s">
        <v>1967</v>
      </c>
    </row>
    <row r="878" spans="1:2">
      <c r="A878" s="16" t="s">
        <v>1968</v>
      </c>
      <c r="B878" s="16" t="s">
        <v>32</v>
      </c>
    </row>
    <row r="879" spans="1:2">
      <c r="A879" s="16" t="s">
        <v>1969</v>
      </c>
      <c r="B879" s="16" t="s">
        <v>1970</v>
      </c>
    </row>
    <row r="880" spans="1:2">
      <c r="A880" s="16" t="s">
        <v>1971</v>
      </c>
      <c r="B880" s="16" t="s">
        <v>1972</v>
      </c>
    </row>
    <row r="881" spans="1:2">
      <c r="A881" s="16" t="s">
        <v>1973</v>
      </c>
      <c r="B881" s="16" t="s">
        <v>1974</v>
      </c>
    </row>
    <row r="882" spans="1:2">
      <c r="A882" s="16" t="s">
        <v>1975</v>
      </c>
      <c r="B882" s="16" t="s">
        <v>1976</v>
      </c>
    </row>
    <row r="883" spans="1:2">
      <c r="A883" s="16" t="s">
        <v>1977</v>
      </c>
      <c r="B883" s="16" t="s">
        <v>1978</v>
      </c>
    </row>
    <row r="884" spans="1:2">
      <c r="A884" s="16" t="s">
        <v>1979</v>
      </c>
      <c r="B884" s="16" t="s">
        <v>1980</v>
      </c>
    </row>
    <row r="885" spans="1:2">
      <c r="A885" s="16" t="s">
        <v>1981</v>
      </c>
      <c r="B885" s="16" t="s">
        <v>1982</v>
      </c>
    </row>
    <row r="886" spans="1:2">
      <c r="A886" s="16" t="s">
        <v>1983</v>
      </c>
      <c r="B886" s="16" t="s">
        <v>1984</v>
      </c>
    </row>
    <row r="887" spans="1:2">
      <c r="A887" s="16" t="s">
        <v>1985</v>
      </c>
      <c r="B887" s="16" t="s">
        <v>1986</v>
      </c>
    </row>
    <row r="888" spans="1:2">
      <c r="A888" s="16" t="s">
        <v>1987</v>
      </c>
      <c r="B888" s="16" t="s">
        <v>1988</v>
      </c>
    </row>
    <row r="889" spans="1:2">
      <c r="A889" s="16" t="s">
        <v>1989</v>
      </c>
      <c r="B889" s="16" t="s">
        <v>1990</v>
      </c>
    </row>
    <row r="890" spans="1:2">
      <c r="A890" s="16" t="s">
        <v>1991</v>
      </c>
      <c r="B890" s="16" t="s">
        <v>1992</v>
      </c>
    </row>
    <row r="891" spans="1:2">
      <c r="A891" s="16" t="s">
        <v>1993</v>
      </c>
      <c r="B891" s="16" t="s">
        <v>1994</v>
      </c>
    </row>
    <row r="892" spans="1:2">
      <c r="A892" s="16" t="s">
        <v>1995</v>
      </c>
      <c r="B892" s="16" t="s">
        <v>1996</v>
      </c>
    </row>
    <row r="893" spans="1:2">
      <c r="A893" s="16" t="s">
        <v>1997</v>
      </c>
      <c r="B893" s="16" t="s">
        <v>1998</v>
      </c>
    </row>
    <row r="894" spans="1:2">
      <c r="A894" s="16" t="s">
        <v>1999</v>
      </c>
      <c r="B894" s="16" t="s">
        <v>2000</v>
      </c>
    </row>
    <row r="895" spans="1:2">
      <c r="A895" s="16" t="s">
        <v>2001</v>
      </c>
      <c r="B895" s="16" t="s">
        <v>2002</v>
      </c>
    </row>
    <row r="896" spans="1:2">
      <c r="A896" s="16" t="s">
        <v>2003</v>
      </c>
      <c r="B896" s="16" t="s">
        <v>2004</v>
      </c>
    </row>
    <row r="897" spans="1:2">
      <c r="A897" s="16" t="s">
        <v>2005</v>
      </c>
      <c r="B897" s="16" t="s">
        <v>2006</v>
      </c>
    </row>
    <row r="898" spans="1:2">
      <c r="A898" s="16" t="s">
        <v>2007</v>
      </c>
      <c r="B898" s="16" t="s">
        <v>2008</v>
      </c>
    </row>
    <row r="899" spans="1:2">
      <c r="A899" s="16" t="s">
        <v>2009</v>
      </c>
      <c r="B899" s="16" t="s">
        <v>2010</v>
      </c>
    </row>
    <row r="900" spans="1:2">
      <c r="A900" s="16" t="s">
        <v>2011</v>
      </c>
      <c r="B900" s="16" t="s">
        <v>2012</v>
      </c>
    </row>
    <row r="901" spans="1:2">
      <c r="A901" s="16" t="s">
        <v>2013</v>
      </c>
      <c r="B901" s="16" t="s">
        <v>2014</v>
      </c>
    </row>
    <row r="902" spans="1:2">
      <c r="A902" s="16" t="s">
        <v>2015</v>
      </c>
      <c r="B902" s="16" t="s">
        <v>2016</v>
      </c>
    </row>
    <row r="903" spans="1:2">
      <c r="A903" s="16" t="s">
        <v>2017</v>
      </c>
      <c r="B903" s="16" t="s">
        <v>2018</v>
      </c>
    </row>
    <row r="904" spans="1:2">
      <c r="A904" s="16" t="s">
        <v>2019</v>
      </c>
      <c r="B904" s="16" t="s">
        <v>2020</v>
      </c>
    </row>
    <row r="905" spans="1:2">
      <c r="A905" s="16" t="s">
        <v>2021</v>
      </c>
      <c r="B905" s="16" t="s">
        <v>2022</v>
      </c>
    </row>
    <row r="906" spans="1:2">
      <c r="A906" s="16" t="s">
        <v>2023</v>
      </c>
      <c r="B906" s="16" t="s">
        <v>2024</v>
      </c>
    </row>
    <row r="907" spans="1:2">
      <c r="A907" s="16" t="s">
        <v>2025</v>
      </c>
      <c r="B907" s="16" t="s">
        <v>2026</v>
      </c>
    </row>
    <row r="908" spans="1:2">
      <c r="A908" s="16" t="s">
        <v>2027</v>
      </c>
      <c r="B908" s="16" t="s">
        <v>2028</v>
      </c>
    </row>
    <row r="909" spans="1:2">
      <c r="A909" s="16" t="s">
        <v>2029</v>
      </c>
      <c r="B909" s="16" t="s">
        <v>2030</v>
      </c>
    </row>
    <row r="910" spans="1:2">
      <c r="A910" s="16" t="s">
        <v>2031</v>
      </c>
      <c r="B910" s="16" t="s">
        <v>2032</v>
      </c>
    </row>
    <row r="911" spans="1:2">
      <c r="A911" s="16" t="s">
        <v>2033</v>
      </c>
      <c r="B911" s="16" t="s">
        <v>1296</v>
      </c>
    </row>
    <row r="912" spans="1:2">
      <c r="A912" s="16" t="s">
        <v>2034</v>
      </c>
      <c r="B912" s="16" t="s">
        <v>2035</v>
      </c>
    </row>
    <row r="913" spans="1:2">
      <c r="A913" s="16" t="s">
        <v>2036</v>
      </c>
      <c r="B913" s="16" t="s">
        <v>2037</v>
      </c>
    </row>
    <row r="914" spans="1:2">
      <c r="A914" s="16" t="s">
        <v>2038</v>
      </c>
      <c r="B914" s="16" t="s">
        <v>2039</v>
      </c>
    </row>
    <row r="915" spans="1:2">
      <c r="A915" s="16" t="s">
        <v>2040</v>
      </c>
      <c r="B915" s="16" t="s">
        <v>2041</v>
      </c>
    </row>
    <row r="916" spans="1:2">
      <c r="A916" s="16" t="s">
        <v>2042</v>
      </c>
      <c r="B916" s="16" t="s">
        <v>184</v>
      </c>
    </row>
    <row r="917" spans="1:2">
      <c r="A917" s="16" t="s">
        <v>2043</v>
      </c>
      <c r="B917" s="16" t="s">
        <v>2044</v>
      </c>
    </row>
    <row r="918" spans="1:2">
      <c r="A918" s="16" t="s">
        <v>2045</v>
      </c>
      <c r="B918" s="16" t="s">
        <v>2039</v>
      </c>
    </row>
    <row r="919" spans="1:2">
      <c r="A919" s="16" t="s">
        <v>2046</v>
      </c>
      <c r="B919" s="16" t="s">
        <v>2047</v>
      </c>
    </row>
    <row r="920" spans="1:2">
      <c r="A920" s="16" t="s">
        <v>2048</v>
      </c>
      <c r="B920" s="16" t="s">
        <v>2049</v>
      </c>
    </row>
    <row r="921" spans="1:2">
      <c r="A921" s="16" t="s">
        <v>2050</v>
      </c>
      <c r="B921" s="16" t="s">
        <v>2051</v>
      </c>
    </row>
    <row r="922" spans="1:2">
      <c r="A922" s="16" t="s">
        <v>2052</v>
      </c>
      <c r="B922" s="16" t="s">
        <v>2053</v>
      </c>
    </row>
    <row r="923" spans="1:2">
      <c r="A923" s="16" t="s">
        <v>2054</v>
      </c>
      <c r="B923" s="16" t="s">
        <v>2055</v>
      </c>
    </row>
    <row r="924" spans="1:2">
      <c r="A924" s="16" t="s">
        <v>2056</v>
      </c>
      <c r="B924" s="16" t="s">
        <v>2057</v>
      </c>
    </row>
    <row r="925" spans="1:2">
      <c r="A925" s="16" t="s">
        <v>2058</v>
      </c>
      <c r="B925" s="16" t="s">
        <v>2053</v>
      </c>
    </row>
    <row r="926" spans="1:2">
      <c r="A926" s="16" t="s">
        <v>2059</v>
      </c>
      <c r="B926" s="16" t="s">
        <v>2060</v>
      </c>
    </row>
    <row r="927" spans="1:2">
      <c r="A927" s="16" t="s">
        <v>2061</v>
      </c>
      <c r="B927" s="16" t="s">
        <v>1881</v>
      </c>
    </row>
    <row r="928" spans="1:2">
      <c r="A928" s="16" t="s">
        <v>2062</v>
      </c>
      <c r="B928" s="16" t="s">
        <v>1296</v>
      </c>
    </row>
    <row r="929" spans="1:2">
      <c r="A929" s="16" t="s">
        <v>2063</v>
      </c>
      <c r="B929" s="16" t="s">
        <v>2064</v>
      </c>
    </row>
    <row r="930" spans="1:2">
      <c r="A930" s="16" t="s">
        <v>2065</v>
      </c>
      <c r="B930" s="16" t="s">
        <v>2066</v>
      </c>
    </row>
    <row r="931" spans="1:2">
      <c r="A931" s="16" t="s">
        <v>2067</v>
      </c>
      <c r="B931" s="16" t="s">
        <v>2068</v>
      </c>
    </row>
    <row r="932" spans="1:2">
      <c r="A932" s="16" t="s">
        <v>2069</v>
      </c>
      <c r="B932" s="16" t="s">
        <v>2070</v>
      </c>
    </row>
    <row r="933" spans="1:2">
      <c r="A933" s="16" t="s">
        <v>2071</v>
      </c>
      <c r="B933" s="16" t="s">
        <v>2072</v>
      </c>
    </row>
    <row r="934" spans="1:2">
      <c r="A934" s="16" t="s">
        <v>2073</v>
      </c>
      <c r="B934" s="16" t="s">
        <v>2074</v>
      </c>
    </row>
    <row r="935" spans="1:2">
      <c r="A935" s="16" t="s">
        <v>2075</v>
      </c>
      <c r="B935" s="16" t="s">
        <v>2076</v>
      </c>
    </row>
    <row r="936" spans="1:2">
      <c r="A936" s="16" t="s">
        <v>2077</v>
      </c>
      <c r="B936" s="16" t="s">
        <v>2078</v>
      </c>
    </row>
    <row r="937" spans="1:2">
      <c r="A937" s="16" t="s">
        <v>2079</v>
      </c>
      <c r="B937" s="16" t="s">
        <v>2080</v>
      </c>
    </row>
    <row r="938" spans="1:2">
      <c r="A938" s="16" t="s">
        <v>2081</v>
      </c>
      <c r="B938" s="16" t="s">
        <v>2082</v>
      </c>
    </row>
    <row r="939" spans="1:2">
      <c r="A939" s="16" t="s">
        <v>2083</v>
      </c>
      <c r="B939" s="16" t="s">
        <v>2084</v>
      </c>
    </row>
    <row r="940" spans="1:2">
      <c r="A940" s="16" t="s">
        <v>2085</v>
      </c>
      <c r="B940" s="16" t="s">
        <v>2086</v>
      </c>
    </row>
    <row r="941" spans="1:2">
      <c r="A941" s="16" t="s">
        <v>2087</v>
      </c>
      <c r="B941" s="16" t="s">
        <v>2074</v>
      </c>
    </row>
    <row r="942" spans="1:2">
      <c r="A942" s="16" t="s">
        <v>2088</v>
      </c>
      <c r="B942" s="16" t="s">
        <v>2089</v>
      </c>
    </row>
    <row r="943" spans="1:2">
      <c r="A943" s="16" t="s">
        <v>2090</v>
      </c>
      <c r="B943" s="16" t="s">
        <v>2091</v>
      </c>
    </row>
    <row r="944" spans="1:2">
      <c r="A944" s="16" t="s">
        <v>2092</v>
      </c>
      <c r="B944" s="16" t="s">
        <v>2093</v>
      </c>
    </row>
    <row r="945" spans="1:2">
      <c r="A945" s="16" t="s">
        <v>2094</v>
      </c>
      <c r="B945" s="16" t="s">
        <v>2095</v>
      </c>
    </row>
    <row r="946" spans="1:2">
      <c r="A946" s="16" t="s">
        <v>2096</v>
      </c>
      <c r="B946" s="16" t="s">
        <v>2097</v>
      </c>
    </row>
    <row r="947" spans="1:2">
      <c r="A947" s="16" t="s">
        <v>2098</v>
      </c>
      <c r="B947" s="16" t="s">
        <v>2099</v>
      </c>
    </row>
    <row r="948" spans="1:2">
      <c r="A948" s="16" t="s">
        <v>2100</v>
      </c>
      <c r="B948" s="16" t="s">
        <v>2101</v>
      </c>
    </row>
    <row r="949" spans="1:2">
      <c r="A949" s="16" t="s">
        <v>2102</v>
      </c>
      <c r="B949" s="16" t="s">
        <v>2103</v>
      </c>
    </row>
    <row r="950" spans="1:2">
      <c r="A950" s="16" t="s">
        <v>2104</v>
      </c>
      <c r="B950" s="16" t="s">
        <v>2105</v>
      </c>
    </row>
    <row r="951" spans="1:2">
      <c r="A951" s="16" t="s">
        <v>2106</v>
      </c>
      <c r="B951" s="16" t="s">
        <v>2107</v>
      </c>
    </row>
    <row r="952" spans="1:2">
      <c r="A952" s="16" t="s">
        <v>101</v>
      </c>
      <c r="B952" s="16" t="s">
        <v>2108</v>
      </c>
    </row>
    <row r="953" spans="1:2">
      <c r="A953" s="16" t="s">
        <v>2109</v>
      </c>
      <c r="B953" s="16" t="s">
        <v>2110</v>
      </c>
    </row>
    <row r="954" spans="1:2">
      <c r="A954" s="16" t="s">
        <v>2111</v>
      </c>
      <c r="B954" s="16" t="s">
        <v>2112</v>
      </c>
    </row>
    <row r="955" spans="1:2">
      <c r="A955" s="16" t="s">
        <v>2113</v>
      </c>
      <c r="B955" s="16" t="s">
        <v>1079</v>
      </c>
    </row>
    <row r="956" spans="1:2">
      <c r="A956" s="16" t="s">
        <v>2114</v>
      </c>
      <c r="B956" s="16" t="s">
        <v>2115</v>
      </c>
    </row>
    <row r="957" spans="1:2">
      <c r="A957" s="16" t="s">
        <v>2116</v>
      </c>
      <c r="B957" s="16" t="s">
        <v>366</v>
      </c>
    </row>
    <row r="958" spans="1:2">
      <c r="A958" s="16" t="s">
        <v>2117</v>
      </c>
      <c r="B958" s="16" t="s">
        <v>4</v>
      </c>
    </row>
    <row r="959" spans="1:2">
      <c r="A959" s="16" t="s">
        <v>2118</v>
      </c>
      <c r="B959" s="16" t="s">
        <v>977</v>
      </c>
    </row>
    <row r="960" spans="1:2">
      <c r="A960" s="16" t="s">
        <v>2119</v>
      </c>
      <c r="B960" s="16" t="s">
        <v>2120</v>
      </c>
    </row>
    <row r="961" spans="1:2">
      <c r="A961" s="16" t="s">
        <v>2121</v>
      </c>
      <c r="B961" s="16" t="s">
        <v>2122</v>
      </c>
    </row>
    <row r="962" spans="1:2">
      <c r="A962" s="16" t="s">
        <v>2123</v>
      </c>
      <c r="B962" s="16" t="s">
        <v>675</v>
      </c>
    </row>
    <row r="963" spans="1:2">
      <c r="A963" s="16" t="s">
        <v>2124</v>
      </c>
      <c r="B963" s="16" t="s">
        <v>2125</v>
      </c>
    </row>
    <row r="964" spans="1:2">
      <c r="A964" s="16" t="s">
        <v>2126</v>
      </c>
      <c r="B964" s="16" t="s">
        <v>4</v>
      </c>
    </row>
    <row r="965" spans="1:2">
      <c r="A965" s="16" t="s">
        <v>2127</v>
      </c>
      <c r="B965" s="16" t="s">
        <v>1876</v>
      </c>
    </row>
    <row r="966" spans="1:2">
      <c r="A966" s="16" t="s">
        <v>2128</v>
      </c>
      <c r="B966" s="16" t="s">
        <v>2129</v>
      </c>
    </row>
    <row r="967" spans="1:2">
      <c r="A967" s="16" t="s">
        <v>2130</v>
      </c>
      <c r="B967" s="16" t="s">
        <v>2131</v>
      </c>
    </row>
    <row r="968" spans="1:2">
      <c r="A968" s="16" t="s">
        <v>2132</v>
      </c>
      <c r="B968" s="16" t="s">
        <v>2133</v>
      </c>
    </row>
    <row r="969" spans="1:2">
      <c r="A969" s="16" t="s">
        <v>2134</v>
      </c>
      <c r="B969" s="16" t="s">
        <v>2135</v>
      </c>
    </row>
    <row r="970" spans="1:2">
      <c r="A970" s="16" t="s">
        <v>2136</v>
      </c>
      <c r="B970" s="16" t="s">
        <v>2137</v>
      </c>
    </row>
    <row r="971" spans="1:2">
      <c r="A971" s="16" t="s">
        <v>2138</v>
      </c>
      <c r="B971" s="16" t="s">
        <v>2139</v>
      </c>
    </row>
    <row r="972" spans="1:2">
      <c r="A972" s="16" t="s">
        <v>2140</v>
      </c>
      <c r="B972" s="16" t="s">
        <v>1309</v>
      </c>
    </row>
    <row r="973" spans="1:2">
      <c r="A973" s="16" t="s">
        <v>2141</v>
      </c>
      <c r="B973" s="16" t="s">
        <v>483</v>
      </c>
    </row>
    <row r="974" spans="1:2">
      <c r="A974" s="16" t="s">
        <v>2142</v>
      </c>
      <c r="B974" s="16" t="s">
        <v>2143</v>
      </c>
    </row>
    <row r="975" spans="1:2">
      <c r="A975" s="16" t="s">
        <v>2144</v>
      </c>
      <c r="B975" s="16" t="s">
        <v>2145</v>
      </c>
    </row>
    <row r="976" spans="1:2">
      <c r="A976" s="16" t="s">
        <v>2146</v>
      </c>
      <c r="B976" s="16" t="s">
        <v>2147</v>
      </c>
    </row>
    <row r="977" spans="1:2">
      <c r="A977" s="16" t="s">
        <v>2148</v>
      </c>
      <c r="B977" s="16" t="s">
        <v>2149</v>
      </c>
    </row>
    <row r="978" spans="1:2">
      <c r="A978" s="16" t="s">
        <v>2150</v>
      </c>
      <c r="B978" s="16" t="s">
        <v>2151</v>
      </c>
    </row>
    <row r="979" spans="1:2">
      <c r="A979" s="16" t="s">
        <v>2152</v>
      </c>
      <c r="B979" s="16" t="s">
        <v>2153</v>
      </c>
    </row>
    <row r="980" spans="1:2">
      <c r="A980" s="16" t="s">
        <v>2154</v>
      </c>
      <c r="B980" s="16" t="s">
        <v>2155</v>
      </c>
    </row>
    <row r="981" spans="1:2">
      <c r="A981" s="16" t="s">
        <v>2156</v>
      </c>
      <c r="B981" s="16" t="s">
        <v>2157</v>
      </c>
    </row>
    <row r="982" spans="1:2">
      <c r="A982" s="16" t="s">
        <v>2158</v>
      </c>
      <c r="B982" s="16" t="s">
        <v>2159</v>
      </c>
    </row>
    <row r="983" spans="1:2">
      <c r="A983" s="16" t="s">
        <v>2160</v>
      </c>
      <c r="B983" s="16" t="s">
        <v>2161</v>
      </c>
    </row>
    <row r="984" spans="1:2">
      <c r="A984" s="16" t="s">
        <v>2162</v>
      </c>
      <c r="B984" s="16" t="s">
        <v>2163</v>
      </c>
    </row>
    <row r="985" spans="1:2">
      <c r="A985" s="16" t="s">
        <v>2164</v>
      </c>
      <c r="B985" s="16" t="s">
        <v>2165</v>
      </c>
    </row>
    <row r="986" spans="1:2">
      <c r="A986" s="16" t="s">
        <v>2166</v>
      </c>
      <c r="B986" s="16" t="s">
        <v>2167</v>
      </c>
    </row>
    <row r="987" spans="1:2">
      <c r="A987" s="16" t="s">
        <v>2168</v>
      </c>
      <c r="B987" s="16" t="s">
        <v>2169</v>
      </c>
    </row>
    <row r="988" spans="1:2">
      <c r="A988" s="16" t="s">
        <v>2170</v>
      </c>
      <c r="B988" s="16" t="s">
        <v>2171</v>
      </c>
    </row>
    <row r="989" spans="1:2">
      <c r="A989" s="16" t="s">
        <v>2172</v>
      </c>
      <c r="B989" s="16" t="s">
        <v>2173</v>
      </c>
    </row>
    <row r="990" spans="1:2">
      <c r="A990" s="16" t="s">
        <v>2174</v>
      </c>
      <c r="B990" s="16" t="s">
        <v>2175</v>
      </c>
    </row>
    <row r="991" spans="1:2">
      <c r="A991" s="16" t="s">
        <v>2176</v>
      </c>
      <c r="B991" s="16" t="s">
        <v>665</v>
      </c>
    </row>
    <row r="992" spans="1:2">
      <c r="A992" s="16" t="s">
        <v>2177</v>
      </c>
      <c r="B992" s="16" t="s">
        <v>2178</v>
      </c>
    </row>
    <row r="993" spans="1:2">
      <c r="A993" s="16" t="s">
        <v>2179</v>
      </c>
      <c r="B993" s="16" t="s">
        <v>2180</v>
      </c>
    </row>
    <row r="994" spans="1:2">
      <c r="A994" s="16" t="s">
        <v>2181</v>
      </c>
      <c r="B994" s="16" t="s">
        <v>2182</v>
      </c>
    </row>
    <row r="995" spans="1:2">
      <c r="A995" s="16" t="s">
        <v>2183</v>
      </c>
      <c r="B995" s="16" t="s">
        <v>1988</v>
      </c>
    </row>
    <row r="996" spans="1:2">
      <c r="A996" s="16" t="s">
        <v>2184</v>
      </c>
      <c r="B996" s="16" t="s">
        <v>2185</v>
      </c>
    </row>
    <row r="997" spans="1:2">
      <c r="A997" s="16" t="s">
        <v>2186</v>
      </c>
      <c r="B997" s="16" t="s">
        <v>2187</v>
      </c>
    </row>
    <row r="998" spans="1:2">
      <c r="A998" s="16" t="s">
        <v>2188</v>
      </c>
      <c r="B998" s="16" t="s">
        <v>2189</v>
      </c>
    </row>
    <row r="999" spans="1:2">
      <c r="A999" s="16" t="s">
        <v>2190</v>
      </c>
      <c r="B999" s="16" t="s">
        <v>2191</v>
      </c>
    </row>
    <row r="1000" spans="1:2">
      <c r="A1000" s="16" t="s">
        <v>2192</v>
      </c>
      <c r="B1000" s="16" t="s">
        <v>2193</v>
      </c>
    </row>
    <row r="1001" spans="1:2">
      <c r="A1001" s="16" t="s">
        <v>2194</v>
      </c>
      <c r="B1001" s="16" t="s">
        <v>2195</v>
      </c>
    </row>
    <row r="1002" spans="1:2">
      <c r="A1002" s="16" t="s">
        <v>2196</v>
      </c>
      <c r="B1002" s="16" t="s">
        <v>2197</v>
      </c>
    </row>
    <row r="1003" spans="1:2">
      <c r="A1003" s="16" t="s">
        <v>2198</v>
      </c>
      <c r="B1003" s="16" t="s">
        <v>2199</v>
      </c>
    </row>
    <row r="1004" spans="1:2">
      <c r="A1004" s="16" t="s">
        <v>2200</v>
      </c>
      <c r="B1004" s="16" t="s">
        <v>2201</v>
      </c>
    </row>
    <row r="1005" spans="1:2">
      <c r="A1005" s="16" t="s">
        <v>2202</v>
      </c>
      <c r="B1005" s="16" t="s">
        <v>2203</v>
      </c>
    </row>
    <row r="1006" spans="1:2">
      <c r="A1006" s="16" t="s">
        <v>2204</v>
      </c>
      <c r="B1006" s="16" t="s">
        <v>2205</v>
      </c>
    </row>
    <row r="1007" spans="1:2">
      <c r="A1007" s="16" t="s">
        <v>2206</v>
      </c>
      <c r="B1007" s="16" t="s">
        <v>2207</v>
      </c>
    </row>
    <row r="1008" spans="1:2">
      <c r="A1008" s="16" t="s">
        <v>2208</v>
      </c>
      <c r="B1008" s="16" t="s">
        <v>2209</v>
      </c>
    </row>
    <row r="1009" spans="1:2">
      <c r="A1009" s="16" t="s">
        <v>2210</v>
      </c>
      <c r="B1009" s="16" t="s">
        <v>2211</v>
      </c>
    </row>
    <row r="1010" spans="1:2">
      <c r="A1010" s="16" t="s">
        <v>2212</v>
      </c>
      <c r="B1010" s="16" t="s">
        <v>2213</v>
      </c>
    </row>
    <row r="1011" spans="1:2">
      <c r="A1011" s="16" t="s">
        <v>2214</v>
      </c>
      <c r="B1011" s="16" t="s">
        <v>2215</v>
      </c>
    </row>
    <row r="1012" spans="1:2">
      <c r="A1012" s="16" t="s">
        <v>2216</v>
      </c>
      <c r="B1012" s="16" t="s">
        <v>2217</v>
      </c>
    </row>
    <row r="1013" spans="1:2">
      <c r="A1013" s="16" t="s">
        <v>2218</v>
      </c>
      <c r="B1013" s="16" t="s">
        <v>2219</v>
      </c>
    </row>
    <row r="1014" spans="1:2">
      <c r="A1014" s="16" t="s">
        <v>2220</v>
      </c>
      <c r="B1014" s="16" t="s">
        <v>2221</v>
      </c>
    </row>
    <row r="1015" spans="1:2">
      <c r="A1015" s="16" t="s">
        <v>2222</v>
      </c>
      <c r="B1015" s="16" t="s">
        <v>2223</v>
      </c>
    </row>
    <row r="1016" spans="1:2">
      <c r="A1016" s="16" t="s">
        <v>2224</v>
      </c>
      <c r="B1016" s="16" t="s">
        <v>2225</v>
      </c>
    </row>
    <row r="1017" spans="1:2">
      <c r="A1017" s="16" t="s">
        <v>2226</v>
      </c>
      <c r="B1017" s="16" t="s">
        <v>2227</v>
      </c>
    </row>
    <row r="1018" spans="1:2">
      <c r="A1018" s="16" t="s">
        <v>2228</v>
      </c>
      <c r="B1018" s="16" t="s">
        <v>2229</v>
      </c>
    </row>
    <row r="1019" spans="1:2">
      <c r="A1019" s="16" t="s">
        <v>2230</v>
      </c>
      <c r="B1019" s="16" t="s">
        <v>2231</v>
      </c>
    </row>
    <row r="1020" spans="1:2">
      <c r="A1020" s="16" t="s">
        <v>2232</v>
      </c>
      <c r="B1020" s="16" t="s">
        <v>2149</v>
      </c>
    </row>
    <row r="1021" spans="1:2">
      <c r="A1021" s="16" t="s">
        <v>2233</v>
      </c>
      <c r="B1021" s="16" t="s">
        <v>2155</v>
      </c>
    </row>
    <row r="1022" spans="1:2">
      <c r="A1022" s="16" t="s">
        <v>2234</v>
      </c>
      <c r="B1022" s="16" t="s">
        <v>1108</v>
      </c>
    </row>
    <row r="1023" spans="1:2">
      <c r="A1023" s="16" t="s">
        <v>2235</v>
      </c>
      <c r="B1023" s="16" t="s">
        <v>2236</v>
      </c>
    </row>
    <row r="1024" spans="1:2">
      <c r="A1024" s="16" t="s">
        <v>2237</v>
      </c>
      <c r="B1024" s="16" t="s">
        <v>2238</v>
      </c>
    </row>
    <row r="1025" spans="1:2">
      <c r="A1025" s="16" t="s">
        <v>2239</v>
      </c>
      <c r="B1025" s="16" t="s">
        <v>2240</v>
      </c>
    </row>
    <row r="1026" spans="1:2">
      <c r="A1026" s="16" t="s">
        <v>2241</v>
      </c>
      <c r="B1026" s="16" t="s">
        <v>2242</v>
      </c>
    </row>
    <row r="1027" spans="1:2">
      <c r="A1027" s="16" t="s">
        <v>2243</v>
      </c>
      <c r="B1027" s="16" t="s">
        <v>2244</v>
      </c>
    </row>
    <row r="1028" spans="1:2">
      <c r="A1028" s="16" t="s">
        <v>2245</v>
      </c>
      <c r="B1028" s="16" t="s">
        <v>2246</v>
      </c>
    </row>
    <row r="1029" spans="1:2">
      <c r="A1029" s="16" t="s">
        <v>2247</v>
      </c>
      <c r="B1029" s="16" t="s">
        <v>2248</v>
      </c>
    </row>
    <row r="1030" spans="1:2">
      <c r="A1030" s="16" t="s">
        <v>2249</v>
      </c>
      <c r="B1030" s="16" t="s">
        <v>2250</v>
      </c>
    </row>
    <row r="1031" spans="1:2">
      <c r="A1031" s="16" t="s">
        <v>2251</v>
      </c>
      <c r="B1031" s="16" t="s">
        <v>2252</v>
      </c>
    </row>
    <row r="1032" spans="1:2">
      <c r="A1032" s="16" t="s">
        <v>2253</v>
      </c>
      <c r="B1032" s="16" t="s">
        <v>2254</v>
      </c>
    </row>
    <row r="1033" spans="1:2">
      <c r="A1033" s="16" t="s">
        <v>2255</v>
      </c>
      <c r="B1033" s="16" t="s">
        <v>2256</v>
      </c>
    </row>
    <row r="1034" spans="1:2">
      <c r="A1034" s="16" t="s">
        <v>2257</v>
      </c>
      <c r="B1034" s="16" t="s">
        <v>2258</v>
      </c>
    </row>
    <row r="1035" spans="1:2">
      <c r="A1035" s="16" t="s">
        <v>2259</v>
      </c>
      <c r="B1035" s="16" t="s">
        <v>2254</v>
      </c>
    </row>
    <row r="1036" spans="1:2">
      <c r="A1036" s="16" t="s">
        <v>2260</v>
      </c>
      <c r="B1036" s="16" t="s">
        <v>671</v>
      </c>
    </row>
    <row r="1037" spans="1:2">
      <c r="A1037" s="16" t="s">
        <v>2261</v>
      </c>
      <c r="B1037" s="16" t="s">
        <v>2262</v>
      </c>
    </row>
    <row r="1038" spans="1:2">
      <c r="A1038" s="16" t="s">
        <v>2263</v>
      </c>
      <c r="B1038" s="16" t="s">
        <v>2264</v>
      </c>
    </row>
    <row r="1039" spans="1:2">
      <c r="A1039" s="16" t="s">
        <v>2265</v>
      </c>
      <c r="B1039" s="16" t="s">
        <v>2266</v>
      </c>
    </row>
    <row r="1040" spans="1:2">
      <c r="A1040" s="16" t="s">
        <v>2267</v>
      </c>
      <c r="B1040" s="16" t="s">
        <v>2268</v>
      </c>
    </row>
    <row r="1041" spans="1:2">
      <c r="A1041" s="16" t="s">
        <v>2269</v>
      </c>
      <c r="B1041" s="16" t="s">
        <v>2270</v>
      </c>
    </row>
    <row r="1042" spans="1:2">
      <c r="A1042" s="16" t="s">
        <v>2271</v>
      </c>
      <c r="B1042" s="16" t="s">
        <v>2272</v>
      </c>
    </row>
    <row r="1043" spans="1:2">
      <c r="A1043" s="16" t="s">
        <v>2273</v>
      </c>
      <c r="B1043" s="16" t="s">
        <v>2274</v>
      </c>
    </row>
    <row r="1044" spans="1:2">
      <c r="A1044" s="16" t="s">
        <v>2275</v>
      </c>
      <c r="B1044" s="16" t="s">
        <v>2276</v>
      </c>
    </row>
    <row r="1045" spans="1:2">
      <c r="A1045" s="16" t="s">
        <v>2277</v>
      </c>
      <c r="B1045" s="16" t="s">
        <v>2278</v>
      </c>
    </row>
    <row r="1046" spans="1:2">
      <c r="A1046" s="16" t="s">
        <v>2279</v>
      </c>
      <c r="B1046" s="16" t="s">
        <v>2280</v>
      </c>
    </row>
    <row r="1047" spans="1:2">
      <c r="A1047" s="16" t="s">
        <v>2281</v>
      </c>
      <c r="B1047" s="16" t="s">
        <v>977</v>
      </c>
    </row>
    <row r="1048" spans="1:2">
      <c r="A1048" s="16" t="s">
        <v>2282</v>
      </c>
      <c r="B1048" s="16" t="s">
        <v>2283</v>
      </c>
    </row>
    <row r="1049" spans="1:2">
      <c r="A1049" s="16" t="s">
        <v>2284</v>
      </c>
      <c r="B1049" s="16" t="s">
        <v>967</v>
      </c>
    </row>
    <row r="1050" spans="1:2">
      <c r="A1050" s="16" t="s">
        <v>2285</v>
      </c>
      <c r="B1050" s="16" t="s">
        <v>2286</v>
      </c>
    </row>
    <row r="1051" spans="1:2">
      <c r="A1051" s="16" t="s">
        <v>2287</v>
      </c>
      <c r="B1051" s="16" t="s">
        <v>2288</v>
      </c>
    </row>
    <row r="1052" spans="1:2">
      <c r="A1052" s="16" t="s">
        <v>2289</v>
      </c>
      <c r="B1052" s="16" t="s">
        <v>2290</v>
      </c>
    </row>
    <row r="1053" spans="1:2">
      <c r="A1053" s="16" t="s">
        <v>2291</v>
      </c>
      <c r="B1053" s="16" t="s">
        <v>2292</v>
      </c>
    </row>
    <row r="1054" spans="1:2">
      <c r="A1054" s="16" t="s">
        <v>2293</v>
      </c>
      <c r="B1054" s="16" t="s">
        <v>2294</v>
      </c>
    </row>
    <row r="1055" spans="1:2">
      <c r="A1055" s="16" t="s">
        <v>2295</v>
      </c>
      <c r="B1055" s="16" t="s">
        <v>2296</v>
      </c>
    </row>
    <row r="1056" spans="1:2">
      <c r="A1056" s="16" t="s">
        <v>2297</v>
      </c>
      <c r="B1056" s="16" t="s">
        <v>2298</v>
      </c>
    </row>
    <row r="1057" spans="1:2">
      <c r="A1057" s="16" t="s">
        <v>2299</v>
      </c>
      <c r="B1057" s="16" t="s">
        <v>2300</v>
      </c>
    </row>
    <row r="1058" spans="1:2">
      <c r="A1058" s="16" t="s">
        <v>2301</v>
      </c>
      <c r="B1058" s="16" t="s">
        <v>2302</v>
      </c>
    </row>
    <row r="1059" spans="1:2">
      <c r="A1059" s="16" t="s">
        <v>2303</v>
      </c>
      <c r="B1059" s="16" t="s">
        <v>2304</v>
      </c>
    </row>
    <row r="1060" spans="1:2">
      <c r="A1060" s="16" t="s">
        <v>2305</v>
      </c>
      <c r="B1060" s="16" t="s">
        <v>2306</v>
      </c>
    </row>
    <row r="1061" spans="1:2">
      <c r="A1061" s="16" t="s">
        <v>2307</v>
      </c>
      <c r="B1061" s="16" t="s">
        <v>2308</v>
      </c>
    </row>
    <row r="1062" spans="1:2">
      <c r="A1062" s="16" t="s">
        <v>2309</v>
      </c>
      <c r="B1062" s="16" t="s">
        <v>2310</v>
      </c>
    </row>
    <row r="1063" spans="1:2">
      <c r="A1063" s="16" t="s">
        <v>2311</v>
      </c>
      <c r="B1063" s="16" t="s">
        <v>2312</v>
      </c>
    </row>
    <row r="1064" spans="1:2">
      <c r="A1064" s="16" t="s">
        <v>2313</v>
      </c>
      <c r="B1064" s="16" t="s">
        <v>2314</v>
      </c>
    </row>
    <row r="1065" spans="1:2">
      <c r="A1065" s="16" t="s">
        <v>2315</v>
      </c>
      <c r="B1065" s="16" t="s">
        <v>2316</v>
      </c>
    </row>
    <row r="1066" spans="1:2">
      <c r="A1066" s="16" t="s">
        <v>2317</v>
      </c>
      <c r="B1066" s="16" t="s">
        <v>2318</v>
      </c>
    </row>
    <row r="1067" spans="1:2">
      <c r="A1067" s="16" t="s">
        <v>2319</v>
      </c>
      <c r="B1067" s="16" t="s">
        <v>2320</v>
      </c>
    </row>
    <row r="1068" spans="1:2">
      <c r="A1068" s="16" t="s">
        <v>2321</v>
      </c>
      <c r="B1068" s="16" t="s">
        <v>2322</v>
      </c>
    </row>
    <row r="1069" spans="1:2">
      <c r="A1069" s="16" t="s">
        <v>2323</v>
      </c>
      <c r="B1069" s="16" t="s">
        <v>2324</v>
      </c>
    </row>
    <row r="1070" spans="1:2">
      <c r="A1070" s="16" t="s">
        <v>2325</v>
      </c>
      <c r="B1070" s="16" t="s">
        <v>2326</v>
      </c>
    </row>
    <row r="1071" spans="1:2">
      <c r="A1071" s="16" t="s">
        <v>2327</v>
      </c>
      <c r="B1071" s="16" t="s">
        <v>2328</v>
      </c>
    </row>
    <row r="1072" spans="1:2">
      <c r="A1072" s="16" t="s">
        <v>2329</v>
      </c>
      <c r="B1072" s="16" t="s">
        <v>2330</v>
      </c>
    </row>
    <row r="1073" spans="1:2">
      <c r="A1073" s="16" t="s">
        <v>2331</v>
      </c>
      <c r="B1073" s="16" t="s">
        <v>2332</v>
      </c>
    </row>
    <row r="1074" spans="1:2">
      <c r="A1074" s="16" t="s">
        <v>2333</v>
      </c>
      <c r="B1074" s="16" t="s">
        <v>2334</v>
      </c>
    </row>
    <row r="1075" spans="1:2">
      <c r="A1075" s="16" t="s">
        <v>2335</v>
      </c>
      <c r="B1075" s="16" t="s">
        <v>2336</v>
      </c>
    </row>
    <row r="1076" spans="1:2">
      <c r="A1076" s="16" t="s">
        <v>2337</v>
      </c>
      <c r="B1076" s="16" t="s">
        <v>708</v>
      </c>
    </row>
    <row r="1077" spans="1:2">
      <c r="A1077" s="16" t="s">
        <v>2338</v>
      </c>
      <c r="B1077" s="16" t="s">
        <v>2339</v>
      </c>
    </row>
    <row r="1078" spans="1:2">
      <c r="A1078" s="16" t="s">
        <v>2340</v>
      </c>
      <c r="B1078" s="16" t="s">
        <v>1517</v>
      </c>
    </row>
    <row r="1079" spans="1:2">
      <c r="A1079" s="16" t="s">
        <v>2341</v>
      </c>
      <c r="B1079" s="16" t="s">
        <v>2342</v>
      </c>
    </row>
    <row r="1080" spans="1:2">
      <c r="A1080" s="16" t="s">
        <v>2343</v>
      </c>
      <c r="B1080" s="16" t="s">
        <v>2344</v>
      </c>
    </row>
    <row r="1081" spans="1:2">
      <c r="A1081" s="16" t="s">
        <v>2345</v>
      </c>
      <c r="B1081" s="16" t="s">
        <v>2346</v>
      </c>
    </row>
    <row r="1082" spans="1:2">
      <c r="A1082" s="16" t="s">
        <v>2347</v>
      </c>
      <c r="B1082" s="16" t="s">
        <v>2348</v>
      </c>
    </row>
    <row r="1083" spans="1:2">
      <c r="A1083" s="16" t="s">
        <v>2349</v>
      </c>
      <c r="B1083" s="16" t="s">
        <v>2350</v>
      </c>
    </row>
    <row r="1084" spans="1:2">
      <c r="A1084" s="16" t="s">
        <v>2351</v>
      </c>
      <c r="B1084" s="16" t="s">
        <v>2352</v>
      </c>
    </row>
    <row r="1085" spans="1:2">
      <c r="A1085" s="16" t="s">
        <v>2353</v>
      </c>
      <c r="B1085" s="16" t="s">
        <v>2354</v>
      </c>
    </row>
    <row r="1086" spans="1:2">
      <c r="A1086" s="16" t="s">
        <v>2355</v>
      </c>
      <c r="B1086" s="16" t="s">
        <v>2356</v>
      </c>
    </row>
    <row r="1087" spans="1:2">
      <c r="A1087" s="16" t="s">
        <v>2357</v>
      </c>
      <c r="B1087" s="16" t="s">
        <v>2358</v>
      </c>
    </row>
    <row r="1088" spans="1:2">
      <c r="A1088" s="16" t="s">
        <v>2359</v>
      </c>
      <c r="B1088" s="16" t="s">
        <v>2360</v>
      </c>
    </row>
    <row r="1089" spans="1:2">
      <c r="A1089" s="16" t="s">
        <v>2361</v>
      </c>
      <c r="B1089" s="16" t="s">
        <v>2362</v>
      </c>
    </row>
    <row r="1090" spans="1:2">
      <c r="A1090" s="16" t="s">
        <v>2363</v>
      </c>
      <c r="B1090" s="16" t="s">
        <v>2364</v>
      </c>
    </row>
    <row r="1091" spans="1:2">
      <c r="A1091" s="16" t="s">
        <v>2365</v>
      </c>
      <c r="B1091" s="16" t="s">
        <v>2366</v>
      </c>
    </row>
    <row r="1092" spans="1:2">
      <c r="A1092" s="16" t="s">
        <v>2367</v>
      </c>
      <c r="B1092" s="16" t="s">
        <v>2368</v>
      </c>
    </row>
    <row r="1093" spans="1:2">
      <c r="A1093" s="16" t="s">
        <v>0</v>
      </c>
      <c r="B1093" s="16" t="s">
        <v>320</v>
      </c>
    </row>
    <row r="1094" spans="1:2">
      <c r="A1094" s="16" t="s">
        <v>0</v>
      </c>
      <c r="B1094" s="16" t="s">
        <v>2143</v>
      </c>
    </row>
  </sheetData>
  <sheetProtection algorithmName="SHA-512" hashValue="lpy046XUPmuGKnOiALVsRVpDbjqaNvqihlwjmrNy+WicQOuPng/JACk+tQB4EAleJBohtwZAx0BGUxnCwC43Rw==" saltValue="Ykc6m92522OSjgjVsUlUMA==" spinCount="100000" sheet="1" objects="1" scenarios="1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6_Hilfstabelle"/>
  <dimension ref="A1:W84"/>
  <sheetViews>
    <sheetView topLeftCell="I1" zoomScaleNormal="100" workbookViewId="0">
      <selection activeCell="O7" sqref="O7"/>
    </sheetView>
  </sheetViews>
  <sheetFormatPr baseColWidth="10" defaultColWidth="11.42578125" defaultRowHeight="12.75"/>
  <cols>
    <col min="1" max="1" width="22.85546875" style="16" customWidth="1"/>
    <col min="2" max="2" width="7.140625" style="16" customWidth="1"/>
    <col min="3" max="3" width="44.85546875" customWidth="1"/>
    <col min="4" max="4" width="35.28515625" customWidth="1"/>
    <col min="5" max="5" width="21.42578125" customWidth="1"/>
    <col min="6" max="6" width="26" customWidth="1"/>
    <col min="7" max="7" width="24.85546875" bestFit="1" customWidth="1"/>
    <col min="8" max="8" width="15.7109375" customWidth="1"/>
    <col min="9" max="9" width="28.7109375" customWidth="1"/>
    <col min="10" max="10" width="12.42578125" hidden="1" customWidth="1"/>
    <col min="11" max="11" width="51.7109375" customWidth="1"/>
    <col min="12" max="12" width="41.85546875" customWidth="1"/>
    <col min="13" max="13" width="9.85546875" customWidth="1"/>
    <col min="14" max="14" width="10.42578125" customWidth="1"/>
    <col min="15" max="15" width="24.42578125" customWidth="1"/>
    <col min="16" max="16" width="10.42578125" customWidth="1"/>
    <col min="17" max="17" width="10.28515625" customWidth="1"/>
    <col min="18" max="18" width="15.140625" customWidth="1"/>
    <col min="19" max="19" width="14.5703125" customWidth="1"/>
    <col min="20" max="20" width="6.28515625" customWidth="1"/>
    <col min="21" max="21" width="15.7109375" customWidth="1"/>
    <col min="22" max="22" width="18.85546875" customWidth="1"/>
    <col min="23" max="23" width="10.7109375" customWidth="1"/>
    <col min="24" max="24" width="16.7109375" customWidth="1"/>
    <col min="25" max="25" width="12.5703125" customWidth="1"/>
  </cols>
  <sheetData>
    <row r="1" spans="1:16">
      <c r="A1" s="17" t="s">
        <v>32</v>
      </c>
      <c r="B1" s="17"/>
      <c r="C1" s="15" t="s">
        <v>19</v>
      </c>
      <c r="D1" s="10" t="s">
        <v>3</v>
      </c>
      <c r="F1" s="10" t="s">
        <v>2</v>
      </c>
      <c r="G1" s="17" t="s">
        <v>15</v>
      </c>
      <c r="H1" s="17" t="s">
        <v>7</v>
      </c>
      <c r="I1" s="16"/>
      <c r="J1" s="16"/>
      <c r="L1" s="17" t="s">
        <v>183</v>
      </c>
      <c r="M1" s="17" t="s">
        <v>185</v>
      </c>
      <c r="N1" s="17" t="s">
        <v>184</v>
      </c>
      <c r="O1" s="17" t="s">
        <v>188</v>
      </c>
      <c r="P1" s="17" t="s">
        <v>189</v>
      </c>
    </row>
    <row r="2" spans="1:16" ht="12.75" customHeight="1">
      <c r="A2" s="16" t="str">
        <f>VLOOKUP("WG_1052_ST_TXT_0037",Translation!A:B,2,FALSE)</f>
        <v>Rechnung</v>
      </c>
      <c r="B2" s="16" t="str">
        <f>VLOOKUP("WG_1052_ST_TXT_0037_1",Translation!A:B,2,FALSE)</f>
        <v>RE</v>
      </c>
      <c r="C2" s="18" t="str">
        <f>VLOOKUP("WG_1052_ST_TXT_0031_1",Translation!A:B,2,FALSE)</f>
        <v>Honorar / Dienstleistungen / Übrige</v>
      </c>
      <c r="D2" t="str">
        <f>VLOOKUP("WG_1052_ST_TXT_0031_1",Translation!A:B,2,FALSE)</f>
        <v>Honorar / Dienstleistungen / Übrige</v>
      </c>
      <c r="E2" s="16" t="str">
        <f>VLOOKUP("WG_1052_ST_TXT_0031_2",Translation!A:B,2,FALSE)</f>
        <v>DI</v>
      </c>
      <c r="F2" t="str">
        <f>VLOOKUP("WG_1052_ST_TXT_0027",Translation!A:B,2,FALSE)</f>
        <v>Ja</v>
      </c>
      <c r="G2" t="s">
        <v>5</v>
      </c>
      <c r="H2" s="21" t="s">
        <v>21</v>
      </c>
      <c r="I2" s="21" t="e">
        <f>VLOOKUP("WG_1052_ST_TXT_0045_1",Translation!A:B,2,FALSE)</f>
        <v>#N/A</v>
      </c>
      <c r="J2" s="12">
        <v>0</v>
      </c>
      <c r="K2" s="21" t="s">
        <v>179</v>
      </c>
      <c r="L2" s="18" t="str">
        <f>VLOOKUP("WG_1052_ST_TXT_0032_1",Translation!A:B,2,FALSE)</f>
        <v>Teuerung</v>
      </c>
      <c r="M2" t="s">
        <v>2369</v>
      </c>
      <c r="N2" t="s">
        <v>184</v>
      </c>
      <c r="O2" t="b">
        <f>IF(AND(IFERROR(_xlfn.NUMBERVALUE(RB_Prozent,"."),_xlfn.NUMBERVALUE(RB_Prozent,","))&gt;0,OR(AND(Stammdaten!L2="1022",IFERROR(Rechnungsart="DI",TRUE)),AND(Stammdaten!L2="1018",IFERROR(Rechnungsart="AR",TRUE)),,AND(Stammdaten!L2="1018",IFERROR(Rechnungsart="RB",TRUE)))),TRUE,FALSE)</f>
        <v>0</v>
      </c>
      <c r="P2">
        <f>_xlfn.NUMBERVALUE(VLOOKUP("GLO_GT_TXT_0225",Translation!A:B,2,FALSE),".")</f>
        <v>7.7</v>
      </c>
    </row>
    <row r="3" spans="1:16" ht="12.75" customHeight="1">
      <c r="A3" s="16" t="str">
        <f>VLOOKUP("WG_1052_ST_TXT_0038",Translation!A:B,2,FALSE)</f>
        <v>Gutschrift</v>
      </c>
      <c r="B3" s="16" t="str">
        <f>VLOOKUP("WG_1052_ST_TXT_0038_1",Translation!A:B,2,FALSE)</f>
        <v>GU</v>
      </c>
      <c r="C3" s="19" t="str">
        <f>VLOOKUP("WG_1052_ST_TXT_0032_1",Translation!A:B,2,FALSE)</f>
        <v>Teuerung</v>
      </c>
      <c r="D3" t="str">
        <f>VLOOKUP("WG_1052_ST_TXT_0032_1",Translation!A:B,2,FALSE)</f>
        <v>Teuerung</v>
      </c>
      <c r="E3" s="16" t="str">
        <f>VLOOKUP("WG_1052_ST_TXT_0032_2",Translation!A:B,2,FALSE)</f>
        <v>TE</v>
      </c>
      <c r="F3" t="str">
        <f>VLOOKUP("WG_1052_ST_TXT_0028",Translation!A:B,2,FALSE)</f>
        <v>Nein</v>
      </c>
      <c r="G3" t="s">
        <v>16</v>
      </c>
      <c r="H3" s="21" t="s">
        <v>8</v>
      </c>
      <c r="I3" s="21" t="e">
        <f>VLOOKUP("WG_1052_ST_TXT_0045_2",Translation!A:B,2,FALSE)</f>
        <v>#N/A</v>
      </c>
      <c r="J3" s="12">
        <v>0</v>
      </c>
      <c r="K3" s="21" t="s">
        <v>180</v>
      </c>
      <c r="L3" s="20" t="str">
        <f>VLOOKUP("WG_1052_ST_TXT_0035_1",Translation!A:B,2,FALSE)</f>
        <v>Zahlungsplan</v>
      </c>
      <c r="N3" t="s">
        <v>186</v>
      </c>
      <c r="O3" s="133" t="s">
        <v>292</v>
      </c>
    </row>
    <row r="4" spans="1:16" ht="12.75" customHeight="1">
      <c r="C4" s="19"/>
      <c r="D4" s="16" t="str">
        <f>VLOOKUP("WG_1052_ST_TXT_0034_1",Translation!A:B,2,FALSE)</f>
        <v>Ausmass / Regie mit Rückbehalt</v>
      </c>
      <c r="E4" s="16" t="str">
        <f>VLOOKUP("WG_1052_ST_TXT_0034_2",Translation!A:B,2,FALSE)</f>
        <v>AR</v>
      </c>
      <c r="G4" t="s">
        <v>17</v>
      </c>
      <c r="H4" s="21" t="s">
        <v>9</v>
      </c>
      <c r="I4" s="21" t="e">
        <f>VLOOKUP("WG_1052_ST_TXT_0045_3",Translation!A:B,2,FALSE)</f>
        <v>#N/A</v>
      </c>
      <c r="J4" s="12">
        <v>0</v>
      </c>
      <c r="K4" s="21" t="s">
        <v>181</v>
      </c>
      <c r="L4" t="str">
        <f>VLOOKUP("WG_1052_ST_TXT_0030_1",Translation!A:B,2,FALSE)</f>
        <v>Ausmass / Regie ohne Rückbehalt</v>
      </c>
      <c r="N4" t="s">
        <v>187</v>
      </c>
      <c r="O4" t="s">
        <v>292</v>
      </c>
    </row>
    <row r="5" spans="1:16" ht="12.75" customHeight="1">
      <c r="C5" s="19"/>
      <c r="D5" s="16" t="str">
        <f>VLOOKUP("WG_1052_ST_TXT_0029_1",Translation!A:B,2,FALSE)</f>
        <v>Ausmass ohne Rückbehalt</v>
      </c>
      <c r="E5" s="16" t="str">
        <f>VLOOKUP("WG_1052_ST_TXT_0029_2",Translation!A:B,2,FALSE)</f>
        <v>AU</v>
      </c>
      <c r="G5" t="s">
        <v>18</v>
      </c>
      <c r="H5" s="21" t="s">
        <v>10</v>
      </c>
      <c r="I5" s="21" t="e">
        <f>VLOOKUP("WG_1052_ST_TXT_0045_4",Translation!A:B,2,FALSE)</f>
        <v>#N/A</v>
      </c>
      <c r="J5" s="12">
        <v>0</v>
      </c>
      <c r="K5" s="21" t="s">
        <v>182</v>
      </c>
      <c r="L5" t="str">
        <f>VLOOKUP("WG_1052_ST_TXT_0034_1",Translation!A:B,2,FALSE)</f>
        <v>Ausmass / Regie mit Rückbehalt</v>
      </c>
    </row>
    <row r="6" spans="1:16" ht="12.75" customHeight="1">
      <c r="C6" s="19"/>
      <c r="D6" s="16" t="str">
        <f>VLOOKUP("WG_1052_ST_TXT_0035_1",Translation!A:B,2,FALSE)</f>
        <v>Zahlungsplan</v>
      </c>
      <c r="E6" s="16" t="str">
        <f>VLOOKUP("WG_1052_ST_TXT_0035_2",Translation!A:B,2,FALSE)</f>
        <v>ZP</v>
      </c>
      <c r="H6" s="21" t="s">
        <v>6</v>
      </c>
      <c r="I6" s="21" t="e">
        <f>VLOOKUP("WG_1052_ST_TXT_0045_5",Translation!A:B,2,FALSE)</f>
        <v>#N/A</v>
      </c>
      <c r="J6" s="12">
        <v>0.02</v>
      </c>
      <c r="K6" s="21" t="s">
        <v>100</v>
      </c>
      <c r="L6" s="16" t="str">
        <f>VLOOKUP("WG_1052_ST_TXT_0034_4",Translation!A:B,2,FALSE)</f>
        <v>Regie mit Rückbehalt</v>
      </c>
    </row>
    <row r="7" spans="1:16" ht="12.75" customHeight="1">
      <c r="C7" s="20"/>
      <c r="D7" s="16" t="str">
        <f>VLOOKUP("WG_1052_ST_TXT_0030_1",Translation!A:B,2,FALSE)</f>
        <v>Ausmass / Regie ohne Rückbehalt</v>
      </c>
      <c r="E7" s="16" t="str">
        <f>VLOOKUP("WG_1052_ST_TXT_0030_2",Translation!A:B,2,FALSE)</f>
        <v>RE</v>
      </c>
      <c r="H7" s="21" t="s">
        <v>36</v>
      </c>
      <c r="I7" s="21" t="str">
        <f>VLOOKUP("WG_1052_ST_TXT_0045_6",Translation!A:B,2,FALSE)</f>
        <v>innerhalb 10 Tage netto</v>
      </c>
      <c r="J7" s="12">
        <v>0.02</v>
      </c>
      <c r="K7" s="21" t="s">
        <v>101</v>
      </c>
      <c r="L7" s="16" t="str">
        <f>VLOOKUP("WG_1052_ST_TXT_0030_4",Translation!A:B,2,FALSE)</f>
        <v>Regie ohne Rückbehalt</v>
      </c>
    </row>
    <row r="8" spans="1:16" ht="12.75" customHeight="1">
      <c r="C8" s="1"/>
      <c r="D8" s="16" t="str">
        <f>VLOOKUP("WG_1052_ST_TXT_0030_4",Translation!A:B,2,FALSE)</f>
        <v>Regie ohne Rückbehalt</v>
      </c>
      <c r="E8" s="16" t="str">
        <f>VLOOKUP("WG_1052_ST_TXT_0030_3",Translation!A:B,2,FALSE)</f>
        <v>RO</v>
      </c>
      <c r="H8" s="21" t="s">
        <v>11</v>
      </c>
      <c r="I8" s="21" t="e">
        <f>VLOOKUP("WG_1052_ST_TXT_0045_7",Translation!A:B,2,FALSE)</f>
        <v>#N/A</v>
      </c>
      <c r="J8" s="12">
        <v>0.03</v>
      </c>
      <c r="K8" s="21" t="s">
        <v>102</v>
      </c>
    </row>
    <row r="9" spans="1:16">
      <c r="D9" s="16" t="str">
        <f>VLOOKUP("WG_1052_ST_TXT_0034_4",Translation!A:B,2,FALSE)</f>
        <v>Regie mit Rückbehalt</v>
      </c>
      <c r="E9" s="16" t="str">
        <f>VLOOKUP("WG_1052_ST_TXT_0034_3",Translation!A:B,2,FALSE)</f>
        <v>RB</v>
      </c>
      <c r="H9" s="21" t="s">
        <v>12</v>
      </c>
      <c r="I9" s="21" t="e">
        <f>VLOOKUP("WG_1052_ST_TXT_0045_8",Translation!A:B,2,FALSE)</f>
        <v>#N/A</v>
      </c>
      <c r="J9" s="12">
        <v>0.03</v>
      </c>
      <c r="K9" s="21" t="s">
        <v>103</v>
      </c>
    </row>
    <row r="10" spans="1:16">
      <c r="H10" s="21" t="s">
        <v>37</v>
      </c>
      <c r="I10" s="21" t="e">
        <f>VLOOKUP("WG_1052_ST_TXT_0045_9",Translation!A:B,2,FALSE)</f>
        <v>#N/A</v>
      </c>
      <c r="J10" s="12">
        <v>0.03</v>
      </c>
      <c r="K10" s="21" t="s">
        <v>104</v>
      </c>
    </row>
    <row r="11" spans="1:16">
      <c r="H11" s="21" t="s">
        <v>13</v>
      </c>
      <c r="I11" s="21" t="e">
        <f>VLOOKUP("WG_1052_ST_TXT_0045_10",Translation!A:B,2,FALSE)</f>
        <v>#N/A</v>
      </c>
      <c r="J11" s="12">
        <v>0.02</v>
      </c>
      <c r="K11" s="21" t="s">
        <v>105</v>
      </c>
    </row>
    <row r="12" spans="1:16">
      <c r="H12" s="21" t="s">
        <v>14</v>
      </c>
      <c r="I12" s="21" t="e">
        <f>VLOOKUP("WG_1052_ST_TXT_0045_11",Translation!A:B,2,FALSE)</f>
        <v>#N/A</v>
      </c>
      <c r="J12" s="12">
        <v>0.02</v>
      </c>
      <c r="K12" s="21" t="s">
        <v>106</v>
      </c>
    </row>
    <row r="13" spans="1:16">
      <c r="H13" s="21" t="s">
        <v>22</v>
      </c>
      <c r="I13" s="21" t="e">
        <f>VLOOKUP("WG_1052_ST_TXT_0045_12",Translation!A:B,2,FALSE)</f>
        <v>#N/A</v>
      </c>
      <c r="J13" s="12">
        <v>1.4999999999999999E-2</v>
      </c>
      <c r="K13" s="21" t="s">
        <v>107</v>
      </c>
    </row>
    <row r="14" spans="1:16">
      <c r="H14" s="21" t="s">
        <v>38</v>
      </c>
      <c r="I14" s="21" t="e">
        <f>VLOOKUP("WG_1052_ST_TXT_0045_13",Translation!A:B,2,FALSE)</f>
        <v>#N/A</v>
      </c>
      <c r="J14" s="12">
        <v>1.4999999999999999E-2</v>
      </c>
      <c r="K14" s="21" t="s">
        <v>108</v>
      </c>
    </row>
    <row r="15" spans="1:16">
      <c r="F15" s="11"/>
      <c r="H15" s="21" t="s">
        <v>23</v>
      </c>
      <c r="I15" s="21" t="e">
        <f>VLOOKUP("WG_1052_ST_TXT_0045_14",Translation!A:B,2,FALSE)</f>
        <v>#N/A</v>
      </c>
      <c r="J15" s="12">
        <v>0.02</v>
      </c>
      <c r="K15" s="21" t="s">
        <v>109</v>
      </c>
    </row>
    <row r="16" spans="1:16">
      <c r="H16" s="21" t="s">
        <v>24</v>
      </c>
      <c r="I16" s="21" t="e">
        <f>VLOOKUP("WG_1052_ST_TXT_0045_15",Translation!A:B,2,FALSE)</f>
        <v>#N/A</v>
      </c>
      <c r="J16" s="12">
        <v>0.03</v>
      </c>
      <c r="K16" s="21" t="s">
        <v>110</v>
      </c>
    </row>
    <row r="17" spans="4:15">
      <c r="H17" s="21" t="s">
        <v>39</v>
      </c>
      <c r="I17" s="21" t="e">
        <f>VLOOKUP("WG_1052_ST_TXT_0045_16",Translation!A:B,2,FALSE)</f>
        <v>#N/A</v>
      </c>
      <c r="J17" s="12">
        <v>0.02</v>
      </c>
      <c r="K17" s="21" t="s">
        <v>111</v>
      </c>
    </row>
    <row r="18" spans="4:15">
      <c r="H18" s="21" t="s">
        <v>25</v>
      </c>
      <c r="I18" s="21" t="e">
        <f>VLOOKUP("WG_1052_ST_TXT_0045_17",Translation!A:B,2,FALSE)</f>
        <v>#N/A</v>
      </c>
      <c r="J18" s="12">
        <v>0.02</v>
      </c>
      <c r="K18" s="21" t="s">
        <v>112</v>
      </c>
    </row>
    <row r="19" spans="4:15">
      <c r="H19" s="21" t="s">
        <v>40</v>
      </c>
      <c r="I19" s="21" t="e">
        <f>VLOOKUP("WG_1052_ST_TXT_0045_18",Translation!A:B,2,FALSE)</f>
        <v>#N/A</v>
      </c>
      <c r="J19" s="12">
        <v>0</v>
      </c>
      <c r="K19" s="21" t="s">
        <v>113</v>
      </c>
    </row>
    <row r="20" spans="4:15">
      <c r="H20" s="21" t="s">
        <v>41</v>
      </c>
      <c r="I20" s="21" t="e">
        <f>VLOOKUP("WG_1052_ST_TXT_0045_19",Translation!A:B,2,FALSE)</f>
        <v>#N/A</v>
      </c>
      <c r="J20" s="12">
        <v>0</v>
      </c>
      <c r="K20" s="21" t="s">
        <v>114</v>
      </c>
    </row>
    <row r="21" spans="4:15">
      <c r="H21" s="21" t="s">
        <v>26</v>
      </c>
      <c r="I21" s="21" t="e">
        <f>VLOOKUP("WG_1052_ST_TXT_0045_20",Translation!A:B,2,FALSE)</f>
        <v>#N/A</v>
      </c>
      <c r="K21" s="21" t="s">
        <v>115</v>
      </c>
    </row>
    <row r="22" spans="4:15">
      <c r="H22" s="21" t="s">
        <v>27</v>
      </c>
      <c r="I22" s="21" t="e">
        <f>VLOOKUP("WG_1052_ST_TXT_0045_21",Translation!A:B,2,FALSE)</f>
        <v>#N/A</v>
      </c>
      <c r="K22" s="21" t="s">
        <v>116</v>
      </c>
    </row>
    <row r="23" spans="4:15">
      <c r="H23" s="21" t="s">
        <v>28</v>
      </c>
      <c r="I23" s="21" t="e">
        <f>VLOOKUP("WG_1052_ST_TXT_0045_22",Translation!A:B,2,FALSE)</f>
        <v>#N/A</v>
      </c>
      <c r="K23" s="21" t="s">
        <v>117</v>
      </c>
      <c r="O23" s="21"/>
    </row>
    <row r="24" spans="4:15">
      <c r="E24" s="13"/>
      <c r="H24" s="21" t="s">
        <v>42</v>
      </c>
      <c r="I24" s="21" t="e">
        <f>VLOOKUP("WG_1052_ST_TXT_0045_23",Translation!A:B,2,FALSE)</f>
        <v>#N/A</v>
      </c>
      <c r="K24" s="21" t="s">
        <v>118</v>
      </c>
      <c r="O24" s="21"/>
    </row>
    <row r="25" spans="4:15">
      <c r="E25" s="14"/>
      <c r="H25" s="21" t="s">
        <v>29</v>
      </c>
      <c r="I25" s="21" t="e">
        <f>VLOOKUP("WG_1052_ST_TXT_0045_24",Translation!A:B,2,FALSE)</f>
        <v>#N/A</v>
      </c>
      <c r="K25" s="21" t="s">
        <v>119</v>
      </c>
      <c r="L25" s="16"/>
      <c r="O25" s="21"/>
    </row>
    <row r="26" spans="4:15">
      <c r="E26" s="14"/>
      <c r="H26" s="21" t="s">
        <v>43</v>
      </c>
      <c r="I26" s="21" t="e">
        <f>VLOOKUP("WG_1052_ST_TXT_0045_25",Translation!A:B,2,FALSE)</f>
        <v>#N/A</v>
      </c>
      <c r="K26" s="21" t="s">
        <v>120</v>
      </c>
      <c r="L26" s="16"/>
      <c r="O26" s="21"/>
    </row>
    <row r="27" spans="4:15">
      <c r="E27" s="14"/>
      <c r="H27" s="21" t="s">
        <v>44</v>
      </c>
      <c r="I27" s="21" t="e">
        <f>VLOOKUP("WG_1052_ST_TXT_0045_26",Translation!A:B,2,FALSE)</f>
        <v>#N/A</v>
      </c>
      <c r="K27" s="21" t="s">
        <v>121</v>
      </c>
    </row>
    <row r="28" spans="4:15">
      <c r="E28" s="13"/>
      <c r="H28" s="21" t="s">
        <v>45</v>
      </c>
      <c r="I28" s="21" t="e">
        <f>VLOOKUP("WG_1052_ST_TXT_0045_27",Translation!A:B,2,FALSE)</f>
        <v>#N/A</v>
      </c>
      <c r="K28" s="21" t="s">
        <v>122</v>
      </c>
    </row>
    <row r="29" spans="4:15">
      <c r="E29" s="13"/>
      <c r="H29" s="21" t="s">
        <v>46</v>
      </c>
      <c r="I29" s="21" t="e">
        <f>VLOOKUP("WG_1052_ST_TXT_0045_28",Translation!A:B,2,FALSE)</f>
        <v>#N/A</v>
      </c>
      <c r="K29" s="21" t="s">
        <v>123</v>
      </c>
    </row>
    <row r="30" spans="4:15">
      <c r="E30" s="13"/>
      <c r="H30" s="21" t="s">
        <v>47</v>
      </c>
      <c r="I30" s="21" t="e">
        <f>VLOOKUP("WG_1052_ST_TXT_0045_29",Translation!A:B,2,FALSE)</f>
        <v>#N/A</v>
      </c>
      <c r="K30" s="21" t="s">
        <v>124</v>
      </c>
    </row>
    <row r="31" spans="4:15">
      <c r="D31" s="21"/>
      <c r="E31" s="13"/>
      <c r="H31" s="21" t="s">
        <v>48</v>
      </c>
      <c r="I31" s="21" t="e">
        <f>VLOOKUP("WG_1052_ST_TXT_0045_30",Translation!A:B,2,FALSE)</f>
        <v>#N/A</v>
      </c>
      <c r="K31" s="21" t="s">
        <v>125</v>
      </c>
    </row>
    <row r="32" spans="4:15">
      <c r="E32" s="13"/>
      <c r="H32" s="21" t="s">
        <v>49</v>
      </c>
      <c r="I32" s="21" t="e">
        <f>VLOOKUP("WG_1052_ST_TXT_0045_31",Translation!A:B,2,FALSE)</f>
        <v>#N/A</v>
      </c>
      <c r="K32" s="21" t="s">
        <v>126</v>
      </c>
    </row>
    <row r="33" spans="5:11">
      <c r="E33" s="13"/>
      <c r="H33" s="21" t="s">
        <v>50</v>
      </c>
      <c r="I33" s="21" t="e">
        <f>VLOOKUP("WG_1052_ST_TXT_0045_32",Translation!A:B,2,FALSE)</f>
        <v>#N/A</v>
      </c>
      <c r="K33" s="21" t="s">
        <v>127</v>
      </c>
    </row>
    <row r="34" spans="5:11">
      <c r="H34" s="21" t="s">
        <v>30</v>
      </c>
      <c r="I34" s="21" t="e">
        <f>VLOOKUP("WG_1052_ST_TXT_0045_33",Translation!A:B,2,FALSE)</f>
        <v>#N/A</v>
      </c>
      <c r="K34" s="21" t="s">
        <v>128</v>
      </c>
    </row>
    <row r="35" spans="5:11">
      <c r="H35" s="21" t="s">
        <v>51</v>
      </c>
      <c r="I35" s="21" t="e">
        <f>VLOOKUP("WG_1052_ST_TXT_0045_34",Translation!A:B,2,FALSE)</f>
        <v>#N/A</v>
      </c>
      <c r="K35" s="21" t="s">
        <v>129</v>
      </c>
    </row>
    <row r="36" spans="5:11">
      <c r="H36" s="21" t="s">
        <v>52</v>
      </c>
      <c r="I36" s="21" t="e">
        <f>VLOOKUP("WG_1052_ST_TXT_0045_35",Translation!A:B,2,FALSE)</f>
        <v>#N/A</v>
      </c>
      <c r="K36" s="21" t="s">
        <v>130</v>
      </c>
    </row>
    <row r="37" spans="5:11">
      <c r="H37" s="21" t="s">
        <v>53</v>
      </c>
      <c r="I37" s="21" t="e">
        <f>VLOOKUP("WG_1052_ST_TXT_0045_36",Translation!A:B,2,FALSE)</f>
        <v>#N/A</v>
      </c>
      <c r="K37" s="21" t="s">
        <v>131</v>
      </c>
    </row>
    <row r="38" spans="5:11">
      <c r="H38" s="21" t="s">
        <v>54</v>
      </c>
      <c r="I38" s="21" t="e">
        <f>VLOOKUP("WG_1052_ST_TXT_0045_37",Translation!A:B,2,FALSE)</f>
        <v>#N/A</v>
      </c>
      <c r="K38" s="21" t="s">
        <v>132</v>
      </c>
    </row>
    <row r="39" spans="5:11">
      <c r="H39" s="21" t="s">
        <v>55</v>
      </c>
      <c r="I39" s="21" t="e">
        <f>VLOOKUP("WG_1052_ST_TXT_0045_38",Translation!A:B,2,FALSE)</f>
        <v>#N/A</v>
      </c>
      <c r="K39" s="21" t="s">
        <v>133</v>
      </c>
    </row>
    <row r="40" spans="5:11">
      <c r="H40" s="21" t="s">
        <v>56</v>
      </c>
      <c r="I40" s="21" t="e">
        <f>VLOOKUP("WG_1052_ST_TXT_0045_39",Translation!A:B,2,FALSE)</f>
        <v>#N/A</v>
      </c>
      <c r="K40" s="21" t="s">
        <v>134</v>
      </c>
    </row>
    <row r="41" spans="5:11">
      <c r="H41" s="21" t="s">
        <v>57</v>
      </c>
      <c r="I41" s="21" t="e">
        <f>VLOOKUP("WG_1052_ST_TXT_0045_40",Translation!A:B,2,FALSE)</f>
        <v>#N/A</v>
      </c>
      <c r="K41" s="21" t="s">
        <v>135</v>
      </c>
    </row>
    <row r="42" spans="5:11">
      <c r="H42" s="21" t="s">
        <v>58</v>
      </c>
      <c r="I42" s="21" t="e">
        <f>VLOOKUP("WG_1052_ST_TXT_0045_41",Translation!A:B,2,FALSE)</f>
        <v>#N/A</v>
      </c>
      <c r="K42" s="21" t="s">
        <v>136</v>
      </c>
    </row>
    <row r="43" spans="5:11">
      <c r="H43" s="21" t="s">
        <v>59</v>
      </c>
      <c r="I43" s="21" t="e">
        <f>VLOOKUP("WG_1052_ST_TXT_0045_42",Translation!A:B,2,FALSE)</f>
        <v>#N/A</v>
      </c>
      <c r="K43" s="21" t="s">
        <v>137</v>
      </c>
    </row>
    <row r="44" spans="5:11">
      <c r="H44" s="21" t="s">
        <v>60</v>
      </c>
      <c r="I44" s="21" t="e">
        <f>VLOOKUP("WG_1052_ST_TXT_0045_43",Translation!A:B,2,FALSE)</f>
        <v>#N/A</v>
      </c>
      <c r="K44" s="21" t="s">
        <v>138</v>
      </c>
    </row>
    <row r="45" spans="5:11">
      <c r="H45" s="21" t="s">
        <v>61</v>
      </c>
      <c r="I45" s="21" t="e">
        <f>VLOOKUP("WG_1052_ST_TXT_0045_44",Translation!A:B,2,FALSE)</f>
        <v>#N/A</v>
      </c>
      <c r="K45" s="21" t="s">
        <v>139</v>
      </c>
    </row>
    <row r="46" spans="5:11">
      <c r="H46" s="21" t="s">
        <v>62</v>
      </c>
      <c r="I46" s="21" t="e">
        <f>VLOOKUP("WG_1052_ST_TXT_0045_45",Translation!A:B,2,FALSE)</f>
        <v>#N/A</v>
      </c>
      <c r="K46" s="21" t="s">
        <v>140</v>
      </c>
    </row>
    <row r="47" spans="5:11">
      <c r="H47" s="21" t="s">
        <v>63</v>
      </c>
      <c r="I47" s="21" t="e">
        <f>VLOOKUP("WG_1052_ST_TXT_0045_46",Translation!A:B,2,FALSE)</f>
        <v>#N/A</v>
      </c>
      <c r="K47" s="21" t="s">
        <v>141</v>
      </c>
    </row>
    <row r="48" spans="5:11">
      <c r="H48" s="21" t="s">
        <v>64</v>
      </c>
      <c r="I48" s="21" t="e">
        <f>VLOOKUP("WG_1052_ST_TXT_0045_47",Translation!A:B,2,FALSE)</f>
        <v>#N/A</v>
      </c>
      <c r="K48" s="21" t="s">
        <v>142</v>
      </c>
    </row>
    <row r="49" spans="3:23">
      <c r="C49" s="3"/>
      <c r="D49" s="3"/>
      <c r="E49" s="3"/>
      <c r="F49" s="3"/>
      <c r="H49" s="21" t="s">
        <v>65</v>
      </c>
      <c r="I49" s="21" t="e">
        <f>VLOOKUP("WG_1052_ST_TXT_0045_48",Translation!A:B,2,FALSE)</f>
        <v>#N/A</v>
      </c>
      <c r="J49" s="3"/>
      <c r="K49" s="21" t="s">
        <v>143</v>
      </c>
      <c r="M49" s="3"/>
      <c r="N49" s="3"/>
      <c r="O49" s="3"/>
      <c r="P49" s="3"/>
      <c r="Q49" s="3"/>
      <c r="R49" s="9"/>
      <c r="S49" s="9"/>
      <c r="T49" s="9"/>
      <c r="U49" s="9"/>
      <c r="V49" s="9"/>
      <c r="W49" s="9"/>
    </row>
    <row r="50" spans="3:23">
      <c r="C50" s="2"/>
      <c r="D50" s="3"/>
      <c r="E50" s="2"/>
      <c r="F50" s="3"/>
      <c r="H50" s="21" t="s">
        <v>66</v>
      </c>
      <c r="I50" s="21" t="e">
        <f>VLOOKUP("WG_1052_ST_TXT_0045_49",Translation!A:B,2,FALSE)</f>
        <v>#N/A</v>
      </c>
      <c r="J50" s="3"/>
      <c r="K50" s="21" t="s">
        <v>144</v>
      </c>
      <c r="M50" s="3"/>
      <c r="N50" s="3"/>
      <c r="O50" s="3"/>
      <c r="P50" s="3"/>
      <c r="Q50" s="3"/>
      <c r="R50" s="6"/>
      <c r="S50" s="6"/>
      <c r="T50" s="6"/>
      <c r="U50" s="6"/>
      <c r="V50" s="6"/>
      <c r="W50" s="6"/>
    </row>
    <row r="51" spans="3:23">
      <c r="C51" s="4"/>
      <c r="D51" s="4"/>
      <c r="E51" s="4"/>
      <c r="F51" s="4"/>
      <c r="H51" s="21" t="s">
        <v>67</v>
      </c>
      <c r="I51" s="21" t="e">
        <f>VLOOKUP("WG_1052_ST_TXT_0045_50",Translation!A:B,2,FALSE)</f>
        <v>#N/A</v>
      </c>
      <c r="J51" s="4"/>
      <c r="K51" s="21" t="s">
        <v>145</v>
      </c>
      <c r="M51" s="4"/>
      <c r="N51" s="4"/>
      <c r="O51" s="4"/>
      <c r="P51" s="4"/>
      <c r="Q51" s="4"/>
      <c r="R51" s="5"/>
      <c r="S51" s="8"/>
      <c r="T51" s="5"/>
      <c r="U51" s="5"/>
      <c r="V51" s="8"/>
      <c r="W51" s="5"/>
    </row>
    <row r="52" spans="3:23">
      <c r="C52" s="7"/>
      <c r="D52" s="7"/>
      <c r="E52" s="7"/>
      <c r="F52" s="7"/>
      <c r="H52" s="21" t="s">
        <v>68</v>
      </c>
      <c r="I52" s="21" t="e">
        <f>VLOOKUP("WG_1052_ST_TXT_0045_51",Translation!A:B,2,FALSE)</f>
        <v>#N/A</v>
      </c>
      <c r="J52" s="4"/>
      <c r="K52" s="21" t="s">
        <v>146</v>
      </c>
      <c r="M52" s="4"/>
      <c r="N52" s="4"/>
      <c r="O52" s="4"/>
      <c r="P52" s="4"/>
      <c r="Q52" s="4"/>
      <c r="R52" s="5"/>
      <c r="S52" s="8"/>
      <c r="T52" s="5"/>
      <c r="U52" s="5"/>
      <c r="V52" s="8"/>
      <c r="W52" s="5"/>
    </row>
    <row r="53" spans="3:23">
      <c r="H53" s="21" t="s">
        <v>69</v>
      </c>
      <c r="I53" s="21" t="e">
        <f>VLOOKUP("WG_1052_ST_TXT_0045_52",Translation!A:B,2,FALSE)</f>
        <v>#N/A</v>
      </c>
      <c r="K53" s="21" t="s">
        <v>147</v>
      </c>
    </row>
    <row r="54" spans="3:23">
      <c r="H54" s="21" t="s">
        <v>70</v>
      </c>
      <c r="I54" s="21" t="e">
        <f>VLOOKUP("WG_1052_ST_TXT_0045_53",Translation!A:B,2,FALSE)</f>
        <v>#N/A</v>
      </c>
      <c r="K54" s="21" t="s">
        <v>148</v>
      </c>
    </row>
    <row r="55" spans="3:23">
      <c r="H55" s="21" t="s">
        <v>71</v>
      </c>
      <c r="I55" s="21" t="e">
        <f>VLOOKUP("WG_1052_ST_TXT_0045_54",Translation!A:B,2,FALSE)</f>
        <v>#N/A</v>
      </c>
      <c r="K55" s="21" t="s">
        <v>149</v>
      </c>
    </row>
    <row r="56" spans="3:23">
      <c r="H56" s="21" t="s">
        <v>72</v>
      </c>
      <c r="I56" s="21" t="e">
        <f>VLOOKUP("WG_1052_ST_TXT_0045_55",Translation!A:B,2,FALSE)</f>
        <v>#N/A</v>
      </c>
      <c r="K56" s="21" t="s">
        <v>150</v>
      </c>
    </row>
    <row r="57" spans="3:23">
      <c r="H57" s="21" t="s">
        <v>73</v>
      </c>
      <c r="I57" s="21" t="e">
        <f>VLOOKUP("WG_1052_ST_TXT_0045_56",Translation!A:B,2,FALSE)</f>
        <v>#N/A</v>
      </c>
      <c r="K57" s="21" t="s">
        <v>151</v>
      </c>
    </row>
    <row r="58" spans="3:23">
      <c r="H58" s="21" t="s">
        <v>74</v>
      </c>
      <c r="I58" s="21" t="e">
        <f>VLOOKUP("WG_1052_ST_TXT_0045_57",Translation!A:B,2,FALSE)</f>
        <v>#N/A</v>
      </c>
      <c r="K58" s="21" t="s">
        <v>152</v>
      </c>
    </row>
    <row r="59" spans="3:23">
      <c r="H59" s="21" t="s">
        <v>75</v>
      </c>
      <c r="I59" s="21" t="e">
        <f>VLOOKUP("WG_1052_ST_TXT_0045_58",Translation!A:B,2,FALSE)</f>
        <v>#N/A</v>
      </c>
      <c r="K59" s="21" t="s">
        <v>153</v>
      </c>
    </row>
    <row r="60" spans="3:23">
      <c r="H60" s="21" t="s">
        <v>76</v>
      </c>
      <c r="I60" s="21" t="e">
        <f>VLOOKUP("WG_1052_ST_TXT_0045_59",Translation!A:B,2,FALSE)</f>
        <v>#N/A</v>
      </c>
      <c r="K60" s="21" t="s">
        <v>154</v>
      </c>
    </row>
    <row r="61" spans="3:23">
      <c r="H61" s="21" t="s">
        <v>77</v>
      </c>
      <c r="I61" s="21" t="e">
        <f>VLOOKUP("WG_1052_ST_TXT_0045_60",Translation!A:B,2,FALSE)</f>
        <v>#N/A</v>
      </c>
      <c r="K61" s="21" t="s">
        <v>155</v>
      </c>
    </row>
    <row r="62" spans="3:23">
      <c r="H62" s="21" t="s">
        <v>78</v>
      </c>
      <c r="I62" s="21" t="e">
        <f>VLOOKUP("WG_1052_ST_TXT_0045_61",Translation!A:B,2,FALSE)</f>
        <v>#N/A</v>
      </c>
      <c r="K62" s="21" t="s">
        <v>156</v>
      </c>
    </row>
    <row r="63" spans="3:23">
      <c r="H63" s="21" t="s">
        <v>79</v>
      </c>
      <c r="I63" s="21" t="e">
        <f>VLOOKUP("WG_1052_ST_TXT_0045_62",Translation!A:B,2,FALSE)</f>
        <v>#N/A</v>
      </c>
      <c r="K63" s="21" t="s">
        <v>157</v>
      </c>
    </row>
    <row r="64" spans="3:23">
      <c r="H64" s="21" t="s">
        <v>80</v>
      </c>
      <c r="I64" s="21" t="e">
        <f>VLOOKUP("WG_1052_ST_TXT_0045_63",Translation!A:B,2,FALSE)</f>
        <v>#N/A</v>
      </c>
      <c r="K64" s="21" t="s">
        <v>158</v>
      </c>
    </row>
    <row r="65" spans="8:11">
      <c r="H65" s="21" t="s">
        <v>81</v>
      </c>
      <c r="I65" s="21" t="e">
        <f>VLOOKUP("WG_1052_ST_TXT_0045_64",Translation!A:B,2,FALSE)</f>
        <v>#N/A</v>
      </c>
      <c r="K65" s="21" t="s">
        <v>159</v>
      </c>
    </row>
    <row r="66" spans="8:11">
      <c r="H66" s="21" t="s">
        <v>82</v>
      </c>
      <c r="I66" s="21" t="e">
        <f>VLOOKUP("WG_1052_ST_TXT_0045_65",Translation!A:B,2,FALSE)</f>
        <v>#N/A</v>
      </c>
      <c r="K66" s="21" t="s">
        <v>160</v>
      </c>
    </row>
    <row r="67" spans="8:11">
      <c r="H67" s="21" t="s">
        <v>83</v>
      </c>
      <c r="I67" s="21" t="e">
        <f>VLOOKUP("WG_1052_ST_TXT_0045_66",Translation!A:B,2,FALSE)</f>
        <v>#N/A</v>
      </c>
      <c r="K67" s="21" t="s">
        <v>161</v>
      </c>
    </row>
    <row r="68" spans="8:11">
      <c r="H68" s="21" t="s">
        <v>84</v>
      </c>
      <c r="I68" s="21" t="e">
        <f>VLOOKUP("WG_1052_ST_TXT_0045_67",Translation!A:B,2,FALSE)</f>
        <v>#N/A</v>
      </c>
      <c r="K68" s="21" t="s">
        <v>162</v>
      </c>
    </row>
    <row r="69" spans="8:11">
      <c r="H69" s="21" t="s">
        <v>85</v>
      </c>
      <c r="I69" s="21" t="e">
        <f>VLOOKUP("WG_1052_ST_TXT_0045_68",Translation!A:B,2,FALSE)</f>
        <v>#N/A</v>
      </c>
      <c r="K69" s="21" t="s">
        <v>163</v>
      </c>
    </row>
    <row r="70" spans="8:11">
      <c r="H70" s="21" t="s">
        <v>86</v>
      </c>
      <c r="I70" s="21" t="e">
        <f>VLOOKUP("WG_1052_ST_TXT_0045_69",Translation!A:B,2,FALSE)</f>
        <v>#N/A</v>
      </c>
      <c r="K70" s="21" t="s">
        <v>164</v>
      </c>
    </row>
    <row r="71" spans="8:11">
      <c r="H71" s="21" t="s">
        <v>87</v>
      </c>
      <c r="I71" s="21" t="e">
        <f>VLOOKUP("WG_1052_ST_TXT_0045_70",Translation!A:B,2,FALSE)</f>
        <v>#N/A</v>
      </c>
      <c r="K71" s="21" t="s">
        <v>165</v>
      </c>
    </row>
    <row r="72" spans="8:11">
      <c r="H72" s="21" t="s">
        <v>88</v>
      </c>
      <c r="I72" s="21" t="e">
        <f>VLOOKUP("WG_1052_ST_TXT_0045_71",Translation!A:B,2,FALSE)</f>
        <v>#N/A</v>
      </c>
      <c r="K72" s="21" t="s">
        <v>166</v>
      </c>
    </row>
    <row r="73" spans="8:11">
      <c r="H73" s="21" t="s">
        <v>89</v>
      </c>
      <c r="I73" s="21" t="e">
        <f>VLOOKUP("WG_1052_ST_TXT_0045_72",Translation!A:B,2,FALSE)</f>
        <v>#N/A</v>
      </c>
      <c r="K73" s="21" t="s">
        <v>167</v>
      </c>
    </row>
    <row r="74" spans="8:11">
      <c r="H74" s="21" t="s">
        <v>90</v>
      </c>
      <c r="I74" s="21" t="e">
        <f>VLOOKUP("WG_1052_ST_TXT_0045_73",Translation!A:B,2,FALSE)</f>
        <v>#N/A</v>
      </c>
      <c r="K74" s="21" t="s">
        <v>168</v>
      </c>
    </row>
    <row r="75" spans="8:11">
      <c r="H75" s="21" t="s">
        <v>91</v>
      </c>
      <c r="I75" s="21" t="e">
        <f>VLOOKUP("WG_1052_ST_TXT_0045_74",Translation!A:B,2,FALSE)</f>
        <v>#N/A</v>
      </c>
      <c r="K75" s="21" t="s">
        <v>169</v>
      </c>
    </row>
    <row r="76" spans="8:11">
      <c r="H76" s="21" t="s">
        <v>92</v>
      </c>
      <c r="I76" s="21" t="e">
        <f>VLOOKUP("WG_1052_ST_TXT_0045_75",Translation!A:B,2,FALSE)</f>
        <v>#N/A</v>
      </c>
      <c r="K76" s="21" t="s">
        <v>170</v>
      </c>
    </row>
    <row r="77" spans="8:11">
      <c r="H77" s="21" t="s">
        <v>93</v>
      </c>
      <c r="I77" s="21" t="e">
        <f>VLOOKUP("WG_1052_ST_TXT_0045_76",Translation!A:B,2,FALSE)</f>
        <v>#N/A</v>
      </c>
      <c r="K77" s="21" t="s">
        <v>171</v>
      </c>
    </row>
    <row r="78" spans="8:11">
      <c r="H78" s="21" t="s">
        <v>94</v>
      </c>
      <c r="I78" s="21" t="e">
        <f>VLOOKUP("WG_1052_ST_TXT_0045_77",Translation!A:B,2,FALSE)</f>
        <v>#N/A</v>
      </c>
      <c r="K78" s="21" t="s">
        <v>172</v>
      </c>
    </row>
    <row r="79" spans="8:11">
      <c r="H79" s="21" t="s">
        <v>95</v>
      </c>
      <c r="I79" s="21" t="e">
        <f>VLOOKUP("WG_1052_ST_TXT_0045_78",Translation!A:B,2,FALSE)</f>
        <v>#N/A</v>
      </c>
      <c r="K79" s="21" t="s">
        <v>173</v>
      </c>
    </row>
    <row r="80" spans="8:11">
      <c r="H80" s="21" t="s">
        <v>96</v>
      </c>
      <c r="I80" s="21" t="e">
        <f>VLOOKUP("WG_1052_ST_TXT_0045_79",Translation!A:B,2,FALSE)</f>
        <v>#N/A</v>
      </c>
      <c r="K80" s="21" t="s">
        <v>174</v>
      </c>
    </row>
    <row r="81" spans="8:11">
      <c r="H81" s="21" t="s">
        <v>97</v>
      </c>
      <c r="I81" s="21" t="e">
        <f>VLOOKUP("WG_1052_ST_TXT_0045_80",Translation!A:B,2,FALSE)</f>
        <v>#N/A</v>
      </c>
      <c r="K81" s="21" t="s">
        <v>175</v>
      </c>
    </row>
    <row r="82" spans="8:11">
      <c r="H82" s="21" t="s">
        <v>31</v>
      </c>
      <c r="I82" s="21" t="e">
        <f>VLOOKUP("WG_1052_ST_TXT_0045_81",Translation!A:B,2,FALSE)</f>
        <v>#N/A</v>
      </c>
      <c r="K82" s="21" t="s">
        <v>176</v>
      </c>
    </row>
    <row r="83" spans="8:11">
      <c r="H83" s="21" t="s">
        <v>98</v>
      </c>
      <c r="I83" s="21" t="e">
        <f>VLOOKUP("WG_1052_ST_TXT_0045_82",Translation!A:B,2,FALSE)</f>
        <v>#N/A</v>
      </c>
      <c r="K83" s="21" t="s">
        <v>177</v>
      </c>
    </row>
    <row r="84" spans="8:11">
      <c r="H84" s="21" t="s">
        <v>99</v>
      </c>
      <c r="I84" s="21" t="e">
        <f>VLOOKUP("WG_1052_ST_TXT_0045_83",Translation!A:B,2,FALSE)</f>
        <v>#N/A</v>
      </c>
      <c r="K84" s="21" t="s">
        <v>178</v>
      </c>
    </row>
  </sheetData>
  <sheetProtection algorithmName="SHA-512" hashValue="oMCSWy0HSFbJsRb9qDCjg1oPl1cBtccRIyjiNrvlKfKR3nw8cjqBS7tuclwJFKxRRqQNq/BzB1S242tamTTwQA==" saltValue="HGrQXUT1rWpHLZfOJlba+Q==" spinCount="100000" sheet="1" objects="1" scenarios="1"/>
  <pageMargins left="0.7" right="0.7" top="0.78740157499999996" bottom="0.78740157499999996" header="0.3" footer="0.3"/>
  <pageSetup paperSize="9" orientation="portrait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5_Daten">
    <tabColor theme="9" tint="0.39997558519241921"/>
  </sheetPr>
  <dimension ref="A2:V6"/>
  <sheetViews>
    <sheetView topLeftCell="D1" zoomScaleNormal="100" workbookViewId="0">
      <selection activeCell="U2" sqref="U2"/>
    </sheetView>
  </sheetViews>
  <sheetFormatPr baseColWidth="10" defaultColWidth="11.42578125" defaultRowHeight="12.75"/>
  <cols>
    <col min="1" max="1" width="3.28515625" bestFit="1" customWidth="1"/>
    <col min="2" max="2" width="15.42578125" bestFit="1" customWidth="1"/>
    <col min="3" max="3" width="18.42578125" bestFit="1" customWidth="1"/>
    <col min="4" max="4" width="14.28515625" bestFit="1" customWidth="1"/>
    <col min="5" max="5" width="28.7109375" bestFit="1" customWidth="1"/>
    <col min="6" max="6" width="12" bestFit="1" customWidth="1"/>
    <col min="7" max="8" width="25" bestFit="1" customWidth="1"/>
    <col min="9" max="9" width="2.140625" bestFit="1" customWidth="1"/>
    <col min="10" max="10" width="5" bestFit="1" customWidth="1"/>
    <col min="11" max="11" width="33.140625" bestFit="1" customWidth="1"/>
    <col min="12" max="12" width="5" bestFit="1" customWidth="1"/>
    <col min="13" max="13" width="2.140625" bestFit="1" customWidth="1"/>
    <col min="14" max="14" width="5" bestFit="1" customWidth="1"/>
    <col min="15" max="15" width="6.140625" bestFit="1" customWidth="1"/>
    <col min="16" max="16" width="5" bestFit="1" customWidth="1"/>
    <col min="17" max="17" width="2.140625" bestFit="1" customWidth="1"/>
    <col min="18" max="19" width="5" bestFit="1" customWidth="1"/>
    <col min="20" max="20" width="13" bestFit="1" customWidth="1"/>
    <col min="21" max="22" width="5" bestFit="1" customWidth="1"/>
    <col min="23" max="23" width="33.28515625" bestFit="1" customWidth="1"/>
    <col min="24" max="24" width="34.5703125" bestFit="1" customWidth="1"/>
    <col min="25" max="25" width="33.5703125" bestFit="1" customWidth="1"/>
    <col min="26" max="26" width="34" bestFit="1" customWidth="1"/>
    <col min="27" max="27" width="33.28515625" bestFit="1" customWidth="1"/>
    <col min="28" max="28" width="34.5703125" bestFit="1" customWidth="1"/>
    <col min="29" max="29" width="33.5703125" bestFit="1" customWidth="1"/>
    <col min="30" max="30" width="34" bestFit="1" customWidth="1"/>
    <col min="31" max="31" width="33.28515625" bestFit="1" customWidth="1"/>
    <col min="32" max="32" width="34.5703125" bestFit="1" customWidth="1"/>
    <col min="33" max="33" width="33.5703125" bestFit="1" customWidth="1"/>
    <col min="34" max="34" width="34" bestFit="1" customWidth="1"/>
    <col min="35" max="35" width="33.28515625" bestFit="1" customWidth="1"/>
    <col min="36" max="36" width="34.5703125" bestFit="1" customWidth="1"/>
    <col min="37" max="37" width="33.5703125" bestFit="1" customWidth="1"/>
    <col min="38" max="38" width="34" customWidth="1"/>
    <col min="39" max="39" width="33.28515625" customWidth="1"/>
    <col min="40" max="40" width="34.5703125" customWidth="1"/>
    <col min="41" max="41" width="33.5703125" customWidth="1"/>
    <col min="42" max="42" width="39.42578125" bestFit="1" customWidth="1"/>
    <col min="43" max="43" width="41.85546875" bestFit="1" customWidth="1"/>
    <col min="44" max="44" width="42" bestFit="1" customWidth="1"/>
    <col min="45" max="45" width="38.28515625" bestFit="1" customWidth="1"/>
    <col min="46" max="46" width="40.7109375" bestFit="1" customWidth="1"/>
    <col min="47" max="47" width="40.85546875" bestFit="1" customWidth="1"/>
    <col min="48" max="48" width="38.5703125" bestFit="1" customWidth="1"/>
    <col min="49" max="49" width="41" bestFit="1" customWidth="1"/>
    <col min="50" max="50" width="41.140625" bestFit="1" customWidth="1"/>
    <col min="51" max="51" width="39.85546875" bestFit="1" customWidth="1"/>
    <col min="52" max="52" width="42.28515625" bestFit="1" customWidth="1"/>
    <col min="53" max="53" width="42.42578125" bestFit="1" customWidth="1"/>
    <col min="54" max="54" width="39" bestFit="1" customWidth="1"/>
    <col min="55" max="55" width="41.42578125" bestFit="1" customWidth="1"/>
  </cols>
  <sheetData>
    <row r="2" spans="1:22">
      <c r="A2" t="s">
        <v>284</v>
      </c>
      <c r="B2" t="s">
        <v>285</v>
      </c>
      <c r="C2" t="s">
        <v>286</v>
      </c>
      <c r="D2" t="s">
        <v>287</v>
      </c>
      <c r="E2" t="s">
        <v>288</v>
      </c>
      <c r="F2" t="s">
        <v>290</v>
      </c>
      <c r="G2" t="s">
        <v>291</v>
      </c>
      <c r="H2" s="124"/>
      <c r="I2" s="127" t="s">
        <v>292</v>
      </c>
      <c r="J2" s="127">
        <f>IF(AND(ISERROR(SEARCH({"Teuerung","Renchérissement","Rincaro"},G2)),NOT(IFERROR(Rechnungsart,"")="TE")),ROUND(H2-(H2*IFERROR(VALUE(I2),VALUE(SUBSTITUTE(I2,".",","))))%,2),ROUND(H2,2))</f>
        <v>0</v>
      </c>
      <c r="K2" s="124"/>
      <c r="L2" s="127">
        <f t="shared" ref="L2:L5" si="0">ROUND(J2+K2,2)</f>
        <v>0</v>
      </c>
      <c r="M2" s="127" t="s">
        <v>292</v>
      </c>
      <c r="N2" s="124">
        <f>IF(Rückbehalt,ROUND(L2*IFERROR(VALUE(M2),VALUE(SUBSTITUTE(M2,".",",")))%,2),0)</f>
        <v>0</v>
      </c>
      <c r="O2" s="124" t="s">
        <v>293</v>
      </c>
      <c r="P2" s="127">
        <f>ROUND(IF(Rückbehalt,(IF(IFERROR(Schlussrechnung="JA",FALSE),L2+N2,L2-N2)),L2)*(100+IFERROR(VALUE(O2),VALUE(SUBSTITUTE(O2,".",","))))%,2)</f>
        <v>0</v>
      </c>
      <c r="Q2" s="127" t="s">
        <v>292</v>
      </c>
      <c r="R2" s="127">
        <f t="shared" ref="R2:R5" si="1">ROUND(P2*IFERROR(VALUE(Q2),VALUE(SUBSTITUTE(Q2,".",",")))%,2)</f>
        <v>0</v>
      </c>
      <c r="S2" s="127">
        <f t="shared" ref="S2:S5" si="2">ROUND(P2-R2,2)</f>
        <v>0</v>
      </c>
      <c r="T2" s="127" t="s">
        <v>289</v>
      </c>
      <c r="U2" s="127">
        <f t="shared" ref="U2:U5" si="3">ROUND(L2+(L2*O2)/100,2)</f>
        <v>0</v>
      </c>
      <c r="V2" s="127">
        <f>IF(IFERROR(Schlussrechnung="JA",FALSE),P2-U2, U2-P2)</f>
        <v>0</v>
      </c>
    </row>
    <row r="3" spans="1:22">
      <c r="A3" s="16" t="s">
        <v>284</v>
      </c>
      <c r="B3" s="16" t="s">
        <v>285</v>
      </c>
      <c r="C3" s="16" t="s">
        <v>286</v>
      </c>
      <c r="D3" s="16" t="s">
        <v>287</v>
      </c>
      <c r="E3" s="16" t="s">
        <v>288</v>
      </c>
      <c r="F3" s="16" t="s">
        <v>294</v>
      </c>
      <c r="G3" s="16" t="s">
        <v>295</v>
      </c>
      <c r="H3" s="124"/>
      <c r="I3" s="127" t="s">
        <v>292</v>
      </c>
      <c r="J3" s="127">
        <f>IF(AND(ISERROR(SEARCH({"Teuerung","Renchérissement","Rincaro"},G3)),NOT(IFERROR(Rechnungsart,"")="TE")),ROUND(H3-(H3*IFERROR(VALUE(I3),VALUE(SUBSTITUTE(I3,".",","))))%,2),ROUND(H3,2))</f>
        <v>0</v>
      </c>
      <c r="K3" s="124"/>
      <c r="L3" s="127">
        <f t="shared" si="0"/>
        <v>0</v>
      </c>
      <c r="M3" s="127" t="s">
        <v>292</v>
      </c>
      <c r="N3" s="124">
        <f>IF(Rückbehalt,ROUND(L3*IFERROR(VALUE(M3),VALUE(SUBSTITUTE(M3,".",",")))%,2),0)</f>
        <v>0</v>
      </c>
      <c r="O3" s="124" t="s">
        <v>293</v>
      </c>
      <c r="P3" s="127">
        <f>ROUND(IF(Rückbehalt,(IF(IFERROR(Schlussrechnung="JA",FALSE),L3+N3,L3-N3)),L3)*(100+IFERROR(VALUE(O3),VALUE(SUBSTITUTE(O3,".",","))))%,2)</f>
        <v>0</v>
      </c>
      <c r="Q3" s="127" t="s">
        <v>292</v>
      </c>
      <c r="R3" s="127">
        <f t="shared" si="1"/>
        <v>0</v>
      </c>
      <c r="S3" s="127">
        <f t="shared" si="2"/>
        <v>0</v>
      </c>
      <c r="T3" s="127" t="s">
        <v>289</v>
      </c>
      <c r="U3" s="127">
        <f t="shared" si="3"/>
        <v>0</v>
      </c>
      <c r="V3" s="127">
        <f>IF(IFERROR(Schlussrechnung="JA",FALSE),P3-U3, U3-P3)</f>
        <v>0</v>
      </c>
    </row>
    <row r="4" spans="1:22" ht="14.25">
      <c r="A4" s="122" t="s">
        <v>284</v>
      </c>
      <c r="B4" s="122" t="s">
        <v>0</v>
      </c>
      <c r="C4" s="122" t="s">
        <v>296</v>
      </c>
      <c r="D4" s="122" t="s">
        <v>0</v>
      </c>
      <c r="E4" s="122" t="s">
        <v>296</v>
      </c>
      <c r="F4" s="122" t="s">
        <v>0</v>
      </c>
      <c r="G4" s="122" t="s">
        <v>296</v>
      </c>
      <c r="H4" s="125"/>
      <c r="I4" s="128" t="s">
        <v>292</v>
      </c>
      <c r="J4" s="128">
        <f>IF(AND(ISERROR(SEARCH({"Teuerung","Renchérissement","Rincaro"},G4)),NOT(IFERROR(Rechnungsart,"")="TE")),ROUND(H4-(H4*IFERROR(VALUE(I4),VALUE(SUBSTITUTE(I4,".",","))))%,2),ROUND(H4,2))</f>
        <v>0</v>
      </c>
      <c r="K4" s="125"/>
      <c r="L4" s="128">
        <f t="shared" si="0"/>
        <v>0</v>
      </c>
      <c r="M4" s="128" t="s">
        <v>292</v>
      </c>
      <c r="N4" s="125">
        <f>IF(Rückbehalt,ROUND(L4*IFERROR(VALUE(M4),VALUE(SUBSTITUTE(M4,".",",")))%,2),0)</f>
        <v>0</v>
      </c>
      <c r="O4" s="125" t="s">
        <v>297</v>
      </c>
      <c r="P4" s="128">
        <f>ROUND(IF(Rückbehalt,(IF(IFERROR(Schlussrechnung="JA",FALSE),L4+N4,L4-N4)),L4)*(100+IFERROR(VALUE(O4),VALUE(SUBSTITUTE(O4,".",","))))%,2)</f>
        <v>0</v>
      </c>
      <c r="Q4" s="128" t="s">
        <v>292</v>
      </c>
      <c r="R4" s="128">
        <f t="shared" si="1"/>
        <v>0</v>
      </c>
      <c r="S4" s="128">
        <f t="shared" si="2"/>
        <v>0</v>
      </c>
      <c r="T4" s="128" t="s">
        <v>0</v>
      </c>
      <c r="U4" s="128">
        <f t="shared" si="3"/>
        <v>0</v>
      </c>
      <c r="V4" s="128">
        <f>IF(IFERROR(Schlussrechnung="JA",FALSE),P4-U4, U4-P4)</f>
        <v>0</v>
      </c>
    </row>
    <row r="5" spans="1:22" ht="15.75" thickBot="1">
      <c r="A5" s="123" t="s">
        <v>0</v>
      </c>
      <c r="B5" s="123" t="s">
        <v>0</v>
      </c>
      <c r="C5" s="123" t="s">
        <v>296</v>
      </c>
      <c r="D5" s="123" t="s">
        <v>0</v>
      </c>
      <c r="E5" s="123" t="s">
        <v>296</v>
      </c>
      <c r="F5" s="123" t="s">
        <v>0</v>
      </c>
      <c r="G5" s="123" t="s">
        <v>296</v>
      </c>
      <c r="H5" s="126"/>
      <c r="I5" s="129" t="s">
        <v>292</v>
      </c>
      <c r="J5" s="129">
        <f>IF(AND(ISERROR(SEARCH({"Teuerung","Renchérissement","Rincaro"},G5)),NOT(IFERROR(Rechnungsart,"")="TE")),ROUND(H5-(H5*IFERROR(VALUE(I5),VALUE(SUBSTITUTE(I5,".",","))))%,2),ROUND(H5,2))</f>
        <v>0</v>
      </c>
      <c r="K5" s="126"/>
      <c r="L5" s="129">
        <f t="shared" si="0"/>
        <v>0</v>
      </c>
      <c r="M5" s="129" t="s">
        <v>292</v>
      </c>
      <c r="N5" s="126">
        <f>IF(Rückbehalt,ROUND(L5*IFERROR(VALUE(M5),VALUE(SUBSTITUTE(M5,".",",")))%,2),0)</f>
        <v>0</v>
      </c>
      <c r="O5" s="126" t="s">
        <v>297</v>
      </c>
      <c r="P5" s="129">
        <f>ROUND(IF(Rückbehalt,(IF(IFERROR(Schlussrechnung="JA",FALSE),L5+N5,L5-N5)),L5)*(100+IFERROR(VALUE(O5),VALUE(SUBSTITUTE(O5,".",","))))%,2)</f>
        <v>0</v>
      </c>
      <c r="Q5" s="129" t="s">
        <v>292</v>
      </c>
      <c r="R5" s="129">
        <f t="shared" si="1"/>
        <v>0</v>
      </c>
      <c r="S5" s="129">
        <f t="shared" si="2"/>
        <v>0</v>
      </c>
      <c r="T5" s="129" t="s">
        <v>0</v>
      </c>
      <c r="U5" s="129">
        <f t="shared" si="3"/>
        <v>0</v>
      </c>
      <c r="V5" s="129">
        <f>IF(IFERROR(Schlussrechnung="JA",FALSE),P5-U5, U5-P5)</f>
        <v>0</v>
      </c>
    </row>
    <row r="6" spans="1:22" ht="13.5" thickTop="1"/>
  </sheetData>
  <sheetProtection algorithmName="SHA-512" hashValue="dLay/uXE+NC/HLemd9487jSeRn7Zz7Remu0j1bpnCD6xAZH6N9DVDjHeN+QmHXjJpXZ5PjBSf87vIas/uLdjOA==" saltValue="FNshPHwLtWxOJUULaEdvwQ==" spinCount="100000" sheet="1" objects="1" scenarios="1"/>
  <phoneticPr fontId="48" type="noConversion"/>
  <dataValidations count="4">
    <dataValidation type="decimal" allowBlank="1" showDropDown="1" showInputMessage="1" showErrorMessage="1" errorTitle="nur positive Werte möglich" error="Für Gutschriften bitte Rechnungsart &quot;Gutschrift&quot; verwenden." sqref="H2:H5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K2:K5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N2:N5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O2:O5">
      <formula1>0</formula1>
      <formula2>9.99999999999999E+29</formula2>
    </dataValidation>
  </dataValidations>
  <pageMargins left="0.7" right="0.7" top="0.78740157499999996" bottom="0.78740157499999996" header="0.3" footer="0.3"/>
  <pageSetup paperSize="9" orientation="portrait" r:id="rId1"/>
  <customProperties>
    <customPr name="_pios_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4_Stammdaten">
    <tabColor theme="9" tint="0.39997558519241921"/>
  </sheetPr>
  <dimension ref="A1:CB2"/>
  <sheetViews>
    <sheetView workbookViewId="0"/>
  </sheetViews>
  <sheetFormatPr baseColWidth="10" defaultColWidth="11.42578125" defaultRowHeight="12.75"/>
  <cols>
    <col min="1" max="1" width="15.7109375" bestFit="1" customWidth="1"/>
    <col min="2" max="2" width="17.85546875" bestFit="1" customWidth="1"/>
    <col min="3" max="3" width="27.140625" bestFit="1" customWidth="1"/>
    <col min="4" max="4" width="27" bestFit="1" customWidth="1"/>
    <col min="5" max="6" width="26.85546875" bestFit="1" customWidth="1"/>
    <col min="7" max="7" width="29" bestFit="1" customWidth="1"/>
    <col min="8" max="8" width="25.7109375" bestFit="1" customWidth="1"/>
    <col min="9" max="9" width="27.85546875" bestFit="1" customWidth="1"/>
    <col min="10" max="10" width="28" bestFit="1" customWidth="1"/>
    <col min="11" max="11" width="30.28515625" bestFit="1" customWidth="1"/>
    <col min="12" max="12" width="28.28515625" bestFit="1" customWidth="1"/>
    <col min="13" max="13" width="30.5703125" bestFit="1" customWidth="1"/>
    <col min="14" max="14" width="24.5703125" bestFit="1" customWidth="1"/>
    <col min="15" max="15" width="26.7109375" bestFit="1" customWidth="1"/>
    <col min="16" max="16" width="28.140625" bestFit="1" customWidth="1"/>
    <col min="17" max="17" width="30.42578125" bestFit="1" customWidth="1"/>
    <col min="18" max="18" width="26.42578125" bestFit="1" customWidth="1"/>
    <col min="19" max="19" width="28.7109375" bestFit="1" customWidth="1"/>
    <col min="20" max="20" width="26.42578125" bestFit="1" customWidth="1"/>
    <col min="21" max="21" width="27.5703125" bestFit="1" customWidth="1"/>
    <col min="22" max="22" width="29.85546875" bestFit="1" customWidth="1"/>
    <col min="23" max="23" width="28" bestFit="1" customWidth="1"/>
    <col min="24" max="24" width="30.28515625" bestFit="1" customWidth="1"/>
    <col min="25" max="26" width="27" bestFit="1" customWidth="1"/>
    <col min="27" max="27" width="26.85546875" bestFit="1" customWidth="1"/>
    <col min="28" max="28" width="29.140625" bestFit="1" customWidth="1"/>
    <col min="29" max="29" width="26.5703125" bestFit="1" customWidth="1"/>
    <col min="30" max="30" width="28.85546875" bestFit="1" customWidth="1"/>
    <col min="31" max="31" width="28.7109375" bestFit="1" customWidth="1"/>
    <col min="32" max="33" width="26.85546875" bestFit="1" customWidth="1"/>
    <col min="34" max="34" width="25.5703125" bestFit="1" customWidth="1"/>
    <col min="35" max="35" width="30.140625" bestFit="1" customWidth="1"/>
    <col min="36" max="36" width="32.28515625" bestFit="1" customWidth="1"/>
    <col min="37" max="37" width="31.140625" bestFit="1" customWidth="1"/>
    <col min="38" max="39" width="27.140625" bestFit="1" customWidth="1"/>
    <col min="40" max="40" width="16" bestFit="1" customWidth="1"/>
    <col min="41" max="41" width="16.140625" bestFit="1" customWidth="1"/>
    <col min="42" max="42" width="15.28515625" bestFit="1" customWidth="1"/>
    <col min="43" max="43" width="37" bestFit="1" customWidth="1"/>
    <col min="44" max="44" width="30" bestFit="1" customWidth="1"/>
    <col min="45" max="45" width="28.85546875" bestFit="1" customWidth="1"/>
    <col min="46" max="47" width="39.140625" bestFit="1" customWidth="1"/>
    <col min="48" max="48" width="27.7109375" bestFit="1" customWidth="1"/>
    <col min="49" max="49" width="25.5703125" bestFit="1" customWidth="1"/>
    <col min="50" max="50" width="27.7109375" bestFit="1" customWidth="1"/>
    <col min="51" max="51" width="29.28515625" bestFit="1" customWidth="1"/>
    <col min="52" max="52" width="31.42578125" bestFit="1" customWidth="1"/>
    <col min="53" max="53" width="28.7109375" bestFit="1" customWidth="1"/>
    <col min="54" max="54" width="30.85546875" bestFit="1" customWidth="1"/>
    <col min="55" max="55" width="29.140625" bestFit="1" customWidth="1"/>
    <col min="56" max="56" width="31.28515625" bestFit="1" customWidth="1"/>
    <col min="57" max="57" width="29.140625" bestFit="1" customWidth="1"/>
    <col min="58" max="58" width="31.28515625" bestFit="1" customWidth="1"/>
    <col min="59" max="59" width="15.85546875" bestFit="1" customWidth="1"/>
    <col min="60" max="60" width="14" bestFit="1" customWidth="1"/>
    <col min="61" max="61" width="17.7109375" bestFit="1" customWidth="1"/>
    <col min="62" max="62" width="13.42578125" bestFit="1" customWidth="1"/>
    <col min="63" max="63" width="34.85546875" bestFit="1" customWidth="1"/>
    <col min="64" max="65" width="37" bestFit="1" customWidth="1"/>
    <col min="66" max="66" width="33.85546875" bestFit="1" customWidth="1"/>
    <col min="67" max="68" width="36" bestFit="1" customWidth="1"/>
    <col min="69" max="69" width="35.42578125" bestFit="1" customWidth="1"/>
    <col min="70" max="71" width="37.5703125" bestFit="1" customWidth="1"/>
    <col min="72" max="72" width="11.7109375" bestFit="1" customWidth="1"/>
    <col min="73" max="73" width="33.85546875" bestFit="1" customWidth="1"/>
    <col min="74" max="75" width="36" bestFit="1" customWidth="1"/>
    <col min="76" max="76" width="33.85546875" bestFit="1" customWidth="1"/>
    <col min="77" max="77" width="36" bestFit="1" customWidth="1"/>
    <col min="78" max="78" width="34.28515625" bestFit="1" customWidth="1"/>
    <col min="79" max="81" width="36.42578125" bestFit="1" customWidth="1"/>
    <col min="82" max="82" width="33.85546875" bestFit="1" customWidth="1"/>
    <col min="83" max="83" width="36" bestFit="1" customWidth="1"/>
    <col min="84" max="84" width="34.28515625" bestFit="1" customWidth="1"/>
    <col min="85" max="86" width="36.42578125" bestFit="1" customWidth="1"/>
    <col min="87" max="88" width="35" bestFit="1" customWidth="1"/>
    <col min="89" max="89" width="32.7109375" bestFit="1" customWidth="1"/>
    <col min="90" max="91" width="35" bestFit="1" customWidth="1"/>
    <col min="92" max="92" width="31" bestFit="1" customWidth="1"/>
    <col min="93" max="94" width="33.140625" bestFit="1" customWidth="1"/>
    <col min="95" max="95" width="31" bestFit="1" customWidth="1"/>
    <col min="96" max="97" width="33.140625" bestFit="1" customWidth="1"/>
    <col min="98" max="98" width="31" bestFit="1" customWidth="1"/>
    <col min="99" max="99" width="33.140625" bestFit="1" customWidth="1"/>
    <col min="100" max="100" width="11.140625" bestFit="1" customWidth="1"/>
    <col min="101" max="101" width="13.28515625" bestFit="1" customWidth="1"/>
  </cols>
  <sheetData>
    <row r="1" spans="1:80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D1" t="s">
        <v>221</v>
      </c>
      <c r="AE1" t="s">
        <v>222</v>
      </c>
      <c r="AF1" t="s">
        <v>223</v>
      </c>
      <c r="AG1" t="s">
        <v>224</v>
      </c>
      <c r="AH1" t="s">
        <v>225</v>
      </c>
      <c r="AI1" t="s">
        <v>226</v>
      </c>
      <c r="AJ1" t="s">
        <v>227</v>
      </c>
      <c r="AK1" t="s">
        <v>228</v>
      </c>
      <c r="AL1" t="s">
        <v>229</v>
      </c>
      <c r="AM1" t="s">
        <v>230</v>
      </c>
      <c r="AN1" t="s">
        <v>190</v>
      </c>
      <c r="AO1" t="s">
        <v>191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254</v>
      </c>
      <c r="BN1" t="s">
        <v>255</v>
      </c>
      <c r="BO1" t="s">
        <v>256</v>
      </c>
      <c r="BP1" t="s">
        <v>257</v>
      </c>
      <c r="BQ1" t="s">
        <v>258</v>
      </c>
      <c r="BR1" t="s">
        <v>259</v>
      </c>
      <c r="BS1" t="s">
        <v>260</v>
      </c>
      <c r="BT1" t="s">
        <v>261</v>
      </c>
      <c r="BU1" t="s">
        <v>262</v>
      </c>
      <c r="BV1" t="s">
        <v>263</v>
      </c>
      <c r="BW1" t="s">
        <v>264</v>
      </c>
      <c r="BX1" t="s">
        <v>265</v>
      </c>
      <c r="BY1" t="s">
        <v>266</v>
      </c>
      <c r="BZ1" t="s">
        <v>267</v>
      </c>
      <c r="CA1" t="s">
        <v>268</v>
      </c>
      <c r="CB1" t="s">
        <v>269</v>
      </c>
    </row>
    <row r="2" spans="1:80">
      <c r="A2" t="s">
        <v>301</v>
      </c>
      <c r="B2" t="s">
        <v>302</v>
      </c>
      <c r="C2" t="s">
        <v>303</v>
      </c>
      <c r="D2" t="s">
        <v>304</v>
      </c>
      <c r="E2" t="s">
        <v>305</v>
      </c>
      <c r="F2" t="s">
        <v>31</v>
      </c>
      <c r="G2" t="s">
        <v>306</v>
      </c>
      <c r="H2" t="s">
        <v>307</v>
      </c>
      <c r="I2" t="s">
        <v>308</v>
      </c>
      <c r="J2" t="s">
        <v>0</v>
      </c>
      <c r="K2" t="s">
        <v>0</v>
      </c>
      <c r="L2" t="s">
        <v>309</v>
      </c>
      <c r="M2" t="s">
        <v>310</v>
      </c>
      <c r="N2" t="s">
        <v>0</v>
      </c>
      <c r="O2" t="s">
        <v>0</v>
      </c>
      <c r="P2" t="s">
        <v>0</v>
      </c>
      <c r="Q2" t="s">
        <v>0</v>
      </c>
      <c r="R2" t="s">
        <v>31</v>
      </c>
      <c r="S2" t="s">
        <v>311</v>
      </c>
      <c r="T2" t="s">
        <v>312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313</v>
      </c>
      <c r="AB2" t="s">
        <v>314</v>
      </c>
      <c r="AC2" t="s">
        <v>315</v>
      </c>
      <c r="AD2" t="s">
        <v>316</v>
      </c>
      <c r="AE2" t="s">
        <v>317</v>
      </c>
      <c r="AF2" t="s">
        <v>0</v>
      </c>
      <c r="AG2" t="s">
        <v>0</v>
      </c>
      <c r="AH2" t="s">
        <v>318</v>
      </c>
      <c r="AI2" t="s">
        <v>315</v>
      </c>
      <c r="AJ2" t="s">
        <v>319</v>
      </c>
      <c r="AK2" t="s">
        <v>320</v>
      </c>
      <c r="AL2" t="s">
        <v>321</v>
      </c>
      <c r="AM2" t="s">
        <v>321</v>
      </c>
      <c r="AN2" t="s">
        <v>284</v>
      </c>
      <c r="AO2" t="s">
        <v>285</v>
      </c>
      <c r="AP2" t="s">
        <v>322</v>
      </c>
      <c r="AQ2" t="s">
        <v>323</v>
      </c>
      <c r="AR2" t="s">
        <v>324</v>
      </c>
      <c r="AS2" t="s">
        <v>325</v>
      </c>
      <c r="AT2" t="s">
        <v>326</v>
      </c>
      <c r="AU2" t="s">
        <v>327</v>
      </c>
      <c r="AV2" t="s">
        <v>328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329</v>
      </c>
      <c r="BH2" t="s">
        <v>292</v>
      </c>
      <c r="BI2" t="s">
        <v>320</v>
      </c>
      <c r="BJ2" t="s">
        <v>0</v>
      </c>
      <c r="BK2" t="s">
        <v>330</v>
      </c>
      <c r="BL2" t="s">
        <v>331</v>
      </c>
      <c r="BM2" t="s">
        <v>1</v>
      </c>
      <c r="BN2" t="s">
        <v>292</v>
      </c>
      <c r="BO2" t="s">
        <v>0</v>
      </c>
      <c r="BP2" t="s">
        <v>0</v>
      </c>
      <c r="BQ2" t="s">
        <v>332</v>
      </c>
      <c r="BR2" t="s">
        <v>333</v>
      </c>
      <c r="BS2" t="s">
        <v>5</v>
      </c>
      <c r="BT2" t="s">
        <v>334</v>
      </c>
      <c r="BU2" t="s">
        <v>292</v>
      </c>
      <c r="BV2" t="s">
        <v>335</v>
      </c>
      <c r="BW2" t="s">
        <v>1</v>
      </c>
      <c r="BX2" t="s">
        <v>292</v>
      </c>
      <c r="BY2" t="s">
        <v>336</v>
      </c>
      <c r="BZ2" t="s">
        <v>292</v>
      </c>
      <c r="CA2" t="s">
        <v>335</v>
      </c>
      <c r="CB2" t="s">
        <v>1</v>
      </c>
    </row>
  </sheetData>
  <sheetProtection algorithmName="SHA-512" hashValue="SpaAPPrLMcj7naQ1/ri+UJtbIZBwYDGJ6RaSFaB8x7WTSpWZ3rnK1LDvxfFci28wmROU0kwHVSlvYeyU6OGsRg==" saltValue="w9cExRzY/nmG7YFnZ8WAK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51"/>
  <sheetViews>
    <sheetView workbookViewId="0">
      <selection sqref="A1:XFD17"/>
    </sheetView>
  </sheetViews>
  <sheetFormatPr baseColWidth="10" defaultColWidth="11.42578125" defaultRowHeight="12.75"/>
  <cols>
    <col min="1" max="1" width="22.85546875" bestFit="1" customWidth="1"/>
    <col min="2" max="2" width="255.7109375" bestFit="1" customWidth="1"/>
    <col min="3" max="3" width="15.28515625" bestFit="1" customWidth="1"/>
    <col min="5" max="5" width="27.5703125" customWidth="1"/>
  </cols>
  <sheetData>
    <row r="1" spans="1:5">
      <c r="A1" t="s">
        <v>271</v>
      </c>
      <c r="C1" s="109">
        <v>44875.621724537035</v>
      </c>
    </row>
    <row r="2" spans="1:5">
      <c r="A2" t="s">
        <v>272</v>
      </c>
      <c r="C2" s="109">
        <v>44875.621747685182</v>
      </c>
      <c r="D2">
        <f t="shared" ref="D2:D16" si="0">SECOND(C2-C1)</f>
        <v>2</v>
      </c>
      <c r="E2" s="16"/>
    </row>
    <row r="3" spans="1:5">
      <c r="A3" t="s">
        <v>273</v>
      </c>
      <c r="C3" s="109">
        <v>44875.621747685182</v>
      </c>
      <c r="D3">
        <f t="shared" si="0"/>
        <v>0</v>
      </c>
      <c r="E3" s="16"/>
    </row>
    <row r="4" spans="1:5">
      <c r="A4" t="s">
        <v>274</v>
      </c>
      <c r="C4" s="109">
        <v>44875.621747685182</v>
      </c>
      <c r="D4">
        <f t="shared" si="0"/>
        <v>0</v>
      </c>
      <c r="E4" s="16"/>
    </row>
    <row r="5" spans="1:5">
      <c r="A5" t="s">
        <v>275</v>
      </c>
      <c r="C5" s="109">
        <v>44875.621747685182</v>
      </c>
      <c r="D5">
        <f t="shared" si="0"/>
        <v>0</v>
      </c>
      <c r="E5" s="16"/>
    </row>
    <row r="6" spans="1:5">
      <c r="A6" t="s">
        <v>276</v>
      </c>
      <c r="C6" s="109">
        <v>44875.621759259258</v>
      </c>
      <c r="D6">
        <f t="shared" si="0"/>
        <v>1</v>
      </c>
      <c r="E6" s="16"/>
    </row>
    <row r="7" spans="1:5">
      <c r="A7" t="s">
        <v>277</v>
      </c>
      <c r="C7" s="109">
        <v>44875.621759259258</v>
      </c>
      <c r="D7">
        <f t="shared" si="0"/>
        <v>0</v>
      </c>
      <c r="E7" s="16"/>
    </row>
    <row r="8" spans="1:5">
      <c r="A8" t="s">
        <v>278</v>
      </c>
      <c r="C8" s="109">
        <v>44875.621759259258</v>
      </c>
      <c r="D8">
        <f t="shared" si="0"/>
        <v>0</v>
      </c>
      <c r="E8" s="16"/>
    </row>
    <row r="9" spans="1:5">
      <c r="A9" t="s">
        <v>279</v>
      </c>
      <c r="C9" s="109">
        <v>44875.621759259258</v>
      </c>
      <c r="D9">
        <f t="shared" si="0"/>
        <v>0</v>
      </c>
      <c r="E9" s="16"/>
    </row>
    <row r="10" spans="1:5">
      <c r="A10" t="s">
        <v>280</v>
      </c>
      <c r="C10" s="109">
        <v>44875.621759259258</v>
      </c>
      <c r="D10">
        <f t="shared" si="0"/>
        <v>0</v>
      </c>
      <c r="E10" s="16"/>
    </row>
    <row r="11" spans="1:5">
      <c r="A11" t="s">
        <v>281</v>
      </c>
      <c r="C11" s="109">
        <v>44875.621759259258</v>
      </c>
      <c r="D11">
        <f t="shared" si="0"/>
        <v>0</v>
      </c>
      <c r="E11" s="16"/>
    </row>
    <row r="12" spans="1:5">
      <c r="A12" t="s">
        <v>282</v>
      </c>
      <c r="B12" t="s">
        <v>283</v>
      </c>
      <c r="C12" s="109">
        <v>44875.621759259258</v>
      </c>
      <c r="D12">
        <f t="shared" si="0"/>
        <v>0</v>
      </c>
      <c r="E12" s="16"/>
    </row>
    <row r="13" spans="1:5">
      <c r="A13" t="s">
        <v>298</v>
      </c>
      <c r="C13" s="109">
        <v>44875.621828703705</v>
      </c>
      <c r="D13">
        <f t="shared" si="0"/>
        <v>6</v>
      </c>
      <c r="E13" s="16"/>
    </row>
    <row r="14" spans="1:5">
      <c r="A14" t="s">
        <v>281</v>
      </c>
      <c r="C14" s="109">
        <v>44875.621874999997</v>
      </c>
      <c r="D14">
        <f t="shared" si="0"/>
        <v>4</v>
      </c>
      <c r="E14" s="16"/>
    </row>
    <row r="15" spans="1:5">
      <c r="A15" t="s">
        <v>299</v>
      </c>
      <c r="B15" t="s">
        <v>300</v>
      </c>
      <c r="C15" s="109">
        <v>44875.621874999997</v>
      </c>
      <c r="D15">
        <f t="shared" si="0"/>
        <v>0</v>
      </c>
      <c r="E15" s="16"/>
    </row>
    <row r="16" spans="1:5">
      <c r="A16" t="s">
        <v>337</v>
      </c>
      <c r="B16" t="s">
        <v>338</v>
      </c>
      <c r="C16" s="109">
        <v>44875.62195601852</v>
      </c>
      <c r="D16">
        <f t="shared" si="0"/>
        <v>7</v>
      </c>
      <c r="E16" s="16"/>
    </row>
    <row r="17" spans="3:5">
      <c r="C17" s="109"/>
      <c r="E17" s="16"/>
    </row>
    <row r="18" spans="3:5">
      <c r="C18" s="109"/>
      <c r="E18" s="16"/>
    </row>
    <row r="19" spans="3:5">
      <c r="C19" s="109"/>
    </row>
    <row r="20" spans="3:5">
      <c r="C20" s="109"/>
      <c r="E20" s="11"/>
    </row>
    <row r="21" spans="3:5">
      <c r="C21" s="109"/>
    </row>
    <row r="22" spans="3:5">
      <c r="C22" s="109"/>
    </row>
    <row r="23" spans="3:5">
      <c r="C23" s="109"/>
    </row>
    <row r="24" spans="3:5">
      <c r="C24" s="109"/>
    </row>
    <row r="25" spans="3:5">
      <c r="C25" s="109"/>
    </row>
    <row r="26" spans="3:5">
      <c r="C26" s="109"/>
    </row>
    <row r="27" spans="3:5">
      <c r="C27" s="109"/>
    </row>
    <row r="28" spans="3:5">
      <c r="C28" s="109"/>
    </row>
    <row r="29" spans="3:5">
      <c r="C29" s="109"/>
    </row>
    <row r="30" spans="3:5">
      <c r="C30" s="109"/>
    </row>
    <row r="31" spans="3:5">
      <c r="C31" s="109"/>
    </row>
    <row r="32" spans="3:5">
      <c r="C32" s="109"/>
    </row>
    <row r="33" spans="3:3">
      <c r="C33" s="109"/>
    </row>
    <row r="34" spans="3:3" hidden="1">
      <c r="C34" s="109"/>
    </row>
    <row r="35" spans="3:3">
      <c r="C35" s="109"/>
    </row>
    <row r="36" spans="3:3">
      <c r="C36" s="109"/>
    </row>
    <row r="37" spans="3:3">
      <c r="C37" s="109"/>
    </row>
    <row r="38" spans="3:3">
      <c r="C38" s="109"/>
    </row>
    <row r="39" spans="3:3">
      <c r="C39" s="109"/>
    </row>
    <row r="40" spans="3:3">
      <c r="C40" s="109"/>
    </row>
    <row r="41" spans="3:3">
      <c r="C41" s="109"/>
    </row>
    <row r="42" spans="3:3">
      <c r="C42" s="109"/>
    </row>
    <row r="43" spans="3:3">
      <c r="C43" s="109"/>
    </row>
    <row r="44" spans="3:3">
      <c r="C44" s="109"/>
    </row>
    <row r="45" spans="3:3">
      <c r="C45" s="109"/>
    </row>
    <row r="46" spans="3:3">
      <c r="C46" s="109"/>
    </row>
    <row r="47" spans="3:3">
      <c r="C47" s="109"/>
    </row>
    <row r="48" spans="3:3">
      <c r="C48" s="109"/>
    </row>
    <row r="49" spans="3:3">
      <c r="C49" s="109"/>
    </row>
    <row r="50" spans="3:3">
      <c r="C50" s="109"/>
    </row>
    <row r="51" spans="3:3">
      <c r="C51" s="109"/>
    </row>
  </sheetData>
  <sheetProtection algorithmName="SHA-512" hashValue="M6vEQGXSgOVKz3j1UYoeG6S3MVYcAG4mNr+RKpezlvfKZTlyjCGLtlrZ6TXgvGhZt/JIdYdsbV8eSeTcTCupYw==" saltValue="+VK1OgqHEvhhgh38QpCKKw==" spinCount="100000" sheet="1" objects="1" scenarios="1"/>
  <pageMargins left="0.7" right="0.7" top="0.78740157499999996" bottom="0.78740157499999996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 W G _ S _ V W G B K M 0 0 1 _ Q 0 0 2 _ O D R e s u l t s 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 W G _ S _ V W G B K M 0 0 1 _ Q 0 0 2 _ O D R e s u l t s 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 C o l u m n s \ W G C F I L I A L 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 C o l u m n s \ W G C P R O J C T 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 C o l u m n s \ W G C D O S N R 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 C o l u m n s \ W G C B K M V R T 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<?xml version="1.0" encoding="utf-8"?>
<Application xmlns="http://www.sap.com/cof/excel/application">
  <Version>2</Version>
  <Revision>2.8.700.95947</Revision>
</Application>
</file>

<file path=customXml/item4.xml>��< ? x m l   v e r s i o n = " 1 . 0 "   e n c o d i n g = " U T F - 1 6 " ? > < G e m i n i   x m l n s = " h t t p : / / g e m i n i / p i v o t c u s t o m i z a t i o n / T a b l e X M L _ W G _ S _ V W G B K M 0 0 1 _ Q 0 0 2 _ O D R e s u l t s _ 2 0 0 3 f 7 1 1 - d a 7 2 - 4 9 8 c - 8 6 d 5 - 1 b 5 1 4 b 8 7 f 1 a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 W G C F I L I A L < / s t r i n g > < / k e y > < v a l u e > < i n t > 1 1 2 < / i n t > < / v a l u e > < / i t e m > < i t e m > < k e y > < s t r i n g > W G C P R O J C T < / s t r i n g > < / k e y > < v a l u e > < i n t > 1 3 2 < / i n t > < / v a l u e > < / i t e m > < i t e m > < k e y > < s t r i n g > W G C D O S N R < / s t r i n g > < / k e y > < v a l u e > < i n t > 1 2 6 < / i n t > < / v a l u e > < / i t e m > < i t e m > < k e y > < s t r i n g > W G C B K M V R T < / s t r i n g > < / k e y > < v a l u e > < i n t > 1 3 2 < / i n t > < / v a l u e > < / i t e m > < / C o l u m n W i d t h s > < C o l u m n D i s p l a y I n d e x > < i t e m > < k e y > < s t r i n g > W G C F I L I A L < / s t r i n g > < / k e y > < v a l u e > < i n t > 0 < / i n t > < / v a l u e > < / i t e m > < i t e m > < k e y > < s t r i n g > W G C P R O J C T < / s t r i n g > < / k e y > < v a l u e > < i n t > 1 < / i n t > < / v a l u e > < / i t e m > < i t e m > < k e y > < s t r i n g > W G C D O S N R < / s t r i n g > < / k e y > < v a l u e > < i n t > 2 < / i n t > < / v a l u e > < / i t e m > < i t e m > < k e y > < s t r i n g > W G C B K M V R T 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912B1E7-C806-4E50-9A3F-81B488B2B538}">
  <ds:schemaRefs/>
</ds:datastoreItem>
</file>

<file path=customXml/itemProps2.xml><?xml version="1.0" encoding="utf-8"?>
<ds:datastoreItem xmlns:ds="http://schemas.openxmlformats.org/officeDocument/2006/customXml" ds:itemID="{825F21F2-6B9C-4E1A-966F-C02F44CF5AAE}">
  <ds:schemaRefs/>
</ds:datastoreItem>
</file>

<file path=customXml/itemProps3.xml><?xml version="1.0" encoding="utf-8"?>
<ds:datastoreItem xmlns:ds="http://schemas.openxmlformats.org/officeDocument/2006/customXml" ds:itemID="{35D646AD-EBA9-4B0B-A8A6-C706E8994A18}">
  <ds:schemaRefs>
    <ds:schemaRef ds:uri="http://www.sap.com/cof/excel/application"/>
  </ds:schemaRefs>
</ds:datastoreItem>
</file>

<file path=customXml/itemProps4.xml><?xml version="1.0" encoding="utf-8"?>
<ds:datastoreItem xmlns:ds="http://schemas.openxmlformats.org/officeDocument/2006/customXml" ds:itemID="{4788E498-3DD4-476C-BB6D-EFF1872BDF5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14</vt:i4>
      </vt:variant>
    </vt:vector>
  </HeadingPairs>
  <TitlesOfParts>
    <vt:vector size="18" baseType="lpstr">
      <vt:lpstr>Trenner</vt:lpstr>
      <vt:lpstr>Rechnungsdeckblatt</vt:lpstr>
      <vt:lpstr>Hilfstabelle</vt:lpstr>
      <vt:lpstr>Stammdaten</vt:lpstr>
      <vt:lpstr>DD_Rechnungsart</vt:lpstr>
      <vt:lpstr>DD_SCHLUSSRECHNUNG</vt:lpstr>
      <vt:lpstr>DD_WÄHRUNG</vt:lpstr>
      <vt:lpstr>Rechnungsdeckblatt!Druckbereich</vt:lpstr>
      <vt:lpstr>Filiale</vt:lpstr>
      <vt:lpstr>generated</vt:lpstr>
      <vt:lpstr>MWST</vt:lpstr>
      <vt:lpstr>Projekt</vt:lpstr>
      <vt:lpstr>Rabatt</vt:lpstr>
      <vt:lpstr>RB_Prozent</vt:lpstr>
      <vt:lpstr>Rechnungsart</vt:lpstr>
      <vt:lpstr>Rückbehalt</vt:lpstr>
      <vt:lpstr>Schlussrechnung</vt:lpstr>
      <vt:lpstr>Teuerung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Kornfeld Jörn BIT</dc:creator>
  <cp:lastModifiedBy>Martin Noelle</cp:lastModifiedBy>
  <cp:lastPrinted>2023-01-26T14:38:33Z</cp:lastPrinted>
  <dcterms:created xsi:type="dcterms:W3CDTF">2014-11-14T14:19:05Z</dcterms:created>
  <dcterms:modified xsi:type="dcterms:W3CDTF">2023-01-26T14:38:43Z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