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45621"/>
</workbook>
</file>

<file path=xl/calcChain.xml><?xml version="1.0" encoding="utf-8"?>
<calcChain xmlns="http://schemas.openxmlformats.org/spreadsheetml/2006/main">
  <c r="O81" i="20" l="1"/>
  <c r="O25" i="20"/>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5" i="20"/>
  <c r="O84"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c r="D110" i="20" s="1"/>
  <c r="O94" i="20"/>
  <c r="O101" i="20"/>
  <c r="O97" i="20"/>
  <c r="O96" i="20" s="1"/>
  <c r="F110" i="20" s="1"/>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M25" i="28"/>
  <c r="J31" i="28"/>
  <c r="L28" i="20"/>
  <c r="M26" i="20"/>
  <c r="O99" i="20" l="1"/>
  <c r="F113" i="20"/>
  <c r="D113" i="20"/>
  <c r="D113" i="14"/>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31" i="20"/>
  <c r="P25" i="20" l="1"/>
  <c r="P31" i="20" s="1"/>
  <c r="P33" i="20" s="1"/>
  <c r="E40" i="20" s="1"/>
</calcChain>
</file>

<file path=xl/sharedStrings.xml><?xml version="1.0" encoding="utf-8"?>
<sst xmlns="http://schemas.openxmlformats.org/spreadsheetml/2006/main" count="663" uniqueCount="355">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</sst>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0" fontId="1" fillId="4" borderId="25" xfId="4" applyFont="1" applyFill="1" applyBorder="1" applyAlignment="1">
      <alignment horizontal="left" vertical="center"/>
    </xf>
    <xf numFmtId="0" fontId="1" fillId="4" borderId="25" xfId="4" applyFont="1" applyFill="1" applyBorder="1" applyAlignment="1">
      <alignment horizontal="center" vertical="center"/>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O81" sqref="O81:P8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6" t="s">
        <v>345</v>
      </c>
      <c r="I1" s="336"/>
      <c r="J1" s="149"/>
      <c r="K1" s="189"/>
      <c r="L1" s="166" t="s">
        <v>154</v>
      </c>
      <c r="M1" s="190"/>
      <c r="N1" s="105"/>
      <c r="O1" s="148"/>
      <c r="P1" s="150"/>
    </row>
    <row r="2" spans="1:16" s="14" customFormat="1" ht="12.75">
      <c r="A2" s="16" t="s">
        <v>12</v>
      </c>
      <c r="C2" s="348" t="s">
        <v>335</v>
      </c>
      <c r="D2" s="348"/>
      <c r="E2" s="349"/>
      <c r="F2" s="16" t="s">
        <v>327</v>
      </c>
      <c r="H2" s="329">
        <v>43282</v>
      </c>
      <c r="I2" s="329"/>
      <c r="J2" s="67" t="s">
        <v>195</v>
      </c>
      <c r="K2" s="193">
        <v>44926</v>
      </c>
      <c r="L2" s="16" t="s">
        <v>13</v>
      </c>
      <c r="N2" s="159">
        <v>43153</v>
      </c>
      <c r="P2" s="18"/>
    </row>
    <row r="3" spans="1:16" s="14" customFormat="1" ht="12.75">
      <c r="A3" s="16" t="s">
        <v>158</v>
      </c>
      <c r="C3" s="330" t="s">
        <v>336</v>
      </c>
      <c r="D3" s="330"/>
      <c r="E3" s="331"/>
      <c r="F3" s="16" t="s">
        <v>159</v>
      </c>
      <c r="H3" s="332" t="s">
        <v>346</v>
      </c>
      <c r="I3" s="332"/>
      <c r="J3" s="332"/>
      <c r="K3" s="333"/>
      <c r="L3" s="16" t="s">
        <v>166</v>
      </c>
      <c r="N3" s="325" t="s">
        <v>217</v>
      </c>
      <c r="O3" s="194"/>
      <c r="P3" s="94"/>
    </row>
    <row r="4" spans="1:16" s="14" customFormat="1" ht="12.75">
      <c r="A4" s="16" t="s">
        <v>184</v>
      </c>
      <c r="C4" s="330" t="s">
        <v>337</v>
      </c>
      <c r="D4" s="330"/>
      <c r="E4" s="331"/>
      <c r="F4" s="20" t="s">
        <v>165</v>
      </c>
      <c r="H4" s="332" t="s">
        <v>347</v>
      </c>
      <c r="I4" s="332"/>
      <c r="J4" s="332"/>
      <c r="K4" s="17"/>
      <c r="L4" s="16" t="s">
        <v>175</v>
      </c>
      <c r="N4" s="159">
        <v>43405</v>
      </c>
      <c r="O4" s="19" t="s">
        <v>5</v>
      </c>
      <c r="P4" s="161">
        <v>43465</v>
      </c>
    </row>
    <row r="5" spans="1:16" s="14" customFormat="1" ht="12.75">
      <c r="A5" s="25"/>
      <c r="C5" s="191"/>
      <c r="D5" s="169"/>
      <c r="E5" s="169"/>
      <c r="F5" s="25"/>
      <c r="G5" s="15" t="s">
        <v>169</v>
      </c>
      <c r="H5" s="347" t="s">
        <v>348</v>
      </c>
      <c r="I5" s="347"/>
      <c r="J5" s="347"/>
      <c r="K5" s="17"/>
      <c r="L5" s="20" t="s">
        <v>25</v>
      </c>
      <c r="N5" s="160" t="s">
        <v>27</v>
      </c>
      <c r="O5" s="80" t="s">
        <v>179</v>
      </c>
      <c r="P5" s="326" t="s">
        <v>354</v>
      </c>
    </row>
    <row r="6" spans="1:16" s="14" customFormat="1" ht="12.75">
      <c r="A6" s="16" t="s">
        <v>338</v>
      </c>
      <c r="C6" s="332" t="s">
        <v>339</v>
      </c>
      <c r="D6" s="332"/>
      <c r="E6" s="333"/>
      <c r="F6" s="25"/>
      <c r="G6" s="15" t="s">
        <v>161</v>
      </c>
      <c r="H6" s="334" t="s">
        <v>349</v>
      </c>
      <c r="I6" s="335"/>
      <c r="J6" s="335"/>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4" t="s">
        <v>142</v>
      </c>
      <c r="D8" s="364"/>
      <c r="E8" s="365"/>
      <c r="F8" s="21" t="s">
        <v>162</v>
      </c>
      <c r="G8" s="29"/>
      <c r="H8" s="343" t="s">
        <v>350</v>
      </c>
      <c r="I8" s="343"/>
      <c r="J8" s="343"/>
      <c r="K8" s="344"/>
      <c r="L8" s="31" t="s">
        <v>188</v>
      </c>
      <c r="M8" s="32"/>
      <c r="N8" s="32"/>
      <c r="O8" s="32"/>
      <c r="P8" s="30"/>
    </row>
    <row r="9" spans="1:16" s="14" customFormat="1" ht="12.75">
      <c r="A9" s="25"/>
      <c r="C9" s="366"/>
      <c r="D9" s="366"/>
      <c r="E9" s="367"/>
      <c r="F9" s="25"/>
      <c r="H9" s="332" t="s">
        <v>351</v>
      </c>
      <c r="I9" s="332"/>
      <c r="J9" s="332"/>
      <c r="K9" s="333"/>
      <c r="L9" s="159"/>
      <c r="M9" s="159"/>
      <c r="N9" s="66"/>
      <c r="O9" s="66"/>
      <c r="P9" s="99"/>
    </row>
    <row r="10" spans="1:16" s="14" customFormat="1" ht="12.75">
      <c r="A10" s="25"/>
      <c r="C10" s="366"/>
      <c r="D10" s="366"/>
      <c r="E10" s="367"/>
      <c r="F10" s="25"/>
      <c r="H10" s="332" t="s">
        <v>352</v>
      </c>
      <c r="I10" s="332"/>
      <c r="J10" s="332"/>
      <c r="K10" s="333"/>
      <c r="L10" s="159"/>
      <c r="M10" s="159"/>
      <c r="N10" s="66"/>
      <c r="O10" s="66"/>
      <c r="P10" s="99"/>
    </row>
    <row r="11" spans="1:16" s="14" customFormat="1" ht="12.75" customHeight="1">
      <c r="A11" s="25"/>
      <c r="C11" s="366"/>
      <c r="D11" s="366"/>
      <c r="E11" s="367"/>
      <c r="F11" s="25"/>
      <c r="H11" s="345"/>
      <c r="I11" s="345"/>
      <c r="J11" s="345"/>
      <c r="K11" s="346"/>
      <c r="L11" s="159"/>
      <c r="M11" s="159"/>
      <c r="N11" s="66"/>
      <c r="O11" s="66"/>
      <c r="P11" s="99"/>
    </row>
    <row r="12" spans="1:16" s="14" customFormat="1" ht="12.75">
      <c r="A12" s="25"/>
      <c r="C12" s="366"/>
      <c r="D12" s="366"/>
      <c r="E12" s="367"/>
      <c r="F12" s="25"/>
      <c r="H12" s="345"/>
      <c r="I12" s="345"/>
      <c r="J12" s="345"/>
      <c r="K12" s="18"/>
      <c r="L12" s="159"/>
      <c r="M12" s="159"/>
      <c r="N12" s="66"/>
      <c r="O12" s="164"/>
      <c r="P12" s="99"/>
    </row>
    <row r="13" spans="1:16" s="14" customFormat="1" ht="12.75">
      <c r="A13" s="25"/>
      <c r="C13" s="366"/>
      <c r="D13" s="366"/>
      <c r="E13" s="367"/>
      <c r="F13" s="16" t="s">
        <v>206</v>
      </c>
      <c r="H13" s="332" t="s">
        <v>353</v>
      </c>
      <c r="I13" s="332"/>
      <c r="J13" s="332"/>
      <c r="K13" s="18"/>
      <c r="L13" s="159"/>
      <c r="M13" s="159"/>
      <c r="N13" s="66"/>
      <c r="O13" s="66"/>
      <c r="P13" s="99"/>
    </row>
    <row r="14" spans="1:16" s="14" customFormat="1" ht="12.75" hidden="1">
      <c r="A14" s="25"/>
      <c r="C14" s="366"/>
      <c r="D14" s="366"/>
      <c r="E14" s="367"/>
      <c r="F14" s="16"/>
      <c r="H14" s="375"/>
      <c r="I14" s="375"/>
      <c r="J14" s="375"/>
      <c r="K14" s="18"/>
      <c r="L14" s="98"/>
      <c r="M14" s="66"/>
      <c r="N14" s="66"/>
      <c r="O14" s="66"/>
      <c r="P14" s="99"/>
    </row>
    <row r="15" spans="1:16" s="14" customFormat="1" ht="12.75" hidden="1">
      <c r="A15" s="25"/>
      <c r="F15" s="16"/>
      <c r="G15" s="24"/>
      <c r="H15" s="375"/>
      <c r="I15" s="375"/>
      <c r="J15" s="375"/>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8" t="s">
        <v>275</v>
      </c>
      <c r="B19" s="368"/>
      <c r="C19" s="368"/>
      <c r="D19" s="368"/>
      <c r="E19" s="368"/>
      <c r="F19" s="368"/>
      <c r="G19" s="368"/>
      <c r="H19" s="368"/>
      <c r="I19" s="368"/>
      <c r="J19" s="368"/>
      <c r="K19" s="368"/>
      <c r="L19" s="368"/>
      <c r="M19" s="368"/>
      <c r="N19" s="368"/>
      <c r="O19" s="368"/>
      <c r="P19" s="368"/>
      <c r="Q19" s="15"/>
      <c r="R19" s="15"/>
    </row>
    <row r="20" spans="1:18" s="35" customFormat="1">
      <c r="Q20" s="15"/>
      <c r="R20" s="15"/>
    </row>
    <row r="21" spans="1:18" s="37" customFormat="1" ht="12.75" thickBot="1">
      <c r="A21" s="350" t="s">
        <v>150</v>
      </c>
      <c r="B21" s="351"/>
      <c r="C21" s="351"/>
      <c r="D21" s="351"/>
      <c r="E21" s="351"/>
      <c r="F21" s="352"/>
      <c r="G21" s="353" t="s">
        <v>276</v>
      </c>
      <c r="H21" s="354"/>
      <c r="I21" s="354"/>
      <c r="J21" s="354"/>
      <c r="K21" s="354"/>
      <c r="L21" s="354"/>
      <c r="M21" s="354"/>
      <c r="N21" s="354"/>
      <c r="O21" s="354"/>
      <c r="P21" s="355"/>
      <c r="Q21" s="15"/>
      <c r="R21" s="15"/>
    </row>
    <row r="22" spans="1:18" s="74" customFormat="1" ht="24">
      <c r="A22" s="356" t="s">
        <v>167</v>
      </c>
      <c r="B22" s="35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8"/>
      <c r="B23" s="35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0"/>
      <c r="B24" s="361"/>
      <c r="C24" s="215"/>
      <c r="D24" s="216"/>
      <c r="E24" s="218"/>
      <c r="F24" s="204"/>
      <c r="G24" s="205"/>
      <c r="H24" s="206"/>
      <c r="I24" s="207"/>
      <c r="J24" s="208"/>
      <c r="K24" s="206"/>
      <c r="L24" s="207"/>
      <c r="M24" s="209"/>
      <c r="N24" s="210"/>
      <c r="O24" s="211"/>
      <c r="P24" s="212"/>
      <c r="Q24" s="75"/>
      <c r="R24" s="75"/>
    </row>
    <row r="25" spans="1:18" s="77" customFormat="1" ht="12.75">
      <c r="A25" s="362" t="s">
        <v>337</v>
      </c>
      <c r="B25" s="363"/>
      <c r="C25" s="324" t="s">
        <v>340</v>
      </c>
      <c r="D25" s="113" t="s">
        <v>201</v>
      </c>
      <c r="E25" s="219" t="s">
        <v>272</v>
      </c>
      <c r="F25" s="114" t="s">
        <v>191</v>
      </c>
      <c r="G25" s="115">
        <v>42219.75</v>
      </c>
      <c r="H25" s="116">
        <v>0</v>
      </c>
      <c r="I25" s="117">
        <f>SUM(G25:H25)</f>
        <v>42219.75</v>
      </c>
      <c r="J25" s="118">
        <f>-($J$23*I25)</f>
        <v>0</v>
      </c>
      <c r="K25" s="116">
        <v>1500</v>
      </c>
      <c r="L25" s="117">
        <f>SUM(I25:K25)</f>
        <v>43719.75</v>
      </c>
      <c r="M25" s="119">
        <f>-$M$23*L25</f>
        <v>0</v>
      </c>
      <c r="N25" s="121">
        <f>SUM(L25:M25)</f>
        <v>43719.75</v>
      </c>
      <c r="O25" s="141">
        <f>$O$23*N25-0.02</f>
        <v>3366.4007499999998</v>
      </c>
      <c r="P25" s="120">
        <f>SUM(N25:O25)</f>
        <v>47086.150750000001</v>
      </c>
      <c r="Q25" s="75"/>
      <c r="R25" s="75"/>
    </row>
    <row r="26" spans="1:18" s="77" customFormat="1" ht="12.75">
      <c r="A26" s="362"/>
      <c r="B26" s="363"/>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2"/>
      <c r="B27" s="363"/>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2"/>
      <c r="B28" s="363"/>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2"/>
      <c r="B29" s="363"/>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8"/>
      <c r="B30" s="37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42219.75</v>
      </c>
      <c r="H31" s="132">
        <f t="shared" si="0"/>
        <v>0</v>
      </c>
      <c r="I31" s="133">
        <f t="shared" si="0"/>
        <v>42219.75</v>
      </c>
      <c r="J31" s="134">
        <f t="shared" si="0"/>
        <v>0</v>
      </c>
      <c r="K31" s="132">
        <f t="shared" si="0"/>
        <v>1500</v>
      </c>
      <c r="L31" s="133">
        <f t="shared" si="0"/>
        <v>43719.75</v>
      </c>
      <c r="M31" s="135">
        <f t="shared" si="0"/>
        <v>0</v>
      </c>
      <c r="N31" s="139">
        <f t="shared" si="0"/>
        <v>43719.75</v>
      </c>
      <c r="O31" s="136">
        <f t="shared" si="0"/>
        <v>3366.4007499999998</v>
      </c>
      <c r="P31" s="137">
        <f t="shared" si="0"/>
        <v>47086.150750000001</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47086.150750000001</v>
      </c>
      <c r="Q33" s="15"/>
      <c r="R33" s="15"/>
    </row>
    <row r="34" spans="1:18" s="144" customFormat="1" ht="18.75" customHeight="1">
      <c r="C34" s="151"/>
      <c r="E34" s="152"/>
      <c r="F34" s="153"/>
      <c r="G34" s="154"/>
      <c r="H34" s="154"/>
      <c r="I34" s="154"/>
      <c r="J34" s="154"/>
      <c r="K34" s="154"/>
      <c r="L34" s="154"/>
      <c r="M34" s="155" t="s">
        <v>247</v>
      </c>
      <c r="N34" s="154"/>
      <c r="O34" s="154"/>
      <c r="P34" s="154">
        <f>L31*(1+$O$23)</f>
        <v>47086.170749999997</v>
      </c>
    </row>
    <row r="35" spans="1:18" ht="10.5" customHeight="1">
      <c r="M35" s="108"/>
    </row>
    <row r="36" spans="1:18" ht="28.5" customHeight="1">
      <c r="A36" s="145" t="s">
        <v>149</v>
      </c>
      <c r="B36" s="380"/>
      <c r="C36" s="381"/>
      <c r="D36" s="381"/>
      <c r="E36" s="381"/>
      <c r="F36" s="381"/>
      <c r="G36" s="381"/>
      <c r="H36" s="381"/>
      <c r="I36" s="381"/>
      <c r="J36" s="381"/>
      <c r="K36" s="381"/>
      <c r="L36" s="381"/>
      <c r="M36" s="381"/>
      <c r="N36" s="381"/>
      <c r="O36" s="381"/>
      <c r="P36" s="381"/>
    </row>
    <row r="37" spans="1:18" s="23" customFormat="1">
      <c r="B37" s="57"/>
      <c r="C37" s="57"/>
      <c r="D37" s="57"/>
      <c r="E37" s="57"/>
      <c r="F37" s="57"/>
      <c r="G37" s="57"/>
      <c r="H37" s="57"/>
      <c r="I37" s="57"/>
      <c r="J37" s="57"/>
      <c r="K37" s="57"/>
      <c r="L37" s="57"/>
      <c r="M37" s="57"/>
      <c r="N37" s="57"/>
      <c r="O37" s="57"/>
      <c r="P37" s="57"/>
      <c r="Q37" s="57"/>
    </row>
    <row r="38" spans="1:18" ht="15">
      <c r="A38" s="368" t="s">
        <v>170</v>
      </c>
      <c r="B38" s="368"/>
      <c r="C38" s="368"/>
      <c r="D38" s="368"/>
      <c r="E38" s="368"/>
      <c r="F38" s="368"/>
      <c r="G38" s="368"/>
      <c r="H38" s="368"/>
      <c r="I38" s="368"/>
      <c r="J38" s="368"/>
      <c r="K38" s="368"/>
      <c r="L38" s="368"/>
      <c r="M38" s="368"/>
      <c r="N38" s="368"/>
      <c r="O38" s="368"/>
      <c r="P38" s="368"/>
      <c r="Q38" s="57"/>
    </row>
    <row r="40" spans="1:18" s="43" customFormat="1" ht="15.75">
      <c r="A40" s="43" t="s">
        <v>236</v>
      </c>
      <c r="E40" s="382">
        <f>P33</f>
        <v>47086.150750000001</v>
      </c>
      <c r="F40" s="382"/>
      <c r="J40" s="383"/>
      <c r="K40" s="38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7" t="s">
        <v>343</v>
      </c>
      <c r="B43" s="338"/>
      <c r="C43" s="339"/>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0" t="s">
        <v>344</v>
      </c>
      <c r="B44" s="341"/>
      <c r="C44" s="342"/>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43153</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02</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v>
      </c>
      <c r="P62" s="232"/>
    </row>
    <row r="64" spans="1:18" ht="15">
      <c r="A64" s="368" t="s">
        <v>211</v>
      </c>
      <c r="B64" s="368"/>
      <c r="C64" s="368"/>
      <c r="D64" s="368"/>
      <c r="E64" s="368"/>
      <c r="F64" s="368"/>
      <c r="G64" s="368"/>
      <c r="H64" s="368"/>
      <c r="I64" s="368"/>
      <c r="J64" s="368"/>
      <c r="K64" s="368"/>
      <c r="L64" s="368"/>
      <c r="M64" s="368"/>
      <c r="N64" s="368"/>
      <c r="O64" s="368"/>
      <c r="P64" s="368"/>
    </row>
    <row r="66" spans="1:16" s="42" customFormat="1" ht="12.75" customHeight="1">
      <c r="A66" s="369" t="s">
        <v>213</v>
      </c>
      <c r="B66" s="370"/>
      <c r="C66" s="370"/>
      <c r="D66" s="371" t="s">
        <v>212</v>
      </c>
      <c r="E66" s="372"/>
      <c r="F66" s="373" t="s">
        <v>155</v>
      </c>
      <c r="G66" s="373"/>
      <c r="H66" s="373" t="s">
        <v>241</v>
      </c>
      <c r="I66" s="373"/>
      <c r="J66" s="373" t="s">
        <v>242</v>
      </c>
      <c r="K66" s="376"/>
      <c r="L66" s="377" t="s">
        <v>146</v>
      </c>
      <c r="M66" s="377"/>
      <c r="N66" s="377"/>
      <c r="O66" s="377"/>
      <c r="P66" s="377"/>
    </row>
    <row r="67" spans="1:16">
      <c r="A67" s="394"/>
      <c r="B67" s="395"/>
      <c r="C67" s="395"/>
      <c r="D67" s="396"/>
      <c r="E67" s="397"/>
      <c r="F67" s="398"/>
      <c r="G67" s="398"/>
      <c r="H67" s="398"/>
      <c r="I67" s="398"/>
      <c r="J67" s="398"/>
      <c r="K67" s="399"/>
      <c r="L67" s="400" t="s">
        <v>208</v>
      </c>
      <c r="M67" s="401"/>
      <c r="N67" s="83" t="s">
        <v>152</v>
      </c>
      <c r="O67" s="374" t="s">
        <v>209</v>
      </c>
      <c r="P67" s="374"/>
    </row>
    <row r="68" spans="1:16" ht="6" customHeight="1">
      <c r="A68" s="384"/>
      <c r="B68" s="385"/>
      <c r="C68" s="385"/>
      <c r="D68" s="386"/>
      <c r="E68" s="387"/>
      <c r="F68" s="388"/>
      <c r="G68" s="388"/>
      <c r="H68" s="389"/>
      <c r="I68" s="389"/>
      <c r="J68" s="389"/>
      <c r="K68" s="390"/>
      <c r="L68" s="391"/>
      <c r="M68" s="392"/>
      <c r="N68" s="84"/>
      <c r="O68" s="393"/>
      <c r="P68" s="393"/>
    </row>
    <row r="69" spans="1:16" s="23" customFormat="1" ht="12.75">
      <c r="A69" s="403" t="s">
        <v>207</v>
      </c>
      <c r="B69" s="404"/>
      <c r="C69" s="404"/>
      <c r="D69" s="413">
        <v>43418</v>
      </c>
      <c r="E69" s="413"/>
      <c r="F69" s="414" t="str">
        <f>H1</f>
        <v>090069/2000003</v>
      </c>
      <c r="G69" s="414"/>
      <c r="H69" s="415"/>
      <c r="I69" s="416"/>
      <c r="J69" s="417"/>
      <c r="K69" s="418"/>
      <c r="L69" s="419">
        <v>3509517.75</v>
      </c>
      <c r="M69" s="420"/>
      <c r="N69" s="181">
        <v>7.6999999999999999E-2</v>
      </c>
      <c r="O69" s="402">
        <f>IF(L69&lt;&gt;"",ROUND((1*L69*(1+N69))*20,0)/20,"")</f>
        <v>3779750.6</v>
      </c>
      <c r="P69" s="402"/>
    </row>
    <row r="70" spans="1:16" ht="12.75">
      <c r="A70" s="403" t="s">
        <v>239</v>
      </c>
      <c r="B70" s="404"/>
      <c r="C70" s="404"/>
      <c r="D70" s="405"/>
      <c r="E70" s="406"/>
      <c r="F70" s="407"/>
      <c r="G70" s="407"/>
      <c r="H70" s="405"/>
      <c r="I70" s="406"/>
      <c r="J70" s="408"/>
      <c r="K70" s="409"/>
      <c r="L70" s="410"/>
      <c r="M70" s="411"/>
      <c r="N70" s="182">
        <v>7.6999999999999999E-2</v>
      </c>
      <c r="O70" s="412" t="str">
        <f>IF(L70&lt;&gt;"",ROUND((1*L70*(1+N70))*20,0)/20,"")</f>
        <v/>
      </c>
      <c r="P70" s="412"/>
    </row>
    <row r="71" spans="1:16" ht="12.75">
      <c r="A71" s="403" t="s">
        <v>240</v>
      </c>
      <c r="B71" s="404"/>
      <c r="C71" s="404"/>
      <c r="D71" s="405"/>
      <c r="E71" s="406"/>
      <c r="F71" s="407"/>
      <c r="G71" s="407"/>
      <c r="H71" s="405"/>
      <c r="I71" s="406"/>
      <c r="J71" s="408"/>
      <c r="K71" s="409"/>
      <c r="L71" s="410"/>
      <c r="M71" s="411"/>
      <c r="N71" s="182"/>
      <c r="O71" s="412" t="str">
        <f>IF(L71&lt;&gt;"",ROUND((1*L71*(1+N71))*20,0)/20,"")</f>
        <v/>
      </c>
      <c r="P71" s="412"/>
    </row>
    <row r="72" spans="1:16" ht="6" customHeight="1">
      <c r="A72" s="394"/>
      <c r="B72" s="395"/>
      <c r="C72" s="395"/>
      <c r="D72" s="432"/>
      <c r="E72" s="433"/>
      <c r="F72" s="434"/>
      <c r="G72" s="434"/>
      <c r="H72" s="432"/>
      <c r="I72" s="433"/>
      <c r="J72" s="435"/>
      <c r="K72" s="436"/>
      <c r="L72" s="437"/>
      <c r="M72" s="438"/>
      <c r="N72" s="183"/>
      <c r="O72" s="439" t="str">
        <f>IF(L72&lt;&gt;"",ROUND((1*L72*(1+N72))*20,0)/20,"")</f>
        <v/>
      </c>
      <c r="P72" s="439"/>
    </row>
    <row r="73" spans="1:16" s="42" customFormat="1" ht="12.75">
      <c r="A73" s="62" t="s">
        <v>215</v>
      </c>
      <c r="B73" s="63"/>
      <c r="C73" s="63"/>
      <c r="D73" s="184"/>
      <c r="E73" s="184"/>
      <c r="F73" s="184"/>
      <c r="G73" s="184"/>
      <c r="H73" s="184"/>
      <c r="I73" s="184"/>
      <c r="J73" s="184"/>
      <c r="K73" s="184"/>
      <c r="L73" s="421">
        <f>SUM(L69:M72)</f>
        <v>3509517.75</v>
      </c>
      <c r="M73" s="422"/>
      <c r="N73" s="185"/>
      <c r="O73" s="421">
        <f>SUM(O69:P72)</f>
        <v>3779750.6</v>
      </c>
      <c r="P73" s="421"/>
    </row>
    <row r="75" spans="1:16" ht="15">
      <c r="A75" s="368" t="s">
        <v>176</v>
      </c>
      <c r="B75" s="368"/>
      <c r="C75" s="368"/>
      <c r="D75" s="368"/>
      <c r="E75" s="368"/>
      <c r="F75" s="368"/>
      <c r="G75" s="368"/>
      <c r="H75" s="368"/>
      <c r="I75" s="368"/>
      <c r="J75" s="368"/>
      <c r="K75" s="368"/>
      <c r="L75" s="368"/>
      <c r="M75" s="368"/>
      <c r="N75" s="368"/>
      <c r="O75" s="368"/>
      <c r="P75" s="368"/>
    </row>
    <row r="77" spans="1:16" ht="12.75" customHeight="1">
      <c r="A77" s="110" t="s">
        <v>166</v>
      </c>
      <c r="B77" s="61"/>
      <c r="C77" s="278" t="s">
        <v>13</v>
      </c>
      <c r="D77" s="61"/>
      <c r="E77" s="109"/>
      <c r="F77" s="314" t="s">
        <v>25</v>
      </c>
      <c r="G77" s="61"/>
      <c r="H77" s="309" t="s">
        <v>325</v>
      </c>
      <c r="I77" s="282"/>
      <c r="J77" s="371" t="s">
        <v>254</v>
      </c>
      <c r="K77" s="423"/>
      <c r="L77" s="424" t="s">
        <v>180</v>
      </c>
      <c r="M77" s="425"/>
      <c r="N77" s="425"/>
      <c r="O77" s="425"/>
      <c r="P77" s="426"/>
    </row>
    <row r="78" spans="1:16" s="42" customFormat="1" ht="12.75" customHeight="1">
      <c r="A78" s="266"/>
      <c r="B78" s="264"/>
      <c r="C78" s="280"/>
      <c r="D78" s="276"/>
      <c r="E78" s="268"/>
      <c r="F78" s="315" t="s">
        <v>260</v>
      </c>
      <c r="G78" s="97" t="s">
        <v>179</v>
      </c>
      <c r="H78" s="277" t="s">
        <v>326</v>
      </c>
      <c r="I78" s="310" t="s">
        <v>5</v>
      </c>
      <c r="J78" s="396"/>
      <c r="K78" s="427"/>
      <c r="L78" s="428" t="s">
        <v>208</v>
      </c>
      <c r="M78" s="429"/>
      <c r="N78" s="83" t="s">
        <v>152</v>
      </c>
      <c r="O78" s="430" t="s">
        <v>209</v>
      </c>
      <c r="P78" s="431"/>
    </row>
    <row r="79" spans="1:16" ht="6" customHeight="1">
      <c r="A79" s="44"/>
      <c r="C79" s="281"/>
      <c r="D79" s="442"/>
      <c r="E79" s="443"/>
      <c r="F79" s="444"/>
      <c r="G79" s="445"/>
      <c r="H79" s="302"/>
      <c r="I79" s="238"/>
      <c r="J79" s="446"/>
      <c r="K79" s="447"/>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440" t="s">
        <v>135</v>
      </c>
      <c r="K80" s="441"/>
      <c r="L80" s="410">
        <v>9902.5</v>
      </c>
      <c r="M80" s="411"/>
      <c r="N80" s="182">
        <v>7.6999999999999999E-2</v>
      </c>
      <c r="O80" s="412">
        <f>IF(L80&lt;&gt;"",L80*(1+N80),"")+0.01</f>
        <v>10665.002500000001</v>
      </c>
      <c r="P80" s="412"/>
    </row>
    <row r="81" spans="1:16" ht="12.75">
      <c r="A81" s="327" t="s">
        <v>217</v>
      </c>
      <c r="B81" s="265"/>
      <c r="C81" s="279">
        <v>43518</v>
      </c>
      <c r="D81" s="265"/>
      <c r="E81" s="270"/>
      <c r="F81" s="517" t="s">
        <v>27</v>
      </c>
      <c r="G81" s="328" t="s">
        <v>217</v>
      </c>
      <c r="H81" s="311">
        <v>43405</v>
      </c>
      <c r="I81" s="312">
        <v>43465</v>
      </c>
      <c r="J81" s="518" t="s">
        <v>135</v>
      </c>
      <c r="K81" s="441"/>
      <c r="L81" s="410">
        <v>42219.75</v>
      </c>
      <c r="M81" s="411"/>
      <c r="N81" s="182">
        <v>7.6999999999999999E-2</v>
      </c>
      <c r="O81" s="412">
        <f>IF(L81&lt;&gt;"",L81*(1+N81),"")-0.02</f>
        <v>45470.650750000001</v>
      </c>
      <c r="P81" s="412"/>
    </row>
    <row r="82" spans="1:16" ht="12.75">
      <c r="A82" s="327" t="s">
        <v>217</v>
      </c>
      <c r="B82" s="265"/>
      <c r="C82" s="279">
        <v>43518</v>
      </c>
      <c r="D82" s="265"/>
      <c r="E82" s="270"/>
      <c r="F82" s="517" t="s">
        <v>27</v>
      </c>
      <c r="G82" s="328" t="s">
        <v>217</v>
      </c>
      <c r="H82" s="311">
        <v>43405</v>
      </c>
      <c r="I82" s="312">
        <v>43465</v>
      </c>
      <c r="J82" s="440" t="s">
        <v>147</v>
      </c>
      <c r="K82" s="441"/>
      <c r="L82" s="410">
        <v>1500</v>
      </c>
      <c r="M82" s="411"/>
      <c r="N82" s="182">
        <v>7.6999999999999999E-2</v>
      </c>
      <c r="O82" s="412">
        <f t="shared" ref="O82:O93" si="1">IF(L82&lt;&gt;"",L82*(1+N82),"")</f>
        <v>1615.5</v>
      </c>
      <c r="P82" s="412"/>
    </row>
    <row r="83" spans="1:16" ht="12.75">
      <c r="A83" s="272"/>
      <c r="B83" s="265"/>
      <c r="C83" s="279"/>
      <c r="D83" s="265"/>
      <c r="E83" s="270"/>
      <c r="F83" s="307"/>
      <c r="G83" s="308"/>
      <c r="H83" s="311"/>
      <c r="I83" s="312"/>
      <c r="J83" s="440"/>
      <c r="K83" s="441"/>
      <c r="L83" s="410"/>
      <c r="M83" s="411"/>
      <c r="N83" s="182">
        <v>7.6999999999999999E-2</v>
      </c>
      <c r="O83" s="412" t="str">
        <f t="shared" si="1"/>
        <v/>
      </c>
      <c r="P83" s="412"/>
    </row>
    <row r="84" spans="1:16" ht="12.75">
      <c r="A84" s="272"/>
      <c r="B84" s="265"/>
      <c r="C84" s="279"/>
      <c r="D84" s="265"/>
      <c r="E84" s="270"/>
      <c r="F84" s="307"/>
      <c r="G84" s="308"/>
      <c r="H84" s="311"/>
      <c r="I84" s="312"/>
      <c r="J84" s="440"/>
      <c r="K84" s="441"/>
      <c r="L84" s="410"/>
      <c r="M84" s="411"/>
      <c r="N84" s="182">
        <v>7.6999999999999999E-2</v>
      </c>
      <c r="O84" s="412" t="str">
        <f t="shared" si="1"/>
        <v/>
      </c>
      <c r="P84" s="412"/>
    </row>
    <row r="85" spans="1:16" ht="12.75">
      <c r="A85" s="272"/>
      <c r="B85" s="265"/>
      <c r="C85" s="279"/>
      <c r="D85" s="265"/>
      <c r="E85" s="270"/>
      <c r="F85" s="303"/>
      <c r="G85" s="308"/>
      <c r="H85" s="311"/>
      <c r="I85" s="312"/>
      <c r="J85" s="440"/>
      <c r="K85" s="441"/>
      <c r="L85" s="410"/>
      <c r="M85" s="411"/>
      <c r="N85" s="182">
        <v>7.6999999999999999E-2</v>
      </c>
      <c r="O85" s="412" t="str">
        <f t="shared" si="1"/>
        <v/>
      </c>
      <c r="P85" s="412"/>
    </row>
    <row r="86" spans="1:16" ht="12.75">
      <c r="A86" s="272"/>
      <c r="B86" s="265"/>
      <c r="C86" s="279"/>
      <c r="D86" s="265"/>
      <c r="E86" s="270"/>
      <c r="F86" s="303"/>
      <c r="G86" s="308"/>
      <c r="H86" s="311"/>
      <c r="I86" s="312"/>
      <c r="J86" s="440"/>
      <c r="K86" s="441"/>
      <c r="L86" s="410"/>
      <c r="M86" s="411"/>
      <c r="N86" s="182">
        <v>7.6999999999999999E-2</v>
      </c>
      <c r="O86" s="412" t="str">
        <f t="shared" si="1"/>
        <v/>
      </c>
      <c r="P86" s="412"/>
    </row>
    <row r="87" spans="1:16" ht="12.75">
      <c r="A87" s="272"/>
      <c r="B87" s="265"/>
      <c r="C87" s="279"/>
      <c r="D87" s="265"/>
      <c r="E87" s="270"/>
      <c r="F87" s="303"/>
      <c r="G87" s="308"/>
      <c r="H87" s="311"/>
      <c r="I87" s="312"/>
      <c r="J87" s="440"/>
      <c r="K87" s="441"/>
      <c r="L87" s="410"/>
      <c r="M87" s="411"/>
      <c r="N87" s="182">
        <v>7.6999999999999999E-2</v>
      </c>
      <c r="O87" s="412" t="str">
        <f t="shared" si="1"/>
        <v/>
      </c>
      <c r="P87" s="412"/>
    </row>
    <row r="88" spans="1:16" ht="12.75">
      <c r="A88" s="272"/>
      <c r="B88" s="265"/>
      <c r="C88" s="279"/>
      <c r="D88" s="265"/>
      <c r="E88" s="270"/>
      <c r="F88" s="303"/>
      <c r="G88" s="308"/>
      <c r="H88" s="311"/>
      <c r="I88" s="312"/>
      <c r="J88" s="440"/>
      <c r="K88" s="441"/>
      <c r="L88" s="410"/>
      <c r="M88" s="411"/>
      <c r="N88" s="182">
        <v>7.6999999999999999E-2</v>
      </c>
      <c r="O88" s="412" t="str">
        <f t="shared" si="1"/>
        <v/>
      </c>
      <c r="P88" s="412"/>
    </row>
    <row r="89" spans="1:16" ht="12.75">
      <c r="A89" s="272"/>
      <c r="B89" s="265"/>
      <c r="C89" s="279"/>
      <c r="D89" s="265"/>
      <c r="E89" s="270"/>
      <c r="F89" s="303"/>
      <c r="G89" s="308"/>
      <c r="H89" s="311"/>
      <c r="I89" s="312"/>
      <c r="J89" s="440"/>
      <c r="K89" s="441"/>
      <c r="L89" s="410"/>
      <c r="M89" s="411"/>
      <c r="N89" s="182">
        <v>7.6999999999999999E-2</v>
      </c>
      <c r="O89" s="412" t="str">
        <f t="shared" si="1"/>
        <v/>
      </c>
      <c r="P89" s="412"/>
    </row>
    <row r="90" spans="1:16" ht="12.75">
      <c r="A90" s="272"/>
      <c r="B90" s="265"/>
      <c r="C90" s="279"/>
      <c r="D90" s="265"/>
      <c r="E90" s="270"/>
      <c r="F90" s="303"/>
      <c r="G90" s="308"/>
      <c r="H90" s="311"/>
      <c r="I90" s="312"/>
      <c r="J90" s="440"/>
      <c r="K90" s="441"/>
      <c r="L90" s="410"/>
      <c r="M90" s="411"/>
      <c r="N90" s="182">
        <v>7.6999999999999999E-2</v>
      </c>
      <c r="O90" s="412" t="str">
        <f t="shared" si="1"/>
        <v/>
      </c>
      <c r="P90" s="412"/>
    </row>
    <row r="91" spans="1:16" ht="12.75">
      <c r="A91" s="272"/>
      <c r="B91" s="265"/>
      <c r="C91" s="279"/>
      <c r="D91" s="265"/>
      <c r="E91" s="270"/>
      <c r="F91" s="303"/>
      <c r="G91" s="308"/>
      <c r="H91" s="311"/>
      <c r="I91" s="312"/>
      <c r="J91" s="440"/>
      <c r="K91" s="441"/>
      <c r="L91" s="410"/>
      <c r="M91" s="411"/>
      <c r="N91" s="182">
        <v>7.6999999999999999E-2</v>
      </c>
      <c r="O91" s="412" t="str">
        <f t="shared" si="1"/>
        <v/>
      </c>
      <c r="P91" s="412"/>
    </row>
    <row r="92" spans="1:16" ht="12.75">
      <c r="A92" s="272"/>
      <c r="B92" s="265"/>
      <c r="C92" s="279"/>
      <c r="D92" s="265"/>
      <c r="E92" s="270"/>
      <c r="F92" s="303"/>
      <c r="G92" s="308"/>
      <c r="H92" s="311"/>
      <c r="I92" s="312"/>
      <c r="J92" s="440"/>
      <c r="K92" s="441"/>
      <c r="L92" s="410"/>
      <c r="M92" s="411"/>
      <c r="N92" s="182">
        <v>7.6999999999999999E-2</v>
      </c>
      <c r="O92" s="412" t="str">
        <f t="shared" si="1"/>
        <v/>
      </c>
      <c r="P92" s="412"/>
    </row>
    <row r="93" spans="1:16" ht="12.75">
      <c r="A93" s="272"/>
      <c r="B93" s="265"/>
      <c r="C93" s="279"/>
      <c r="D93" s="265"/>
      <c r="E93" s="270"/>
      <c r="F93" s="303"/>
      <c r="G93" s="308"/>
      <c r="H93" s="311"/>
      <c r="I93" s="312"/>
      <c r="J93" s="440"/>
      <c r="K93" s="441"/>
      <c r="L93" s="410"/>
      <c r="M93" s="411"/>
      <c r="N93" s="182">
        <v>7.6999999999999999E-2</v>
      </c>
      <c r="O93" s="412" t="str">
        <f t="shared" si="1"/>
        <v/>
      </c>
      <c r="P93" s="412"/>
    </row>
    <row r="94" spans="1:16" ht="12.75">
      <c r="A94" s="273"/>
      <c r="B94" s="265"/>
      <c r="C94" s="285"/>
      <c r="D94" s="265"/>
      <c r="E94" s="269"/>
      <c r="F94" s="307" t="s">
        <v>2</v>
      </c>
      <c r="G94" s="308"/>
      <c r="H94" s="311"/>
      <c r="I94" s="313"/>
      <c r="J94" s="440"/>
      <c r="K94" s="441"/>
      <c r="L94" s="410"/>
      <c r="M94" s="411"/>
      <c r="N94" s="182">
        <v>7.6999999999999999E-2</v>
      </c>
      <c r="O94" s="412" t="str">
        <f>IF(L94&lt;&gt;"",L94*(1+N94),"")</f>
        <v/>
      </c>
      <c r="P94" s="412"/>
    </row>
    <row r="95" spans="1:16" ht="6" customHeight="1">
      <c r="A95" s="81"/>
      <c r="C95" s="277"/>
      <c r="D95" s="451"/>
      <c r="E95" s="452"/>
      <c r="F95" s="453"/>
      <c r="G95" s="454"/>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1">
        <f>-SUMIF(J80:K95,'Dropdowns DL'!B5,L80:M95)+L97</f>
        <v>53622.25</v>
      </c>
      <c r="M96" s="422"/>
      <c r="N96" s="185"/>
      <c r="O96" s="421">
        <f>-SUMIF(J80:K95,'Dropdowns DL'!B5,O80:P95)+O97</f>
        <v>57751.153250000003</v>
      </c>
      <c r="P96" s="421"/>
    </row>
    <row r="97" spans="1:16" s="42" customFormat="1" ht="12.75">
      <c r="A97" s="26" t="s">
        <v>182</v>
      </c>
      <c r="B97" s="63"/>
      <c r="C97" s="63"/>
      <c r="D97" s="236"/>
      <c r="E97" s="236"/>
      <c r="F97" s="236"/>
      <c r="G97" s="236"/>
      <c r="H97" s="236"/>
      <c r="I97" s="236"/>
      <c r="J97" s="236"/>
      <c r="K97" s="237"/>
      <c r="L97" s="448">
        <f>SUM(L80:M95)</f>
        <v>53622.25</v>
      </c>
      <c r="M97" s="449"/>
      <c r="N97" s="186"/>
      <c r="O97" s="448">
        <f>SUM(O80:P95)</f>
        <v>57751.153250000003</v>
      </c>
      <c r="P97" s="450"/>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48">
        <f>SUMIF(J80:K95,'Dropdowns DL'!B4,L80:M95)</f>
        <v>52122.25</v>
      </c>
      <c r="M99" s="449"/>
      <c r="N99" s="183"/>
      <c r="O99" s="448">
        <f>SUMIF(J80:K95,'Dropdowns DL'!B4,O80:P95)</f>
        <v>56135.653250000003</v>
      </c>
      <c r="P99" s="450"/>
    </row>
    <row r="100" spans="1:16" ht="12.75">
      <c r="A100" s="44"/>
      <c r="J100" s="42" t="s">
        <v>278</v>
      </c>
      <c r="K100" s="17"/>
      <c r="L100" s="448">
        <f>SUMIF(J80:K95,'Dropdowns DL'!B6,L80:M95)</f>
        <v>1500</v>
      </c>
      <c r="M100" s="449"/>
      <c r="N100" s="183"/>
      <c r="O100" s="448">
        <f>SUMIF(J80:K95,'Dropdowns DL'!B6,O80:P95)</f>
        <v>1615.5</v>
      </c>
      <c r="P100" s="450"/>
    </row>
    <row r="101" spans="1:16" ht="12.75">
      <c r="A101" s="44"/>
      <c r="J101" s="42" t="s">
        <v>193</v>
      </c>
      <c r="K101" s="17"/>
      <c r="L101" s="448">
        <f>SUMIF(J80:K95,'Dropdowns DL'!B5,L80:M95)</f>
        <v>0</v>
      </c>
      <c r="M101" s="449"/>
      <c r="N101" s="183"/>
      <c r="O101" s="448">
        <f>SUMIF(J80:K95,'Dropdowns DL'!B5,O80:P95)</f>
        <v>0</v>
      </c>
      <c r="P101" s="450"/>
    </row>
    <row r="102" spans="1:16" ht="12.75" hidden="1">
      <c r="A102" s="44"/>
      <c r="J102" s="42" t="s">
        <v>194</v>
      </c>
      <c r="K102" s="17"/>
      <c r="L102" s="448">
        <f>SUMIF(J80:K95,'Dropdowns Bau'!B5,L80:M95)</f>
        <v>0</v>
      </c>
      <c r="M102" s="449"/>
      <c r="N102" s="183"/>
      <c r="O102" s="448">
        <f>SUMIF(J80:K95,'Dropdowns Bau'!B5,O80:P95)</f>
        <v>0</v>
      </c>
      <c r="P102" s="450"/>
    </row>
    <row r="103" spans="1:16" ht="6" customHeight="1">
      <c r="A103" s="81"/>
      <c r="B103" s="87"/>
      <c r="C103" s="87"/>
      <c r="D103" s="87"/>
      <c r="E103" s="87"/>
      <c r="F103" s="87"/>
      <c r="G103" s="87"/>
      <c r="H103" s="87"/>
      <c r="I103" s="87"/>
      <c r="J103" s="87"/>
      <c r="K103" s="82"/>
      <c r="L103" s="455"/>
      <c r="M103" s="456"/>
      <c r="N103" s="188"/>
      <c r="O103" s="457"/>
      <c r="P103" s="457"/>
    </row>
    <row r="104" spans="1:16" ht="6" customHeight="1"/>
    <row r="106" spans="1:16" ht="15">
      <c r="A106" s="167" t="s">
        <v>183</v>
      </c>
      <c r="B106" s="156"/>
      <c r="C106" s="156"/>
      <c r="D106" s="156"/>
      <c r="E106" s="156"/>
      <c r="F106" s="156"/>
      <c r="G106" s="156"/>
      <c r="H106" s="157"/>
      <c r="I106" s="458" t="s">
        <v>210</v>
      </c>
      <c r="J106" s="458"/>
      <c r="K106" s="458"/>
      <c r="L106" s="458"/>
      <c r="M106" s="458"/>
      <c r="N106" s="458"/>
      <c r="O106" s="458"/>
      <c r="P106" s="45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59" t="s">
        <v>208</v>
      </c>
      <c r="E108" s="460"/>
      <c r="F108" s="461" t="s">
        <v>209</v>
      </c>
      <c r="G108" s="462"/>
      <c r="H108" s="23"/>
      <c r="I108" s="463" t="s">
        <v>253</v>
      </c>
      <c r="J108" s="464"/>
      <c r="K108" s="469" t="s">
        <v>277</v>
      </c>
      <c r="L108" s="470"/>
      <c r="M108" s="470"/>
      <c r="N108" s="470"/>
      <c r="O108" s="470"/>
      <c r="P108" s="471"/>
    </row>
    <row r="109" spans="1:16" ht="12.75">
      <c r="A109" s="369" t="s">
        <v>215</v>
      </c>
      <c r="B109" s="370"/>
      <c r="C109" s="478"/>
      <c r="D109" s="496">
        <f>L73</f>
        <v>3509517.75</v>
      </c>
      <c r="E109" s="497"/>
      <c r="F109" s="498">
        <f>O73</f>
        <v>3779750.6</v>
      </c>
      <c r="G109" s="499"/>
      <c r="H109" s="91"/>
      <c r="I109" s="465"/>
      <c r="J109" s="466"/>
      <c r="K109" s="472"/>
      <c r="L109" s="473"/>
      <c r="M109" s="473"/>
      <c r="N109" s="473"/>
      <c r="O109" s="473"/>
      <c r="P109" s="474"/>
    </row>
    <row r="110" spans="1:16" ht="12.75">
      <c r="A110" s="500" t="s">
        <v>181</v>
      </c>
      <c r="B110" s="501"/>
      <c r="C110" s="502"/>
      <c r="D110" s="503">
        <f>L96</f>
        <v>53622.25</v>
      </c>
      <c r="E110" s="504"/>
      <c r="F110" s="505">
        <f>O96</f>
        <v>57751.153250000003</v>
      </c>
      <c r="G110" s="506"/>
      <c r="H110" s="91"/>
      <c r="I110" s="465"/>
      <c r="J110" s="466"/>
      <c r="K110" s="472"/>
      <c r="L110" s="473"/>
      <c r="M110" s="473"/>
      <c r="N110" s="473"/>
      <c r="O110" s="473"/>
      <c r="P110" s="474"/>
    </row>
    <row r="111" spans="1:16" ht="12" customHeight="1">
      <c r="A111" s="369" t="s">
        <v>178</v>
      </c>
      <c r="B111" s="370"/>
      <c r="C111" s="478"/>
      <c r="D111" s="482">
        <f>D109-D110</f>
        <v>3455895.5</v>
      </c>
      <c r="E111" s="483"/>
      <c r="F111" s="486">
        <f>F109-F110</f>
        <v>3721999.4467500001</v>
      </c>
      <c r="G111" s="487"/>
      <c r="H111" s="92"/>
      <c r="I111" s="465"/>
      <c r="J111" s="466"/>
      <c r="K111" s="472"/>
      <c r="L111" s="473"/>
      <c r="M111" s="473"/>
      <c r="N111" s="473"/>
      <c r="O111" s="473"/>
      <c r="P111" s="474"/>
    </row>
    <row r="112" spans="1:16" ht="12" customHeight="1">
      <c r="A112" s="479"/>
      <c r="B112" s="480"/>
      <c r="C112" s="481"/>
      <c r="D112" s="484"/>
      <c r="E112" s="485"/>
      <c r="F112" s="488"/>
      <c r="G112" s="489"/>
      <c r="H112" s="92"/>
      <c r="I112" s="465"/>
      <c r="J112" s="466"/>
      <c r="K112" s="472"/>
      <c r="L112" s="473"/>
      <c r="M112" s="473"/>
      <c r="N112" s="473"/>
      <c r="O112" s="473"/>
      <c r="P112" s="474"/>
    </row>
    <row r="113" spans="1:16" ht="12.75">
      <c r="A113" s="490" t="s">
        <v>177</v>
      </c>
      <c r="B113" s="491"/>
      <c r="C113" s="492"/>
      <c r="D113" s="493">
        <f>IF(D110&lt;&gt;0,D110/D109,0)</f>
        <v>1.5279093544974948E-2</v>
      </c>
      <c r="E113" s="494"/>
      <c r="F113" s="493">
        <f>IF(D110&lt;&gt;0,F110/F109,0)</f>
        <v>1.5279090967007188E-2</v>
      </c>
      <c r="G113" s="495"/>
      <c r="H113" s="93"/>
      <c r="I113" s="467"/>
      <c r="J113" s="468"/>
      <c r="K113" s="475"/>
      <c r="L113" s="476"/>
      <c r="M113" s="476"/>
      <c r="N113" s="476"/>
      <c r="O113" s="476"/>
      <c r="P113" s="477"/>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3:K93"/>
    <mergeCell ref="L93:M93"/>
    <mergeCell ref="O93:P93"/>
    <mergeCell ref="J94:K94"/>
    <mergeCell ref="L94:M94"/>
    <mergeCell ref="O94:P94"/>
    <mergeCell ref="J91:K91"/>
    <mergeCell ref="L91:M91"/>
    <mergeCell ref="O91:P91"/>
    <mergeCell ref="J92:K92"/>
    <mergeCell ref="L92:M92"/>
    <mergeCell ref="O92:P92"/>
    <mergeCell ref="J89:K89"/>
    <mergeCell ref="L89:M89"/>
    <mergeCell ref="O89:P89"/>
    <mergeCell ref="J90:K90"/>
    <mergeCell ref="L90:M90"/>
    <mergeCell ref="O90:P90"/>
    <mergeCell ref="J87:K87"/>
    <mergeCell ref="L87:M87"/>
    <mergeCell ref="O87:P87"/>
    <mergeCell ref="J88:K88"/>
    <mergeCell ref="L88:M88"/>
    <mergeCell ref="O88:P88"/>
    <mergeCell ref="J85:K85"/>
    <mergeCell ref="L85:M85"/>
    <mergeCell ref="O85:P85"/>
    <mergeCell ref="J86:K86"/>
    <mergeCell ref="L86:M86"/>
    <mergeCell ref="O86:P86"/>
    <mergeCell ref="J83:K83"/>
    <mergeCell ref="L83:M83"/>
    <mergeCell ref="O83:P83"/>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6"/>
      <c r="I1" s="336"/>
      <c r="J1" s="149"/>
      <c r="K1" s="189"/>
      <c r="L1" s="166" t="s">
        <v>154</v>
      </c>
      <c r="M1" s="190"/>
      <c r="N1" s="105"/>
      <c r="O1" s="148"/>
      <c r="P1" s="150"/>
    </row>
    <row r="2" spans="1:16" s="14" customFormat="1" ht="12.75">
      <c r="A2" s="16" t="s">
        <v>12</v>
      </c>
      <c r="C2" s="348" t="str">
        <f>'RDB Dienstleistungen'!C2:E2</f>
        <v>EP RHE FRI</v>
      </c>
      <c r="D2" s="348"/>
      <c r="E2" s="349"/>
      <c r="F2" s="16" t="s">
        <v>327</v>
      </c>
      <c r="H2" s="329"/>
      <c r="I2" s="329"/>
      <c r="J2" s="67" t="s">
        <v>195</v>
      </c>
      <c r="K2" s="193"/>
      <c r="L2" s="16" t="s">
        <v>13</v>
      </c>
      <c r="N2" s="159"/>
      <c r="P2" s="18"/>
    </row>
    <row r="3" spans="1:16" s="14" customFormat="1" ht="12.75">
      <c r="A3" s="16" t="s">
        <v>158</v>
      </c>
      <c r="C3" s="330" t="str">
        <f>'RDB Dienstleistungen'!C3:E3</f>
        <v>N3 EP Rheinfelden - Frick und Einzelmassnahmen</v>
      </c>
      <c r="D3" s="330"/>
      <c r="E3" s="331"/>
      <c r="F3" s="16" t="s">
        <v>159</v>
      </c>
      <c r="H3" s="332"/>
      <c r="I3" s="332"/>
      <c r="J3" s="332"/>
      <c r="K3" s="333"/>
      <c r="L3" s="16" t="s">
        <v>166</v>
      </c>
      <c r="N3" s="194"/>
      <c r="O3" s="194"/>
      <c r="P3" s="94"/>
    </row>
    <row r="4" spans="1:16" s="14" customFormat="1" ht="12.75">
      <c r="A4" s="16" t="s">
        <v>184</v>
      </c>
      <c r="C4" s="330" t="str">
        <f>'RDB Dienstleistungen'!C4:E4</f>
        <v>FUP.2</v>
      </c>
      <c r="D4" s="330"/>
      <c r="E4" s="331"/>
      <c r="F4" s="20" t="s">
        <v>165</v>
      </c>
      <c r="H4" s="332" t="str">
        <f>'RDB Dienstleistungen'!H4:J4</f>
        <v>Beat Schädler</v>
      </c>
      <c r="I4" s="332"/>
      <c r="J4" s="332"/>
      <c r="K4" s="17"/>
      <c r="L4" s="16" t="s">
        <v>175</v>
      </c>
      <c r="N4" s="159"/>
      <c r="O4" s="19" t="s">
        <v>5</v>
      </c>
      <c r="P4" s="161"/>
    </row>
    <row r="5" spans="1:16" s="14" customFormat="1" ht="12.75">
      <c r="A5" s="25"/>
      <c r="C5" s="191"/>
      <c r="D5" s="169"/>
      <c r="E5" s="169"/>
      <c r="F5" s="25"/>
      <c r="G5" s="15" t="s">
        <v>169</v>
      </c>
      <c r="H5" s="332" t="str">
        <f>'RDB Dienstleistungen'!H5:J5</f>
        <v>061 365 22 22</v>
      </c>
      <c r="I5" s="332"/>
      <c r="J5" s="332"/>
      <c r="K5" s="17"/>
      <c r="L5" s="20" t="s">
        <v>25</v>
      </c>
      <c r="N5" s="160"/>
      <c r="O5" s="80" t="s">
        <v>179</v>
      </c>
      <c r="P5" s="162"/>
    </row>
    <row r="6" spans="1:16" s="14" customFormat="1" ht="12.75">
      <c r="A6" s="16" t="s">
        <v>7</v>
      </c>
      <c r="C6" s="332" t="str">
        <f>'RDB Dienstleistungen'!C6:E6</f>
        <v>Nicole Schulz</v>
      </c>
      <c r="D6" s="332"/>
      <c r="E6" s="333"/>
      <c r="F6" s="25"/>
      <c r="G6" s="15" t="s">
        <v>161</v>
      </c>
      <c r="H6" s="335" t="str">
        <f>'RDB Dienstleistungen'!H6:J6</f>
        <v>b.schaedler@aebo.ch</v>
      </c>
      <c r="I6" s="335"/>
      <c r="J6" s="335"/>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4" t="s">
        <v>142</v>
      </c>
      <c r="D8" s="364"/>
      <c r="E8" s="365"/>
      <c r="F8" s="21" t="s">
        <v>162</v>
      </c>
      <c r="G8" s="29"/>
      <c r="H8" s="343" t="str">
        <f>'RDB Dienstleistungen'!H8:K8</f>
        <v>INGE EP RF BB, c/o Aegerter &amp; Bosshardt AG</v>
      </c>
      <c r="I8" s="343"/>
      <c r="J8" s="343"/>
      <c r="K8" s="344"/>
      <c r="L8" s="31" t="s">
        <v>188</v>
      </c>
      <c r="M8" s="32"/>
      <c r="N8" s="32"/>
      <c r="O8" s="32"/>
      <c r="P8" s="30"/>
    </row>
    <row r="9" spans="1:16" s="14" customFormat="1" ht="12.75">
      <c r="A9" s="25"/>
      <c r="C9" s="366"/>
      <c r="D9" s="366"/>
      <c r="E9" s="367"/>
      <c r="F9" s="25"/>
      <c r="H9" s="332" t="str">
        <f>'RDB Dienstleistungen'!H9:K9</f>
        <v>Hochstrasse 48</v>
      </c>
      <c r="I9" s="332"/>
      <c r="J9" s="332"/>
      <c r="K9" s="333"/>
      <c r="L9" s="159"/>
      <c r="M9" s="159"/>
      <c r="N9" s="66"/>
      <c r="O9" s="66"/>
      <c r="P9" s="99"/>
    </row>
    <row r="10" spans="1:16" s="14" customFormat="1" ht="12.75">
      <c r="A10" s="25"/>
      <c r="C10" s="366"/>
      <c r="D10" s="366"/>
      <c r="E10" s="367"/>
      <c r="F10" s="25"/>
      <c r="H10" s="332" t="str">
        <f>'RDB Dienstleistungen'!H10:K10</f>
        <v>4002 Basel</v>
      </c>
      <c r="I10" s="332"/>
      <c r="J10" s="332"/>
      <c r="K10" s="333"/>
      <c r="L10" s="159"/>
      <c r="M10" s="159"/>
      <c r="N10" s="66"/>
      <c r="O10" s="66"/>
      <c r="P10" s="99"/>
    </row>
    <row r="11" spans="1:16" s="14" customFormat="1" ht="12.75" customHeight="1">
      <c r="A11" s="25"/>
      <c r="C11" s="366"/>
      <c r="D11" s="366"/>
      <c r="E11" s="367"/>
      <c r="F11" s="25"/>
      <c r="H11" s="332">
        <f>'RDB Dienstleistungen'!H11:K11</f>
        <v>0</v>
      </c>
      <c r="I11" s="332"/>
      <c r="J11" s="332"/>
      <c r="K11" s="333"/>
      <c r="L11" s="159"/>
      <c r="M11" s="159"/>
      <c r="N11" s="66"/>
      <c r="O11" s="66"/>
      <c r="P11" s="99"/>
    </row>
    <row r="12" spans="1:16" s="14" customFormat="1" ht="12.75">
      <c r="A12" s="25"/>
      <c r="C12" s="366"/>
      <c r="D12" s="366"/>
      <c r="E12" s="367"/>
      <c r="F12" s="25"/>
      <c r="H12" s="345"/>
      <c r="I12" s="345"/>
      <c r="J12" s="345"/>
      <c r="K12" s="18"/>
      <c r="L12" s="159"/>
      <c r="M12" s="159"/>
      <c r="N12" s="66"/>
      <c r="O12" s="164"/>
      <c r="P12" s="99"/>
    </row>
    <row r="13" spans="1:16" s="14" customFormat="1" ht="12.75">
      <c r="A13" s="25"/>
      <c r="C13" s="366"/>
      <c r="D13" s="366"/>
      <c r="E13" s="367"/>
      <c r="F13" s="16" t="s">
        <v>206</v>
      </c>
      <c r="H13" s="332" t="str">
        <f>'RDB Dienstleistungen'!H13:J13</f>
        <v>CHE-164.869.840 MWST</v>
      </c>
      <c r="I13" s="332"/>
      <c r="J13" s="332"/>
      <c r="K13" s="18"/>
      <c r="L13" s="159"/>
      <c r="M13" s="159"/>
      <c r="N13" s="66"/>
      <c r="O13" s="66"/>
      <c r="P13" s="99"/>
    </row>
    <row r="14" spans="1:16" s="14" customFormat="1" ht="12.75" hidden="1">
      <c r="A14" s="25"/>
      <c r="C14" s="366"/>
      <c r="D14" s="366"/>
      <c r="E14" s="367"/>
      <c r="F14" s="16"/>
      <c r="H14" s="375"/>
      <c r="I14" s="375"/>
      <c r="J14" s="375"/>
      <c r="K14" s="18"/>
      <c r="L14" s="98"/>
      <c r="M14" s="66"/>
      <c r="N14" s="66"/>
      <c r="O14" s="66"/>
      <c r="P14" s="99"/>
    </row>
    <row r="15" spans="1:16" s="14" customFormat="1" ht="12.75" hidden="1">
      <c r="A15" s="25"/>
      <c r="F15" s="16"/>
      <c r="G15" s="24"/>
      <c r="H15" s="375"/>
      <c r="I15" s="375"/>
      <c r="J15" s="375"/>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8" t="s">
        <v>275</v>
      </c>
      <c r="B19" s="368"/>
      <c r="C19" s="368"/>
      <c r="D19" s="368"/>
      <c r="E19" s="368"/>
      <c r="F19" s="368"/>
      <c r="G19" s="368"/>
      <c r="H19" s="368"/>
      <c r="I19" s="368"/>
      <c r="J19" s="368"/>
      <c r="K19" s="368"/>
      <c r="L19" s="368"/>
      <c r="M19" s="368"/>
      <c r="N19" s="368"/>
      <c r="O19" s="368"/>
      <c r="P19" s="368"/>
      <c r="Q19" s="15"/>
      <c r="R19" s="15"/>
    </row>
    <row r="20" spans="1:18" s="35" customFormat="1">
      <c r="Q20" s="15"/>
      <c r="R20" s="15"/>
    </row>
    <row r="21" spans="1:18" s="37" customFormat="1" ht="12.75" thickBot="1">
      <c r="A21" s="350" t="s">
        <v>150</v>
      </c>
      <c r="B21" s="351"/>
      <c r="C21" s="351"/>
      <c r="D21" s="351"/>
      <c r="E21" s="351"/>
      <c r="F21" s="352"/>
      <c r="G21" s="353" t="s">
        <v>276</v>
      </c>
      <c r="H21" s="354"/>
      <c r="I21" s="354"/>
      <c r="J21" s="354"/>
      <c r="K21" s="354"/>
      <c r="L21" s="354"/>
      <c r="M21" s="354"/>
      <c r="N21" s="354"/>
      <c r="O21" s="354"/>
      <c r="P21" s="355"/>
      <c r="Q21" s="15"/>
      <c r="R21" s="15"/>
    </row>
    <row r="22" spans="1:18" s="74" customFormat="1" ht="24">
      <c r="A22" s="356" t="s">
        <v>167</v>
      </c>
      <c r="B22" s="35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8"/>
      <c r="B23" s="359"/>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0"/>
      <c r="B24" s="361"/>
      <c r="C24" s="215"/>
      <c r="D24" s="216"/>
      <c r="E24" s="218"/>
      <c r="F24" s="204"/>
      <c r="G24" s="205"/>
      <c r="H24" s="206"/>
      <c r="I24" s="207"/>
      <c r="J24" s="208"/>
      <c r="K24" s="206"/>
      <c r="L24" s="207"/>
      <c r="M24" s="209"/>
      <c r="N24" s="210"/>
      <c r="O24" s="211"/>
      <c r="P24" s="212"/>
      <c r="Q24" s="75"/>
      <c r="R24" s="75"/>
    </row>
    <row r="25" spans="1:18" s="77" customFormat="1" ht="12.75">
      <c r="A25" s="362" t="str">
        <f>'RDB Dienstleistungen'!A25:B25</f>
        <v>FUP.2</v>
      </c>
      <c r="B25" s="363"/>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2">
        <f>'RDB Dienstleistungen'!A26:B26</f>
        <v>0</v>
      </c>
      <c r="B26" s="363"/>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2">
        <f>'RDB Dienstleistungen'!A27:B27</f>
        <v>0</v>
      </c>
      <c r="B27" s="363"/>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2">
        <f>'RDB Dienstleistungen'!A28:B28</f>
        <v>0</v>
      </c>
      <c r="B28" s="363"/>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2">
        <f>'RDB Dienstleistungen'!A29:B29</f>
        <v>0</v>
      </c>
      <c r="B29" s="363"/>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8"/>
      <c r="B30" s="37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0" t="s">
        <v>334</v>
      </c>
      <c r="C36" s="381"/>
      <c r="D36" s="381"/>
      <c r="E36" s="381"/>
      <c r="F36" s="381"/>
      <c r="G36" s="381"/>
      <c r="H36" s="381"/>
      <c r="I36" s="381"/>
      <c r="J36" s="381"/>
      <c r="K36" s="381"/>
      <c r="L36" s="381"/>
      <c r="M36" s="381"/>
      <c r="N36" s="381"/>
      <c r="O36" s="381"/>
      <c r="P36" s="381"/>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8" t="s">
        <v>250</v>
      </c>
      <c r="D2" s="348"/>
      <c r="E2" s="349"/>
      <c r="F2" s="16" t="s">
        <v>327</v>
      </c>
      <c r="H2" s="329">
        <v>43101</v>
      </c>
      <c r="I2" s="329"/>
      <c r="J2" s="67" t="s">
        <v>195</v>
      </c>
      <c r="K2" s="193">
        <v>43830</v>
      </c>
      <c r="L2" s="16" t="s">
        <v>13</v>
      </c>
      <c r="N2" s="159">
        <v>43196</v>
      </c>
      <c r="P2" s="18"/>
    </row>
    <row r="3" spans="1:16" s="14" customFormat="1" ht="15.75">
      <c r="A3" s="16" t="s">
        <v>158</v>
      </c>
      <c r="C3" s="515" t="s">
        <v>218</v>
      </c>
      <c r="D3" s="515"/>
      <c r="E3" s="516"/>
      <c r="F3" s="16" t="s">
        <v>159</v>
      </c>
      <c r="H3" s="332" t="s">
        <v>219</v>
      </c>
      <c r="I3" s="332"/>
      <c r="J3" s="332"/>
      <c r="K3" s="17"/>
      <c r="L3" s="16" t="s">
        <v>166</v>
      </c>
      <c r="N3" s="194" t="s">
        <v>255</v>
      </c>
      <c r="O3" s="194"/>
      <c r="P3" s="94"/>
    </row>
    <row r="4" spans="1:16" s="14" customFormat="1" ht="12.75">
      <c r="A4" s="16" t="s">
        <v>184</v>
      </c>
      <c r="C4" s="330" t="s">
        <v>251</v>
      </c>
      <c r="D4" s="330"/>
      <c r="E4" s="331"/>
      <c r="F4" s="20" t="s">
        <v>165</v>
      </c>
      <c r="H4" s="332" t="s">
        <v>220</v>
      </c>
      <c r="I4" s="332"/>
      <c r="J4" s="332"/>
      <c r="K4" s="17"/>
      <c r="L4" s="16" t="s">
        <v>175</v>
      </c>
      <c r="N4" s="159">
        <v>43132</v>
      </c>
      <c r="O4" s="19" t="s">
        <v>5</v>
      </c>
      <c r="P4" s="161">
        <v>43190</v>
      </c>
    </row>
    <row r="5" spans="1:16" s="14" customFormat="1" ht="12.75">
      <c r="A5" s="25"/>
      <c r="C5" s="191"/>
      <c r="D5" s="169"/>
      <c r="E5" s="169"/>
      <c r="F5" s="25"/>
      <c r="G5" s="15" t="s">
        <v>169</v>
      </c>
      <c r="H5" s="332" t="s">
        <v>221</v>
      </c>
      <c r="I5" s="332"/>
      <c r="J5" s="332"/>
      <c r="K5" s="17"/>
      <c r="L5" s="20" t="s">
        <v>25</v>
      </c>
      <c r="N5" s="160" t="s">
        <v>27</v>
      </c>
      <c r="O5" s="80" t="s">
        <v>179</v>
      </c>
      <c r="P5" s="162" t="s">
        <v>259</v>
      </c>
    </row>
    <row r="6" spans="1:16" s="14" customFormat="1" ht="12.75">
      <c r="A6" s="16" t="s">
        <v>7</v>
      </c>
      <c r="C6" s="332" t="s">
        <v>221</v>
      </c>
      <c r="D6" s="332"/>
      <c r="E6" s="333"/>
      <c r="F6" s="25"/>
      <c r="G6" s="15" t="s">
        <v>161</v>
      </c>
      <c r="H6" s="335" t="s">
        <v>222</v>
      </c>
      <c r="I6" s="335"/>
      <c r="J6" s="335"/>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4" t="s">
        <v>142</v>
      </c>
      <c r="D8" s="364"/>
      <c r="E8" s="365"/>
      <c r="F8" s="21" t="s">
        <v>162</v>
      </c>
      <c r="G8" s="29"/>
      <c r="H8" s="343" t="s">
        <v>274</v>
      </c>
      <c r="I8" s="343"/>
      <c r="J8" s="343"/>
      <c r="K8" s="30"/>
      <c r="L8" s="31" t="s">
        <v>188</v>
      </c>
      <c r="M8" s="32"/>
      <c r="N8" s="32"/>
      <c r="O8" s="32"/>
      <c r="P8" s="30"/>
    </row>
    <row r="9" spans="1:16" s="14" customFormat="1" ht="12.75">
      <c r="A9" s="25"/>
      <c r="C9" s="366"/>
      <c r="D9" s="366"/>
      <c r="E9" s="367"/>
      <c r="F9" s="25"/>
      <c r="H9" s="332" t="s">
        <v>223</v>
      </c>
      <c r="I9" s="332"/>
      <c r="J9" s="332"/>
      <c r="K9" s="18"/>
      <c r="L9" s="316"/>
      <c r="M9" s="317"/>
      <c r="N9" s="66"/>
      <c r="O9" s="66"/>
      <c r="P9" s="99"/>
    </row>
    <row r="10" spans="1:16" s="14" customFormat="1" ht="12.75">
      <c r="A10" s="25"/>
      <c r="C10" s="366"/>
      <c r="D10" s="366"/>
      <c r="E10" s="367"/>
      <c r="F10" s="25"/>
      <c r="H10" s="332" t="s">
        <v>224</v>
      </c>
      <c r="I10" s="332"/>
      <c r="J10" s="332"/>
      <c r="K10" s="18"/>
      <c r="L10" s="318"/>
      <c r="M10" s="317"/>
      <c r="N10" s="66"/>
      <c r="O10" s="66"/>
      <c r="P10" s="99"/>
    </row>
    <row r="11" spans="1:16" s="14" customFormat="1" ht="12.75">
      <c r="A11" s="25"/>
      <c r="C11" s="366"/>
      <c r="D11" s="366"/>
      <c r="E11" s="367"/>
      <c r="F11" s="25"/>
      <c r="H11" s="332" t="s">
        <v>225</v>
      </c>
      <c r="I11" s="332"/>
      <c r="J11" s="332"/>
      <c r="K11" s="18"/>
      <c r="L11" s="316"/>
      <c r="M11" s="319">
        <v>43200</v>
      </c>
      <c r="N11" s="66"/>
      <c r="O11" s="164">
        <v>43208</v>
      </c>
      <c r="P11" s="99"/>
    </row>
    <row r="12" spans="1:16" s="14" customFormat="1" ht="12.75">
      <c r="A12" s="25"/>
      <c r="C12" s="366"/>
      <c r="D12" s="366"/>
      <c r="E12" s="367"/>
      <c r="F12" s="25"/>
      <c r="H12" s="169"/>
      <c r="I12" s="169"/>
      <c r="J12" s="169"/>
      <c r="K12" s="18"/>
      <c r="L12" s="316"/>
      <c r="M12" s="319"/>
      <c r="N12" s="66"/>
      <c r="O12" s="164"/>
      <c r="P12" s="99"/>
    </row>
    <row r="13" spans="1:16" s="14" customFormat="1" ht="12.75">
      <c r="A13" s="25"/>
      <c r="C13" s="366"/>
      <c r="D13" s="366"/>
      <c r="E13" s="367"/>
      <c r="F13" s="16" t="s">
        <v>206</v>
      </c>
      <c r="H13" s="332" t="s">
        <v>261</v>
      </c>
      <c r="I13" s="332"/>
      <c r="J13" s="332"/>
      <c r="K13" s="18"/>
      <c r="L13" s="316"/>
      <c r="M13" s="317"/>
      <c r="N13" s="66"/>
      <c r="O13" s="66"/>
      <c r="P13" s="99"/>
    </row>
    <row r="14" spans="1:16" s="14" customFormat="1" ht="12.75" hidden="1">
      <c r="A14" s="25"/>
      <c r="C14" s="366"/>
      <c r="D14" s="366"/>
      <c r="E14" s="367"/>
      <c r="F14" s="16"/>
      <c r="H14" s="375"/>
      <c r="I14" s="375"/>
      <c r="J14" s="375"/>
      <c r="K14" s="18"/>
      <c r="L14" s="98"/>
      <c r="M14" s="66"/>
      <c r="N14" s="66"/>
      <c r="O14" s="66"/>
      <c r="P14" s="99"/>
    </row>
    <row r="15" spans="1:16" s="14" customFormat="1" ht="12.75" hidden="1">
      <c r="A15" s="25"/>
      <c r="F15" s="16"/>
      <c r="G15" s="24"/>
      <c r="H15" s="375"/>
      <c r="I15" s="375"/>
      <c r="J15" s="375"/>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8" t="s">
        <v>275</v>
      </c>
      <c r="B19" s="368"/>
      <c r="C19" s="368"/>
      <c r="D19" s="368"/>
      <c r="E19" s="368"/>
      <c r="F19" s="368"/>
      <c r="G19" s="368"/>
      <c r="H19" s="368"/>
      <c r="I19" s="368"/>
      <c r="J19" s="368"/>
      <c r="K19" s="368"/>
      <c r="L19" s="368"/>
      <c r="M19" s="368"/>
      <c r="N19" s="368"/>
      <c r="O19" s="368"/>
      <c r="P19" s="368"/>
      <c r="Q19" s="15"/>
      <c r="R19" s="15"/>
    </row>
    <row r="20" spans="1:18" s="35" customFormat="1">
      <c r="Q20" s="15"/>
      <c r="R20" s="15"/>
    </row>
    <row r="21" spans="1:18" s="37" customFormat="1" ht="12.75" thickBot="1">
      <c r="A21" s="350" t="s">
        <v>150</v>
      </c>
      <c r="B21" s="351"/>
      <c r="C21" s="351"/>
      <c r="D21" s="351"/>
      <c r="E21" s="351"/>
      <c r="F21" s="352"/>
      <c r="G21" s="353" t="s">
        <v>276</v>
      </c>
      <c r="H21" s="354"/>
      <c r="I21" s="354"/>
      <c r="J21" s="354"/>
      <c r="K21" s="354"/>
      <c r="L21" s="354"/>
      <c r="M21" s="354"/>
      <c r="N21" s="354"/>
      <c r="O21" s="354"/>
      <c r="P21" s="355"/>
      <c r="Q21" s="15"/>
      <c r="R21" s="15"/>
    </row>
    <row r="22" spans="1:18" s="74" customFormat="1" ht="24">
      <c r="A22" s="356" t="s">
        <v>167</v>
      </c>
      <c r="B22" s="357"/>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8"/>
      <c r="B23" s="359"/>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0"/>
      <c r="B24" s="361"/>
      <c r="C24" s="215"/>
      <c r="D24" s="216"/>
      <c r="E24" s="218"/>
      <c r="F24" s="204"/>
      <c r="G24" s="205"/>
      <c r="H24" s="206"/>
      <c r="I24" s="207"/>
      <c r="J24" s="208"/>
      <c r="K24" s="206"/>
      <c r="L24" s="207"/>
      <c r="M24" s="209"/>
      <c r="N24" s="210"/>
      <c r="O24" s="211"/>
      <c r="P24" s="212"/>
      <c r="Q24" s="75"/>
      <c r="R24" s="75"/>
    </row>
    <row r="25" spans="1:18" s="77" customFormat="1" ht="12.75">
      <c r="A25" s="510" t="s">
        <v>264</v>
      </c>
      <c r="B25" s="511"/>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0" t="s">
        <v>264</v>
      </c>
      <c r="B26" s="511"/>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0" t="s">
        <v>265</v>
      </c>
      <c r="B27" s="511"/>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0" t="s">
        <v>266</v>
      </c>
      <c r="B28" s="511"/>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0" t="s">
        <v>267</v>
      </c>
      <c r="B29" s="511"/>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8"/>
      <c r="B30" s="37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4" t="s">
        <v>216</v>
      </c>
      <c r="C36" s="514"/>
      <c r="D36" s="514"/>
      <c r="E36" s="514"/>
      <c r="F36" s="514"/>
      <c r="G36" s="514"/>
      <c r="H36" s="514"/>
      <c r="I36" s="514"/>
      <c r="J36" s="514"/>
      <c r="K36" s="514"/>
      <c r="L36" s="514"/>
      <c r="M36" s="514"/>
      <c r="N36" s="514"/>
      <c r="O36" s="514"/>
      <c r="P36" s="514"/>
    </row>
    <row r="37" spans="1:18" s="23" customFormat="1">
      <c r="B37" s="57"/>
      <c r="C37" s="57"/>
      <c r="D37" s="57"/>
      <c r="E37" s="57"/>
      <c r="F37" s="57"/>
      <c r="G37" s="57"/>
      <c r="H37" s="57"/>
      <c r="I37" s="57"/>
      <c r="J37" s="57"/>
      <c r="K37" s="57"/>
      <c r="L37" s="57"/>
      <c r="M37" s="57"/>
      <c r="N37" s="57"/>
      <c r="O37" s="57"/>
      <c r="P37" s="57"/>
      <c r="Q37" s="57"/>
    </row>
    <row r="38" spans="1:18" ht="15">
      <c r="A38" s="368" t="s">
        <v>170</v>
      </c>
      <c r="B38" s="368"/>
      <c r="C38" s="368"/>
      <c r="D38" s="368"/>
      <c r="E38" s="368"/>
      <c r="F38" s="368"/>
      <c r="G38" s="368"/>
      <c r="H38" s="368"/>
      <c r="I38" s="368"/>
      <c r="J38" s="368"/>
      <c r="K38" s="368"/>
      <c r="L38" s="368"/>
      <c r="M38" s="368"/>
      <c r="N38" s="368"/>
      <c r="O38" s="368"/>
      <c r="P38" s="368"/>
      <c r="Q38" s="57"/>
    </row>
    <row r="40" spans="1:18" s="43" customFormat="1" ht="15.75">
      <c r="A40" s="43" t="s">
        <v>236</v>
      </c>
      <c r="E40" s="382">
        <f>P33</f>
        <v>2319638.4593336</v>
      </c>
      <c r="F40" s="382"/>
      <c r="J40" s="383"/>
      <c r="K40" s="38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2" t="s">
        <v>226</v>
      </c>
      <c r="B43" s="343"/>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3" t="s">
        <v>227</v>
      </c>
      <c r="B44" s="332"/>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8" t="s">
        <v>211</v>
      </c>
      <c r="B64" s="368"/>
      <c r="C64" s="368"/>
      <c r="D64" s="368"/>
      <c r="E64" s="368"/>
      <c r="F64" s="368"/>
      <c r="G64" s="368"/>
      <c r="H64" s="368"/>
      <c r="I64" s="368"/>
      <c r="J64" s="368"/>
      <c r="K64" s="368"/>
      <c r="L64" s="368"/>
      <c r="M64" s="368"/>
      <c r="N64" s="368"/>
      <c r="O64" s="368"/>
      <c r="P64" s="368"/>
    </row>
    <row r="66" spans="1:16" s="42" customFormat="1" ht="12.75" customHeight="1">
      <c r="A66" s="369" t="s">
        <v>213</v>
      </c>
      <c r="B66" s="370"/>
      <c r="C66" s="370"/>
      <c r="D66" s="371" t="s">
        <v>212</v>
      </c>
      <c r="E66" s="372"/>
      <c r="F66" s="373" t="s">
        <v>155</v>
      </c>
      <c r="G66" s="373"/>
      <c r="H66" s="373" t="s">
        <v>241</v>
      </c>
      <c r="I66" s="373"/>
      <c r="J66" s="373" t="s">
        <v>242</v>
      </c>
      <c r="K66" s="376"/>
      <c r="L66" s="377" t="s">
        <v>146</v>
      </c>
      <c r="M66" s="377"/>
      <c r="N66" s="377"/>
      <c r="O66" s="377"/>
      <c r="P66" s="377"/>
    </row>
    <row r="67" spans="1:16">
      <c r="A67" s="394"/>
      <c r="B67" s="395"/>
      <c r="C67" s="395"/>
      <c r="D67" s="396"/>
      <c r="E67" s="397"/>
      <c r="F67" s="398"/>
      <c r="G67" s="398"/>
      <c r="H67" s="398"/>
      <c r="I67" s="398"/>
      <c r="J67" s="398"/>
      <c r="K67" s="399"/>
      <c r="L67" s="400" t="s">
        <v>208</v>
      </c>
      <c r="M67" s="401"/>
      <c r="N67" s="83" t="s">
        <v>152</v>
      </c>
      <c r="O67" s="374" t="s">
        <v>209</v>
      </c>
      <c r="P67" s="374"/>
    </row>
    <row r="68" spans="1:16" ht="6" customHeight="1">
      <c r="A68" s="384"/>
      <c r="B68" s="385"/>
      <c r="C68" s="385"/>
      <c r="D68" s="386"/>
      <c r="E68" s="387"/>
      <c r="F68" s="388"/>
      <c r="G68" s="388"/>
      <c r="H68" s="389"/>
      <c r="I68" s="389"/>
      <c r="J68" s="389"/>
      <c r="K68" s="390"/>
      <c r="L68" s="391"/>
      <c r="M68" s="392"/>
      <c r="N68" s="84"/>
      <c r="O68" s="393"/>
      <c r="P68" s="393"/>
    </row>
    <row r="69" spans="1:16" s="23" customFormat="1" ht="12.75">
      <c r="A69" s="403" t="s">
        <v>207</v>
      </c>
      <c r="B69" s="404"/>
      <c r="C69" s="404"/>
      <c r="D69" s="415">
        <f>H2</f>
        <v>43101</v>
      </c>
      <c r="E69" s="416"/>
      <c r="F69" s="414">
        <f>H1</f>
        <v>23</v>
      </c>
      <c r="G69" s="414"/>
      <c r="H69" s="415" t="s">
        <v>191</v>
      </c>
      <c r="I69" s="416"/>
      <c r="J69" s="417" t="s">
        <v>191</v>
      </c>
      <c r="K69" s="418"/>
      <c r="L69" s="419">
        <v>4950000</v>
      </c>
      <c r="M69" s="420"/>
      <c r="N69" s="181">
        <v>7.6999999999999999E-2</v>
      </c>
      <c r="O69" s="402">
        <f>IF(L69&lt;&gt;"",ROUND((1*L69*(1+N69))*20,0)/20,"")</f>
        <v>5331150</v>
      </c>
      <c r="P69" s="402"/>
    </row>
    <row r="70" spans="1:16" ht="12.75">
      <c r="A70" s="403" t="s">
        <v>239</v>
      </c>
      <c r="B70" s="404"/>
      <c r="C70" s="404"/>
      <c r="D70" s="405" t="s">
        <v>191</v>
      </c>
      <c r="E70" s="406"/>
      <c r="F70" s="407" t="s">
        <v>191</v>
      </c>
      <c r="G70" s="407"/>
      <c r="H70" s="405">
        <v>43133</v>
      </c>
      <c r="I70" s="406"/>
      <c r="J70" s="408">
        <v>1</v>
      </c>
      <c r="K70" s="409"/>
      <c r="L70" s="410">
        <v>400000</v>
      </c>
      <c r="M70" s="411"/>
      <c r="N70" s="182">
        <v>7.6999999999999999E-2</v>
      </c>
      <c r="O70" s="507">
        <f>IF(L70&lt;&gt;"",ROUND((1*L70*(1+N70))*20,0)/20,"")</f>
        <v>430800</v>
      </c>
      <c r="P70" s="507"/>
    </row>
    <row r="71" spans="1:16" ht="12.75">
      <c r="A71" s="403" t="s">
        <v>240</v>
      </c>
      <c r="B71" s="404"/>
      <c r="C71" s="404"/>
      <c r="D71" s="405" t="s">
        <v>191</v>
      </c>
      <c r="E71" s="406"/>
      <c r="F71" s="407" t="s">
        <v>191</v>
      </c>
      <c r="G71" s="407"/>
      <c r="H71" s="405"/>
      <c r="I71" s="406"/>
      <c r="J71" s="408"/>
      <c r="K71" s="409"/>
      <c r="L71" s="410"/>
      <c r="M71" s="411"/>
      <c r="N71" s="182"/>
      <c r="O71" s="507" t="str">
        <f>IF(L71&lt;&gt;"",ROUND((1*L71*(1+N71))*20,0)/20,"")</f>
        <v/>
      </c>
      <c r="P71" s="507"/>
    </row>
    <row r="72" spans="1:16" ht="6" customHeight="1">
      <c r="A72" s="394"/>
      <c r="B72" s="395"/>
      <c r="C72" s="395"/>
      <c r="D72" s="432"/>
      <c r="E72" s="433"/>
      <c r="F72" s="434"/>
      <c r="G72" s="434"/>
      <c r="H72" s="432"/>
      <c r="I72" s="433"/>
      <c r="J72" s="435"/>
      <c r="K72" s="436"/>
      <c r="L72" s="437"/>
      <c r="M72" s="438"/>
      <c r="N72" s="183"/>
      <c r="O72" s="439" t="str">
        <f>IF(L72&lt;&gt;"",ROUND((1*L72*(1+N72))*20,0)/20,"")</f>
        <v/>
      </c>
      <c r="P72" s="439"/>
    </row>
    <row r="73" spans="1:16" s="42" customFormat="1" ht="12.75">
      <c r="A73" s="62" t="s">
        <v>215</v>
      </c>
      <c r="B73" s="63"/>
      <c r="C73" s="63"/>
      <c r="D73" s="184"/>
      <c r="E73" s="184"/>
      <c r="F73" s="184"/>
      <c r="G73" s="184"/>
      <c r="H73" s="184"/>
      <c r="I73" s="184"/>
      <c r="J73" s="184"/>
      <c r="K73" s="184"/>
      <c r="L73" s="421">
        <f>SUM(L69:M72)</f>
        <v>5350000</v>
      </c>
      <c r="M73" s="422"/>
      <c r="N73" s="185"/>
      <c r="O73" s="421">
        <f>SUM(O69:P72)</f>
        <v>5761950</v>
      </c>
      <c r="P73" s="421"/>
    </row>
    <row r="75" spans="1:16" ht="15">
      <c r="A75" s="368" t="s">
        <v>176</v>
      </c>
      <c r="B75" s="368"/>
      <c r="C75" s="368"/>
      <c r="D75" s="368"/>
      <c r="E75" s="368"/>
      <c r="F75" s="368"/>
      <c r="G75" s="368"/>
      <c r="H75" s="368"/>
      <c r="I75" s="368"/>
      <c r="J75" s="368"/>
      <c r="K75" s="368"/>
      <c r="L75" s="368"/>
      <c r="M75" s="368"/>
      <c r="N75" s="368"/>
      <c r="O75" s="368"/>
      <c r="P75" s="368"/>
    </row>
    <row r="77" spans="1:16" ht="12.75" customHeight="1">
      <c r="A77" s="110" t="s">
        <v>166</v>
      </c>
      <c r="B77" s="61"/>
      <c r="C77" s="278" t="s">
        <v>13</v>
      </c>
      <c r="D77" s="61"/>
      <c r="E77" s="109"/>
      <c r="F77" s="314" t="s">
        <v>25</v>
      </c>
      <c r="G77" s="61"/>
      <c r="H77" s="309" t="s">
        <v>325</v>
      </c>
      <c r="I77" s="282"/>
      <c r="J77" s="371" t="s">
        <v>254</v>
      </c>
      <c r="K77" s="423"/>
      <c r="L77" s="424" t="s">
        <v>180</v>
      </c>
      <c r="M77" s="425"/>
      <c r="N77" s="425"/>
      <c r="O77" s="425"/>
      <c r="P77" s="426"/>
    </row>
    <row r="78" spans="1:16" s="42" customFormat="1" ht="12.75" customHeight="1">
      <c r="A78" s="266"/>
      <c r="B78" s="264"/>
      <c r="C78" s="280"/>
      <c r="D78" s="276"/>
      <c r="E78" s="268"/>
      <c r="F78" s="315" t="s">
        <v>260</v>
      </c>
      <c r="G78" s="97" t="s">
        <v>179</v>
      </c>
      <c r="H78" s="277" t="s">
        <v>326</v>
      </c>
      <c r="I78" s="310" t="s">
        <v>5</v>
      </c>
      <c r="J78" s="396"/>
      <c r="K78" s="427"/>
      <c r="L78" s="428" t="s">
        <v>208</v>
      </c>
      <c r="M78" s="429"/>
      <c r="N78" s="83" t="s">
        <v>152</v>
      </c>
      <c r="O78" s="430" t="s">
        <v>209</v>
      </c>
      <c r="P78" s="431"/>
    </row>
    <row r="79" spans="1:16" ht="6" customHeight="1">
      <c r="A79" s="44"/>
      <c r="C79" s="281"/>
      <c r="D79" s="442"/>
      <c r="E79" s="443"/>
      <c r="F79" s="444"/>
      <c r="G79" s="445"/>
      <c r="H79" s="302"/>
      <c r="I79" s="238"/>
      <c r="J79" s="446"/>
      <c r="K79" s="447"/>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08" t="s">
        <v>135</v>
      </c>
      <c r="K80" s="509"/>
      <c r="L80" s="410">
        <v>1545642.6</v>
      </c>
      <c r="M80" s="411"/>
      <c r="N80" s="182">
        <v>7.6999999999999999E-2</v>
      </c>
      <c r="O80" s="507">
        <f>IF(L80&lt;&gt;"",L80*(1+N80),"")</f>
        <v>1664657.0802</v>
      </c>
      <c r="P80" s="507"/>
    </row>
    <row r="81" spans="1:16" ht="12.75">
      <c r="A81" s="272">
        <v>3400988879</v>
      </c>
      <c r="B81" s="265"/>
      <c r="C81" s="279">
        <v>43141</v>
      </c>
      <c r="D81" s="265"/>
      <c r="E81" s="270"/>
      <c r="F81" s="307" t="s">
        <v>27</v>
      </c>
      <c r="G81" s="308" t="s">
        <v>217</v>
      </c>
      <c r="H81" s="311">
        <v>43101</v>
      </c>
      <c r="I81" s="312">
        <v>43131</v>
      </c>
      <c r="J81" s="508" t="s">
        <v>14</v>
      </c>
      <c r="K81" s="509"/>
      <c r="L81" s="410">
        <v>10000</v>
      </c>
      <c r="M81" s="411"/>
      <c r="N81" s="182">
        <v>7.6999999999999999E-2</v>
      </c>
      <c r="O81" s="507">
        <f>IF(L81&lt;&gt;"",L81*(1+N81),"")</f>
        <v>10770</v>
      </c>
      <c r="P81" s="507"/>
    </row>
    <row r="82" spans="1:16" ht="12.75">
      <c r="A82" s="272">
        <v>3400988880</v>
      </c>
      <c r="B82" s="265"/>
      <c r="C82" s="279">
        <v>43141</v>
      </c>
      <c r="D82" s="265"/>
      <c r="E82" s="270"/>
      <c r="F82" s="307" t="s">
        <v>27</v>
      </c>
      <c r="G82" s="308" t="s">
        <v>257</v>
      </c>
      <c r="H82" s="311">
        <v>43101</v>
      </c>
      <c r="I82" s="312">
        <v>43131</v>
      </c>
      <c r="J82" s="508" t="s">
        <v>147</v>
      </c>
      <c r="K82" s="509"/>
      <c r="L82" s="410">
        <v>20000</v>
      </c>
      <c r="M82" s="411"/>
      <c r="N82" s="182">
        <v>7.6999999999999999E-2</v>
      </c>
      <c r="O82" s="507">
        <f>IF(L82&lt;&gt;"",L82*(1+N82),"")</f>
        <v>21540</v>
      </c>
      <c r="P82" s="507"/>
    </row>
    <row r="83" spans="1:16" ht="12.75">
      <c r="A83" s="272">
        <v>3400988881</v>
      </c>
      <c r="B83" s="265"/>
      <c r="C83" s="279">
        <v>43141</v>
      </c>
      <c r="D83" s="265"/>
      <c r="E83" s="270"/>
      <c r="F83" s="307" t="s">
        <v>27</v>
      </c>
      <c r="G83" s="308" t="s">
        <v>258</v>
      </c>
      <c r="H83" s="311">
        <v>43101</v>
      </c>
      <c r="I83" s="312">
        <v>43131</v>
      </c>
      <c r="J83" s="508" t="s">
        <v>134</v>
      </c>
      <c r="K83" s="509"/>
      <c r="L83" s="410">
        <v>-10000</v>
      </c>
      <c r="M83" s="411"/>
      <c r="N83" s="182">
        <v>7.6999999999999999E-2</v>
      </c>
      <c r="O83" s="507">
        <f>IF(L83&lt;&gt;"",L83*(1+N83),"")</f>
        <v>-10770</v>
      </c>
      <c r="P83" s="507"/>
    </row>
    <row r="84" spans="1:16" ht="12.75">
      <c r="A84" s="272">
        <v>3400988882</v>
      </c>
      <c r="B84" s="265"/>
      <c r="C84" s="279">
        <v>43196</v>
      </c>
      <c r="D84" s="265"/>
      <c r="E84" s="270"/>
      <c r="F84" s="307" t="s">
        <v>27</v>
      </c>
      <c r="G84" s="308" t="s">
        <v>259</v>
      </c>
      <c r="H84" s="311">
        <v>43132</v>
      </c>
      <c r="I84" s="312">
        <v>43190</v>
      </c>
      <c r="J84" s="508" t="s">
        <v>135</v>
      </c>
      <c r="K84" s="509"/>
      <c r="L84" s="410">
        <v>2153796.1368</v>
      </c>
      <c r="M84" s="411"/>
      <c r="N84" s="182">
        <v>7.6999999999999999E-2</v>
      </c>
      <c r="O84" s="507">
        <f>IF(L84&lt;&gt;"",L84*(1+N84),"")</f>
        <v>2319638.4393336</v>
      </c>
      <c r="P84" s="507"/>
    </row>
    <row r="85" spans="1:16" ht="12.75">
      <c r="A85" s="272"/>
      <c r="B85" s="265"/>
      <c r="C85" s="279"/>
      <c r="D85" s="265"/>
      <c r="E85" s="270"/>
      <c r="F85" s="303"/>
      <c r="G85" s="308"/>
      <c r="H85" s="311"/>
      <c r="I85" s="312"/>
      <c r="J85" s="508"/>
      <c r="K85" s="509"/>
      <c r="L85" s="410"/>
      <c r="M85" s="411"/>
      <c r="N85" s="182">
        <v>7.6999999999999999E-2</v>
      </c>
      <c r="O85" s="507" t="str">
        <f t="shared" ref="O85:O93" si="1">IF(L85&lt;&gt;"",L85*(1+N85),"")</f>
        <v/>
      </c>
      <c r="P85" s="507"/>
    </row>
    <row r="86" spans="1:16" ht="12.75">
      <c r="A86" s="272"/>
      <c r="B86" s="265"/>
      <c r="C86" s="279"/>
      <c r="D86" s="265"/>
      <c r="E86" s="270"/>
      <c r="F86" s="303"/>
      <c r="G86" s="308"/>
      <c r="H86" s="311"/>
      <c r="I86" s="312"/>
      <c r="J86" s="508"/>
      <c r="K86" s="509"/>
      <c r="L86" s="410"/>
      <c r="M86" s="411"/>
      <c r="N86" s="182">
        <v>7.6999999999999999E-2</v>
      </c>
      <c r="O86" s="507" t="str">
        <f t="shared" si="1"/>
        <v/>
      </c>
      <c r="P86" s="507"/>
    </row>
    <row r="87" spans="1:16" ht="12.75">
      <c r="A87" s="272"/>
      <c r="B87" s="265"/>
      <c r="C87" s="279"/>
      <c r="D87" s="265"/>
      <c r="E87" s="270"/>
      <c r="F87" s="303"/>
      <c r="G87" s="308"/>
      <c r="H87" s="311"/>
      <c r="I87" s="312"/>
      <c r="J87" s="508"/>
      <c r="K87" s="509"/>
      <c r="L87" s="410"/>
      <c r="M87" s="411"/>
      <c r="N87" s="182">
        <v>7.6999999999999999E-2</v>
      </c>
      <c r="O87" s="507" t="str">
        <f t="shared" si="1"/>
        <v/>
      </c>
      <c r="P87" s="507"/>
    </row>
    <row r="88" spans="1:16" ht="12.75">
      <c r="A88" s="272"/>
      <c r="B88" s="265"/>
      <c r="C88" s="279"/>
      <c r="D88" s="265"/>
      <c r="E88" s="270"/>
      <c r="F88" s="303"/>
      <c r="G88" s="308"/>
      <c r="H88" s="311"/>
      <c r="I88" s="312"/>
      <c r="J88" s="508"/>
      <c r="K88" s="509"/>
      <c r="L88" s="410"/>
      <c r="M88" s="411"/>
      <c r="N88" s="182">
        <v>7.6999999999999999E-2</v>
      </c>
      <c r="O88" s="507" t="str">
        <f t="shared" si="1"/>
        <v/>
      </c>
      <c r="P88" s="507"/>
    </row>
    <row r="89" spans="1:16" ht="12.75">
      <c r="A89" s="272"/>
      <c r="B89" s="265"/>
      <c r="C89" s="279"/>
      <c r="D89" s="265"/>
      <c r="E89" s="270"/>
      <c r="F89" s="303"/>
      <c r="G89" s="308"/>
      <c r="H89" s="311"/>
      <c r="I89" s="312"/>
      <c r="J89" s="508"/>
      <c r="K89" s="509"/>
      <c r="L89" s="410"/>
      <c r="M89" s="411"/>
      <c r="N89" s="182">
        <v>7.6999999999999999E-2</v>
      </c>
      <c r="O89" s="507" t="str">
        <f t="shared" si="1"/>
        <v/>
      </c>
      <c r="P89" s="507"/>
    </row>
    <row r="90" spans="1:16" ht="12.75">
      <c r="A90" s="272"/>
      <c r="B90" s="265"/>
      <c r="C90" s="279"/>
      <c r="D90" s="265"/>
      <c r="E90" s="270"/>
      <c r="F90" s="303"/>
      <c r="G90" s="308"/>
      <c r="H90" s="311"/>
      <c r="I90" s="312"/>
      <c r="J90" s="508"/>
      <c r="K90" s="509"/>
      <c r="L90" s="410"/>
      <c r="M90" s="411"/>
      <c r="N90" s="182">
        <v>7.6999999999999999E-2</v>
      </c>
      <c r="O90" s="507" t="str">
        <f t="shared" si="1"/>
        <v/>
      </c>
      <c r="P90" s="507"/>
    </row>
    <row r="91" spans="1:16" ht="12.75">
      <c r="A91" s="272"/>
      <c r="B91" s="265"/>
      <c r="C91" s="279"/>
      <c r="D91" s="265"/>
      <c r="E91" s="270"/>
      <c r="F91" s="303"/>
      <c r="G91" s="308"/>
      <c r="H91" s="311"/>
      <c r="I91" s="312"/>
      <c r="J91" s="508"/>
      <c r="K91" s="509"/>
      <c r="L91" s="410"/>
      <c r="M91" s="411"/>
      <c r="N91" s="182">
        <v>7.6999999999999999E-2</v>
      </c>
      <c r="O91" s="507" t="str">
        <f t="shared" si="1"/>
        <v/>
      </c>
      <c r="P91" s="507"/>
    </row>
    <row r="92" spans="1:16" ht="12.75">
      <c r="A92" s="272"/>
      <c r="B92" s="265"/>
      <c r="C92" s="279"/>
      <c r="D92" s="265"/>
      <c r="E92" s="270"/>
      <c r="F92" s="303"/>
      <c r="G92" s="308"/>
      <c r="H92" s="311"/>
      <c r="I92" s="312"/>
      <c r="J92" s="508"/>
      <c r="K92" s="509"/>
      <c r="L92" s="410"/>
      <c r="M92" s="411"/>
      <c r="N92" s="182">
        <v>7.6999999999999999E-2</v>
      </c>
      <c r="O92" s="507" t="str">
        <f t="shared" si="1"/>
        <v/>
      </c>
      <c r="P92" s="507"/>
    </row>
    <row r="93" spans="1:16" ht="12.75">
      <c r="A93" s="272"/>
      <c r="B93" s="265"/>
      <c r="C93" s="279"/>
      <c r="D93" s="265"/>
      <c r="E93" s="270"/>
      <c r="F93" s="303"/>
      <c r="G93" s="308"/>
      <c r="H93" s="311"/>
      <c r="I93" s="312"/>
      <c r="J93" s="508"/>
      <c r="K93" s="509"/>
      <c r="L93" s="410"/>
      <c r="M93" s="411"/>
      <c r="N93" s="182">
        <v>7.6999999999999999E-2</v>
      </c>
      <c r="O93" s="507" t="str">
        <f t="shared" si="1"/>
        <v/>
      </c>
      <c r="P93" s="507"/>
    </row>
    <row r="94" spans="1:16" ht="12.75">
      <c r="A94" s="273"/>
      <c r="B94" s="265"/>
      <c r="C94" s="275"/>
      <c r="D94" s="265"/>
      <c r="E94" s="269"/>
      <c r="F94" s="307" t="s">
        <v>2</v>
      </c>
      <c r="G94" s="308"/>
      <c r="H94" s="311"/>
      <c r="I94" s="313"/>
      <c r="J94" s="508"/>
      <c r="K94" s="509"/>
      <c r="L94" s="410"/>
      <c r="M94" s="411"/>
      <c r="N94" s="182">
        <v>7.6999999999999999E-2</v>
      </c>
      <c r="O94" s="507" t="str">
        <f>IF(L94&lt;&gt;"",L94*(1+N94),"")</f>
        <v/>
      </c>
      <c r="P94" s="507"/>
    </row>
    <row r="95" spans="1:16" ht="6" customHeight="1">
      <c r="A95" s="81"/>
      <c r="C95" s="277"/>
      <c r="D95" s="451"/>
      <c r="E95" s="452"/>
      <c r="F95" s="453"/>
      <c r="G95" s="454"/>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1">
        <f>-SUMIF(J80:K95,'Dropdowns Bau'!B9,L80:M95)+L97</f>
        <v>3719438.7368000001</v>
      </c>
      <c r="M96" s="422"/>
      <c r="N96" s="185"/>
      <c r="O96" s="421">
        <f>-SUMIF(J80:K95,'Dropdowns Bau'!B9,O80:P95)+O97</f>
        <v>4005835.5195335997</v>
      </c>
      <c r="P96" s="421"/>
    </row>
    <row r="97" spans="1:16" s="42" customFormat="1" ht="12.75">
      <c r="A97" s="26" t="s">
        <v>182</v>
      </c>
      <c r="B97" s="63"/>
      <c r="C97" s="63"/>
      <c r="D97" s="236"/>
      <c r="E97" s="236"/>
      <c r="F97" s="236"/>
      <c r="G97" s="236"/>
      <c r="H97" s="236"/>
      <c r="I97" s="236"/>
      <c r="J97" s="236"/>
      <c r="K97" s="237"/>
      <c r="L97" s="448">
        <f>SUM(L80:M95)</f>
        <v>3719438.7368000001</v>
      </c>
      <c r="M97" s="449"/>
      <c r="N97" s="186"/>
      <c r="O97" s="448">
        <f>SUM(O80:P95)</f>
        <v>4005835.5195335997</v>
      </c>
      <c r="P97" s="450"/>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48">
        <f>SUMIF(J80:K95,'Dropdowns DL'!B4,L80:M95)</f>
        <v>3699438.7368000001</v>
      </c>
      <c r="M99" s="449"/>
      <c r="N99" s="183"/>
      <c r="O99" s="448">
        <f>SUMIF(J80:K95,'Dropdowns DL'!B4,O80:P95)</f>
        <v>3984295.5195335997</v>
      </c>
      <c r="P99" s="450"/>
    </row>
    <row r="100" spans="1:16" ht="12.75">
      <c r="A100" s="44"/>
      <c r="J100" s="42" t="s">
        <v>278</v>
      </c>
      <c r="K100" s="17"/>
      <c r="L100" s="448">
        <f>SUMIF(J80:K95,'Dropdowns DL'!B6,L80:M95)</f>
        <v>20000</v>
      </c>
      <c r="M100" s="449"/>
      <c r="N100" s="183"/>
      <c r="O100" s="448">
        <f>SUMIF(J80:K95,'Dropdowns DL'!B6,O80:P95)</f>
        <v>21540</v>
      </c>
      <c r="P100" s="450"/>
    </row>
    <row r="101" spans="1:16" ht="12.75">
      <c r="A101" s="44"/>
      <c r="J101" s="42" t="s">
        <v>193</v>
      </c>
      <c r="K101" s="17"/>
      <c r="L101" s="448">
        <f>SUMIF(J80:K95,'Dropdowns DL'!B5,L80:M95)</f>
        <v>10000</v>
      </c>
      <c r="M101" s="449"/>
      <c r="N101" s="183"/>
      <c r="O101" s="448">
        <f>SUMIF(J80:K95,'Dropdowns DL'!B5,O80:P95)</f>
        <v>10770</v>
      </c>
      <c r="P101" s="450"/>
    </row>
    <row r="102" spans="1:16" ht="12.75" hidden="1">
      <c r="A102" s="44"/>
      <c r="J102" s="42" t="s">
        <v>194</v>
      </c>
      <c r="K102" s="17"/>
      <c r="L102" s="448">
        <f>SUMIF(J80:K95,'Dropdowns Bau'!B5,L80:M95)</f>
        <v>0</v>
      </c>
      <c r="M102" s="449"/>
      <c r="N102" s="183"/>
      <c r="O102" s="448">
        <f>SUMIF(J80:K95,'Dropdowns Bau'!B5,O80:P95)</f>
        <v>0</v>
      </c>
      <c r="P102" s="450"/>
    </row>
    <row r="103" spans="1:16" ht="6" customHeight="1">
      <c r="A103" s="81"/>
      <c r="B103" s="87"/>
      <c r="C103" s="87"/>
      <c r="D103" s="87"/>
      <c r="E103" s="87"/>
      <c r="F103" s="87"/>
      <c r="G103" s="87"/>
      <c r="H103" s="87"/>
      <c r="I103" s="87"/>
      <c r="J103" s="87"/>
      <c r="K103" s="82"/>
      <c r="L103" s="455"/>
      <c r="M103" s="456"/>
      <c r="N103" s="188"/>
      <c r="O103" s="457"/>
      <c r="P103" s="457"/>
    </row>
    <row r="104" spans="1:16" ht="6" customHeight="1"/>
    <row r="106" spans="1:16" ht="15">
      <c r="A106" s="167" t="s">
        <v>183</v>
      </c>
      <c r="B106" s="156"/>
      <c r="C106" s="156"/>
      <c r="D106" s="156"/>
      <c r="E106" s="156"/>
      <c r="F106" s="156"/>
      <c r="G106" s="156"/>
      <c r="H106" s="157"/>
      <c r="I106" s="458" t="s">
        <v>210</v>
      </c>
      <c r="J106" s="458"/>
      <c r="K106" s="458"/>
      <c r="L106" s="458"/>
      <c r="M106" s="458"/>
      <c r="N106" s="458"/>
      <c r="O106" s="458"/>
      <c r="P106" s="45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59" t="s">
        <v>208</v>
      </c>
      <c r="E108" s="460"/>
      <c r="F108" s="461" t="s">
        <v>209</v>
      </c>
      <c r="G108" s="462"/>
      <c r="H108" s="23"/>
      <c r="I108" s="463" t="s">
        <v>253</v>
      </c>
      <c r="J108" s="464"/>
      <c r="K108" s="469" t="s">
        <v>277</v>
      </c>
      <c r="L108" s="470"/>
      <c r="M108" s="470"/>
      <c r="N108" s="470"/>
      <c r="O108" s="470"/>
      <c r="P108" s="471"/>
    </row>
    <row r="109" spans="1:16" ht="12.75">
      <c r="A109" s="369" t="s">
        <v>215</v>
      </c>
      <c r="B109" s="370"/>
      <c r="C109" s="478"/>
      <c r="D109" s="496">
        <f>L73</f>
        <v>5350000</v>
      </c>
      <c r="E109" s="497"/>
      <c r="F109" s="498">
        <f>O73</f>
        <v>5761950</v>
      </c>
      <c r="G109" s="499"/>
      <c r="H109" s="91"/>
      <c r="I109" s="465"/>
      <c r="J109" s="466"/>
      <c r="K109" s="472"/>
      <c r="L109" s="473"/>
      <c r="M109" s="473"/>
      <c r="N109" s="473"/>
      <c r="O109" s="473"/>
      <c r="P109" s="474"/>
    </row>
    <row r="110" spans="1:16" ht="12.75">
      <c r="A110" s="500" t="s">
        <v>181</v>
      </c>
      <c r="B110" s="501"/>
      <c r="C110" s="502"/>
      <c r="D110" s="503">
        <f>L96</f>
        <v>3719438.7368000001</v>
      </c>
      <c r="E110" s="504"/>
      <c r="F110" s="505">
        <f>O96</f>
        <v>4005835.5195335997</v>
      </c>
      <c r="G110" s="506"/>
      <c r="H110" s="91"/>
      <c r="I110" s="465"/>
      <c r="J110" s="466"/>
      <c r="K110" s="472"/>
      <c r="L110" s="473"/>
      <c r="M110" s="473"/>
      <c r="N110" s="473"/>
      <c r="O110" s="473"/>
      <c r="P110" s="474"/>
    </row>
    <row r="111" spans="1:16" ht="12" customHeight="1">
      <c r="A111" s="369" t="s">
        <v>178</v>
      </c>
      <c r="B111" s="370"/>
      <c r="C111" s="478"/>
      <c r="D111" s="482">
        <f>D109-D110</f>
        <v>1630561.2631999999</v>
      </c>
      <c r="E111" s="483"/>
      <c r="F111" s="486">
        <f>F109-F110</f>
        <v>1756114.4804664003</v>
      </c>
      <c r="G111" s="487"/>
      <c r="H111" s="92"/>
      <c r="I111" s="465"/>
      <c r="J111" s="466"/>
      <c r="K111" s="472"/>
      <c r="L111" s="473"/>
      <c r="M111" s="473"/>
      <c r="N111" s="473"/>
      <c r="O111" s="473"/>
      <c r="P111" s="474"/>
    </row>
    <row r="112" spans="1:16" ht="12" customHeight="1">
      <c r="A112" s="479"/>
      <c r="B112" s="480"/>
      <c r="C112" s="481"/>
      <c r="D112" s="484"/>
      <c r="E112" s="485"/>
      <c r="F112" s="488"/>
      <c r="G112" s="489"/>
      <c r="H112" s="92"/>
      <c r="I112" s="465"/>
      <c r="J112" s="466"/>
      <c r="K112" s="472"/>
      <c r="L112" s="473"/>
      <c r="M112" s="473"/>
      <c r="N112" s="473"/>
      <c r="O112" s="473"/>
      <c r="P112" s="474"/>
    </row>
    <row r="113" spans="1:16" ht="12.75">
      <c r="A113" s="490" t="s">
        <v>177</v>
      </c>
      <c r="B113" s="491"/>
      <c r="C113" s="492"/>
      <c r="D113" s="493">
        <f>IF(D110&lt;&gt;0,D110/D109,0)</f>
        <v>0.69522219379439254</v>
      </c>
      <c r="E113" s="494"/>
      <c r="F113" s="493">
        <f>IF(D110&lt;&gt;0,F110/F109,0)</f>
        <v>0.69522219379439243</v>
      </c>
      <c r="G113" s="495"/>
      <c r="H113" s="93"/>
      <c r="I113" s="467"/>
      <c r="J113" s="468"/>
      <c r="K113" s="475"/>
      <c r="L113" s="476"/>
      <c r="M113" s="476"/>
      <c r="N113" s="476"/>
      <c r="O113" s="476"/>
      <c r="P113" s="477"/>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2019-02-22T15:36:48Z</cp:lastPrinted>
  <dcterms:created xsi:type="dcterms:W3CDTF">1996-10-14T23:33:28Z</dcterms:created>
  <dcterms:modified xsi:type="dcterms:W3CDTF">2019-02-22T15:57:30Z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