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88" i="20" l="1"/>
  <c r="O25" i="20"/>
  <c r="O87" i="20" l="1"/>
  <c r="O86" i="20"/>
  <c r="O26" i="20" l="1"/>
  <c r="O85" i="20" l="1"/>
  <c r="O84" i="20" l="1"/>
  <c r="O81" i="20" l="1"/>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91" i="20"/>
  <c r="O90" i="20"/>
  <c r="O89" i="20"/>
  <c r="O83" i="20"/>
  <c r="O82" i="20"/>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94" i="20"/>
  <c r="O101" i="20"/>
  <c r="L73" i="20"/>
  <c r="D109" i="20" s="1"/>
  <c r="O72" i="20"/>
  <c r="O71" i="20"/>
  <c r="O70" i="20"/>
  <c r="O69" i="20"/>
  <c r="O73" i="20" s="1"/>
  <c r="F109" i="20" s="1"/>
  <c r="O62" i="20"/>
  <c r="N62" i="20"/>
  <c r="I62" i="20"/>
  <c r="N61" i="20"/>
  <c r="I61" i="20"/>
  <c r="C61" i="20"/>
  <c r="N60" i="20"/>
  <c r="I60" i="20"/>
  <c r="C60" i="20"/>
  <c r="K31" i="20"/>
  <c r="H31" i="20"/>
  <c r="G31" i="20"/>
  <c r="I29" i="20"/>
  <c r="J29" i="20"/>
  <c r="I28" i="20"/>
  <c r="J28" i="20"/>
  <c r="L28" i="20" s="1"/>
  <c r="I27" i="20"/>
  <c r="J27" i="20" s="1"/>
  <c r="I26" i="20"/>
  <c r="J26" i="20"/>
  <c r="L26" i="20"/>
  <c r="M26" i="20" s="1"/>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O97" i="20" l="1"/>
  <c r="O96" i="20" s="1"/>
  <c r="F110" i="20" s="1"/>
  <c r="F113"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N29" i="20"/>
  <c r="M28" i="20"/>
  <c r="N28" i="20"/>
  <c r="N25" i="28"/>
  <c r="N26" i="20"/>
  <c r="N25" i="14"/>
  <c r="L27" i="14"/>
  <c r="I31" i="14"/>
  <c r="J31" i="20"/>
  <c r="E26" i="20"/>
  <c r="E28" i="20"/>
  <c r="E27" i="28"/>
  <c r="O97" i="14"/>
  <c r="O96" i="14" s="1"/>
  <c r="F110" i="14" s="1"/>
  <c r="F113" i="14" s="1"/>
  <c r="L28" i="28"/>
  <c r="N26" i="14"/>
  <c r="L27" i="20"/>
  <c r="L28" i="14"/>
  <c r="L29" i="14"/>
  <c r="D111" i="20"/>
  <c r="I31" i="28"/>
  <c r="L27" i="28"/>
  <c r="E29" i="28"/>
  <c r="L25" i="20"/>
  <c r="I31" i="20"/>
  <c r="F111" i="20" l="1"/>
  <c r="P29" i="28"/>
  <c r="M28" i="28"/>
  <c r="N28" i="28"/>
  <c r="O25" i="14"/>
  <c r="O28" i="20"/>
  <c r="P28" i="20" s="1"/>
  <c r="F111" i="14"/>
  <c r="M29" i="14"/>
  <c r="N29" i="14" s="1"/>
  <c r="L31" i="28"/>
  <c r="P34" i="28" s="1"/>
  <c r="N27" i="20"/>
  <c r="M27" i="20"/>
  <c r="P26" i="20"/>
  <c r="O29" i="20"/>
  <c r="P29" i="20" s="1"/>
  <c r="M27" i="28"/>
  <c r="M31" i="28" s="1"/>
  <c r="M28" i="14"/>
  <c r="N28" i="14" s="1"/>
  <c r="O26" i="14"/>
  <c r="P26" i="14" s="1"/>
  <c r="L31" i="14"/>
  <c r="P34" i="14" s="1"/>
  <c r="M27" i="14"/>
  <c r="O25" i="28"/>
  <c r="O26" i="28"/>
  <c r="P26" i="28" s="1"/>
  <c r="M25" i="20"/>
  <c r="M31" i="20" s="1"/>
  <c r="L31" i="20"/>
  <c r="P34" i="20" s="1"/>
  <c r="M31" i="14" l="1"/>
  <c r="N27" i="14"/>
  <c r="N31" i="14" s="1"/>
  <c r="O29" i="14"/>
  <c r="P29" i="14"/>
  <c r="O28" i="14"/>
  <c r="P28" i="14" s="1"/>
  <c r="O27" i="20"/>
  <c r="P27" i="20"/>
  <c r="N27" i="28"/>
  <c r="O28" i="28"/>
  <c r="P28" i="28" s="1"/>
  <c r="P25" i="28"/>
  <c r="P25" i="14"/>
  <c r="N25" i="20"/>
  <c r="O31" i="20" s="1"/>
  <c r="O27" i="14" l="1"/>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<sst xmlns="http://schemas.openxmlformats.org/spreadsheetml/2006/main" count="687" uniqueCount="358">
  <si>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</si>
  <si>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</si>
  <si>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</si>
  <si>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</si>
  <si>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</si>
  <si>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</si>
  <si>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</si>
  <si>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</si>
  <si>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</si>
  <si>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</si>
  <si>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</si>
  <si>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</si>
  <si>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</si>
  <si>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</si>
  <si>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</si>
  <si>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</si>
  <si>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</si>
  <si>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</si>
  <si>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</si>
  <si>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</si>
  <si>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</si>
  <si>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</si>
  <si>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</si>
  <si>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</si>
  <si>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</si>
  <si>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</si>
  <si>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</si>
  <si>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</si>
  <si>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</si>
  <si>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</si>
  <si>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</si>
  <si>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</si>
  <si>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</si>
  <si>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</si>
  <si>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</si>
  <si>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</si>
  <si>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</si>
  <si>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</si>
  <si>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</si>
  <si>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</si>
  <si>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</si>
  <si>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</si>
  <si>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</si>
  <si>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</si>
  <si>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</si>
  <si>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</si>
  <si>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</si>
  <si>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</si>
  <si>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</si>
  <si>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</si>
  <si>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</si>
  <si>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</si>
  <si>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</si>
  <si>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</si>
  <si>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</si>
  <si>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</si>
  <si>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</si>
  <si>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</si>
  <si>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</si>
  <si>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</si>
  <si>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</si>
  <si>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</si>
  <si>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</si>
  <si>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</si>
  <si>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</si>
  <si>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</si>
  <si>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</si>
  <si>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</si>
  <si>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</si>
  <si>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</si>
  <si>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</si>
  <si>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</si>
  <si>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</si>
  <si>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</si>
  <si>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</si>
  <si>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</si>
  <si>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</si>
  <si>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</si>
  <si>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</si>
  <si>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</si>
  <si>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</si>
  <si>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</si>
  <si>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</si>
  <si>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</si>
  <si>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</si>
  <si>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</si>
  <si>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</si>
  <si>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</si>
  <si>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</si>
  <si>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</si>
  <si>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</si>
  <si>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</si>
  <si>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</si>
  <si>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</si>
  <si>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</si>
  <si>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</si>
  <si>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</si>
  <si>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</si>
  <si>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</si>
  <si>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</si>
  <si>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</si>
  <si>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</si>
  <si>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</si>
  <si>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</si>
  <si>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</si>
  <si>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</si>
  <si>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</si>
  <si>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</si>
  <si>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</si>
  <si>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</si>
  <si>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</si>
  <si>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</si>
  <si>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</si>
  <si>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</si>
  <si>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</si>
  <si>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</si>
  <si>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</si>
  <si>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</si>
  <si>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</si>
  <si>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</si>
  <si>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</si>
  <si>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</si>
  <si>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</si>
  <si>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</si>
  <si>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</si>
  <si>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</si>
  <si>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</si>
  <si>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</si>
  <si>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</si>
  <si>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</si>
  <si>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</si>
  <si>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</si>
  <si>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</si>
  <si>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</si>
  <si>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</si>
  <si>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</si>
  <si>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</si>
  <si>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</si>
  <si>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</si>
  <si>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</si>
  <si>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</si>
  <si>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</si>
  <si>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</si>
  <si>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</si>
  <si>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</si>
  <si>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</si>
  <si>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</si>
  <si>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</si>
  <si>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</si>
  <si>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</si>
  <si>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</si>
  <si>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</si>
  <si>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</si>
  <si>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</si>
  <si>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</si>
  <si>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</si>
  <si>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</si>
  <si>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</si>
  <si>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</si>
  <si>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</si>
  <si>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</si>
  <si>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</si>
  <si>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</si>
  <si>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</si>
  <si>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</si>
  <si>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</si>
  <si>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</si>
  <si>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</si>
  <si>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</si>
  <si>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</si>
  <si>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</si>
  <si>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</si>
  <si>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</si>
  <si>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</si>
  <si>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</si>
  <si>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</si>
  <si>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</si>
  <si>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</si>
  <si>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</si>
  <si>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</si>
  <si>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</si>
  <si>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</si>
  <si>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</si>
  <si>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</si>
  <si>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</si>
  <si>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</si>
  <si>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</si>
  <si>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</si>
  <si>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</si>
  <si>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</si>
  <si>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</si>
  <si>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</si>
  <si>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</si>
  <si>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</si>
  <si>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</si>
  <si>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</si>
  <si>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</si>
  <si>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</si>
  <si>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</si>
  <si>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</si>
  <si>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</si>
  <si>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</si>
  <si>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</si>
  <si>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</si>
  <si>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</si>
  <si>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</si>
  <si>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</si>
  <si>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</si>
  <si>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</si>
  <si>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</si>
  <si>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</si>
  <si>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</si>
  <si>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</si>
  <si>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</si>
  <si>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</si>
  <si>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</si>
  <si>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</si>
  <si>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</si>
  <si>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</si>
  <si>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</si>
  <si>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</si>
  <si>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</si>
  <si>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</si>
  <si>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</si>
  <si>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</si>
  <si>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</si>
  <si>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</si>
  <si>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</si>
  <si>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</si>
  <si>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</si>
  <si>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</si>
  <si>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</si>
  <si>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</si>
  <si>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</si>
  <si>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</si>
  <si>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</si>
  <si>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</si>
  <si>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</si>
  <si>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</si>
  <si>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</si>
  <si>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</si>
  <si>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</si>
  <si>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</si>
  <si>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</si>
  <si>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</si>
  <si>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</si>
  <si>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</si>
  <si>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</si>
  <si>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</si>
  <si>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</si>
  <si>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</si>
  <si>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</si>
  <si>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</si>
  <si>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</si>
  <si>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</si>
  <si>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</si>
  <si>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</si>
  <si>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</si>
  <si>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</si>
  <si>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</si>
  <si>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</si>
  <si>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</si>
  <si>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</si>
  <si>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</si>
  <si>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</si>
  <si>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</si>
  <si>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</si>
  <si>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</si>
  <si>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</si>
  <si>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</si>
  <si>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</si>
  <si>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</si>
  <si>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</si>
  <si>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</si>
  <si>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</si>
  <si>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</si>
  <si>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</si>
  <si>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</si>
  <si>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</si>
  <si>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</si>
  <si>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</si>
  <si>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</si>
  <si>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</si>
  <si>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</si>
  <si>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</si>
  <si>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</si>
  <si>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</si>
  <si>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</si>
  <si>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</si>
  <si>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</si>
  <si>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</si>
  <si>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</si>
  <si>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</si>
  <si>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</si>
  <si>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</si>
  <si>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</si>
  <si>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</si>
  <si>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</si>
  <si>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</si>
  <si>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</si>
  <si>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</si>
  <si>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</si>
  <si>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</si>
  <si>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</si>
  <si>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</si>
  <si>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</si>
  <si>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</si>
  <si>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</si>
  <si>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</si>
  <si>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</si>
  <si>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</si>
  <si>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</si>
  <si>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</si>
  <si>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</si>
  <si>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</si>
  <si>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</si>
  <si>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</si>
  <si>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</si>
  <si>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</si>
  <si>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</si>
  <si>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</si>
  <si>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</si>
  <si>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</si>
  <si>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</si>
  <si>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</si>
  <si>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</si>
  <si>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</si>
  <si>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</si>
  <si>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</si>
  <si>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</si>
  <si>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</si>
  <si>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</si>
  <si>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</si>
  <si>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</si>
  <si>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</si>
  <si>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</si>
  <si>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</si>
  <si>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</si>
  <si>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</si>
  <si>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</si>
  <si>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</si>
  <si>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</si>
  <si>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</si>
  <si>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</si>
  <si>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</si>
  <si>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</si>
  <si>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</si>
  <si>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</si>
  <si>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</si>
  <si>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</si>
  <si>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</si>
  <si>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</si>
  <si>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</si>
  <si>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</si>
  <si>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06</t>
  </si>
  <si>
    <t>07</t>
  </si>
  <si>
    <t>08</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</si>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</sst>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1"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O89" sqref="O89:P89"/>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79" t="s">
        <v>345</v>
      </c>
      <c r="I1" s="479"/>
      <c r="J1" s="149"/>
      <c r="K1" s="189"/>
      <c r="L1" s="166" t="s">
        <v>154</v>
      </c>
      <c r="M1" s="190"/>
      <c r="N1" s="105"/>
      <c r="O1" s="148"/>
      <c r="P1" s="150"/>
    </row>
    <row r="2" spans="1:16" s="14" customFormat="1" ht="12.75">
      <c r="A2" s="16" t="s">
        <v>12</v>
      </c>
      <c r="C2" s="491" t="s">
        <v>335</v>
      </c>
      <c r="D2" s="491"/>
      <c r="E2" s="492"/>
      <c r="F2" s="16" t="s">
        <v>327</v>
      </c>
      <c r="H2" s="473">
        <v>43282</v>
      </c>
      <c r="I2" s="473"/>
      <c r="J2" s="67" t="s">
        <v>195</v>
      </c>
      <c r="K2" s="193">
        <v>44926</v>
      </c>
      <c r="L2" s="16" t="s">
        <v>13</v>
      </c>
      <c r="N2" s="159">
        <v>43685</v>
      </c>
      <c r="P2" s="18"/>
    </row>
    <row r="3" spans="1:16" s="14" customFormat="1" ht="12.75">
      <c r="A3" s="16" t="s">
        <v>158</v>
      </c>
      <c r="C3" s="474" t="s">
        <v>336</v>
      </c>
      <c r="D3" s="474"/>
      <c r="E3" s="475"/>
      <c r="F3" s="16" t="s">
        <v>159</v>
      </c>
      <c r="H3" s="461" t="s">
        <v>346</v>
      </c>
      <c r="I3" s="461"/>
      <c r="J3" s="461"/>
      <c r="K3" s="476"/>
      <c r="L3" s="16" t="s">
        <v>166</v>
      </c>
      <c r="N3" s="325" t="s">
        <v>356</v>
      </c>
      <c r="O3" s="194"/>
      <c r="P3" s="94"/>
    </row>
    <row r="4" spans="1:16" s="14" customFormat="1" ht="12.75">
      <c r="A4" s="16" t="s">
        <v>184</v>
      </c>
      <c r="C4" s="474" t="s">
        <v>337</v>
      </c>
      <c r="D4" s="474"/>
      <c r="E4" s="475"/>
      <c r="F4" s="20" t="s">
        <v>165</v>
      </c>
      <c r="H4" s="461" t="s">
        <v>347</v>
      </c>
      <c r="I4" s="461"/>
      <c r="J4" s="461"/>
      <c r="K4" s="17"/>
      <c r="L4" s="16" t="s">
        <v>175</v>
      </c>
      <c r="N4" s="159">
        <v>43617</v>
      </c>
      <c r="O4" s="19" t="s">
        <v>5</v>
      </c>
      <c r="P4" s="161">
        <v>43646</v>
      </c>
    </row>
    <row r="5" spans="1:16" s="14" customFormat="1" ht="12.75">
      <c r="A5" s="25"/>
      <c r="C5" s="191"/>
      <c r="D5" s="169"/>
      <c r="E5" s="169"/>
      <c r="F5" s="25"/>
      <c r="G5" s="15" t="s">
        <v>169</v>
      </c>
      <c r="H5" s="490" t="s">
        <v>348</v>
      </c>
      <c r="I5" s="490"/>
      <c r="J5" s="490"/>
      <c r="K5" s="17"/>
      <c r="L5" s="20" t="s">
        <v>25</v>
      </c>
      <c r="N5" s="160" t="s">
        <v>27</v>
      </c>
      <c r="O5" s="80" t="s">
        <v>179</v>
      </c>
      <c r="P5" s="326" t="s">
        <v>357</v>
      </c>
    </row>
    <row r="6" spans="1:16" s="14" customFormat="1" ht="12.75">
      <c r="A6" s="16" t="s">
        <v>338</v>
      </c>
      <c r="C6" s="461" t="s">
        <v>339</v>
      </c>
      <c r="D6" s="461"/>
      <c r="E6" s="476"/>
      <c r="F6" s="25"/>
      <c r="G6" s="15" t="s">
        <v>161</v>
      </c>
      <c r="H6" s="477" t="s">
        <v>349</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5" t="s">
        <v>142</v>
      </c>
      <c r="D8" s="505"/>
      <c r="E8" s="506"/>
      <c r="F8" s="21" t="s">
        <v>162</v>
      </c>
      <c r="G8" s="29"/>
      <c r="H8" s="486" t="s">
        <v>350</v>
      </c>
      <c r="I8" s="486"/>
      <c r="J8" s="486"/>
      <c r="K8" s="487"/>
      <c r="L8" s="31" t="s">
        <v>188</v>
      </c>
      <c r="M8" s="32"/>
      <c r="N8" s="32"/>
      <c r="O8" s="32"/>
      <c r="P8" s="30"/>
    </row>
    <row r="9" spans="1:16" s="14" customFormat="1" ht="12.75">
      <c r="A9" s="25"/>
      <c r="C9" s="507"/>
      <c r="D9" s="507"/>
      <c r="E9" s="508"/>
      <c r="F9" s="25"/>
      <c r="H9" s="461" t="s">
        <v>351</v>
      </c>
      <c r="I9" s="461"/>
      <c r="J9" s="461"/>
      <c r="K9" s="476"/>
      <c r="L9" s="159"/>
      <c r="M9" s="159"/>
      <c r="N9" s="66"/>
      <c r="O9" s="66"/>
      <c r="P9" s="99"/>
    </row>
    <row r="10" spans="1:16" s="14" customFormat="1" ht="12.75">
      <c r="A10" s="25"/>
      <c r="C10" s="507"/>
      <c r="D10" s="507"/>
      <c r="E10" s="508"/>
      <c r="F10" s="25"/>
      <c r="H10" s="461" t="s">
        <v>352</v>
      </c>
      <c r="I10" s="461"/>
      <c r="J10" s="461"/>
      <c r="K10" s="476"/>
      <c r="L10" s="159"/>
      <c r="M10" s="159"/>
      <c r="N10" s="66"/>
      <c r="O10" s="66"/>
      <c r="P10" s="99"/>
    </row>
    <row r="11" spans="1:16" s="14" customFormat="1" ht="12.75" customHeight="1">
      <c r="A11" s="25"/>
      <c r="C11" s="507"/>
      <c r="D11" s="507"/>
      <c r="E11" s="508"/>
      <c r="F11" s="25"/>
      <c r="H11" s="488"/>
      <c r="I11" s="488"/>
      <c r="J11" s="488"/>
      <c r="K11" s="489"/>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
        <v>353</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
        <v>337</v>
      </c>
      <c r="B25" s="464"/>
      <c r="C25" s="324" t="s">
        <v>340</v>
      </c>
      <c r="D25" s="113" t="s">
        <v>201</v>
      </c>
      <c r="E25" s="219" t="s">
        <v>272</v>
      </c>
      <c r="F25" s="114" t="s">
        <v>191</v>
      </c>
      <c r="G25" s="115">
        <v>45709</v>
      </c>
      <c r="H25" s="116">
        <v>0</v>
      </c>
      <c r="I25" s="117">
        <f>SUM(G25:H25)</f>
        <v>45709</v>
      </c>
      <c r="J25" s="118">
        <f>-($J$23*I25)</f>
        <v>0</v>
      </c>
      <c r="K25" s="116">
        <v>2760</v>
      </c>
      <c r="L25" s="117">
        <f>SUM(I25:K25)</f>
        <v>48469</v>
      </c>
      <c r="M25" s="119">
        <f>-$M$23*L25</f>
        <v>0</v>
      </c>
      <c r="N25" s="121">
        <f>SUM(L25:M25)</f>
        <v>48469</v>
      </c>
      <c r="O25" s="141">
        <f>$O$23*N25-0.01</f>
        <v>3732.1029999999996</v>
      </c>
      <c r="P25" s="120">
        <f>SUM(N25:O25)</f>
        <v>52201.103000000003</v>
      </c>
      <c r="Q25" s="75"/>
      <c r="R25" s="75"/>
    </row>
    <row r="26" spans="1:18" s="77" customFormat="1" ht="12.75">
      <c r="A26" s="463"/>
      <c r="B26" s="464"/>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c r="B27" s="464"/>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c r="B28" s="464"/>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c r="B29" s="464"/>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45709</v>
      </c>
      <c r="H31" s="132">
        <f t="shared" si="0"/>
        <v>0</v>
      </c>
      <c r="I31" s="133">
        <f t="shared" si="0"/>
        <v>45709</v>
      </c>
      <c r="J31" s="134">
        <f t="shared" si="0"/>
        <v>0</v>
      </c>
      <c r="K31" s="132">
        <f t="shared" si="0"/>
        <v>2760</v>
      </c>
      <c r="L31" s="133">
        <f t="shared" si="0"/>
        <v>48469</v>
      </c>
      <c r="M31" s="135">
        <f t="shared" si="0"/>
        <v>0</v>
      </c>
      <c r="N31" s="139">
        <f t="shared" si="0"/>
        <v>48469</v>
      </c>
      <c r="O31" s="136">
        <f>SUM(O25:O30)</f>
        <v>3732.1029999999996</v>
      </c>
      <c r="P31" s="137">
        <f>SUM(P25:P30)</f>
        <v>52201.103000000003</v>
      </c>
      <c r="Q31" s="15"/>
      <c r="R31" s="15"/>
    </row>
    <row r="32" spans="1:18" s="41" customFormat="1" ht="13.5" thickBot="1">
      <c r="C32" s="294"/>
      <c r="E32" s="295"/>
      <c r="F32" s="296"/>
      <c r="G32" s="297"/>
      <c r="H32" s="297"/>
      <c r="I32" s="298"/>
      <c r="J32" s="297"/>
      <c r="K32" s="297"/>
      <c r="L32" s="298"/>
      <c r="M32" s="37" t="s">
        <v>295</v>
      </c>
      <c r="N32" s="298"/>
      <c r="O32" s="297"/>
      <c r="P32" s="299"/>
      <c r="Q32" s="15"/>
      <c r="R32" s="15"/>
    </row>
    <row r="33" spans="1:18" s="41" customFormat="1" ht="13.5" thickBot="1">
      <c r="C33" s="294"/>
      <c r="E33" s="295"/>
      <c r="F33" s="296"/>
      <c r="G33" s="297"/>
      <c r="H33" s="297"/>
      <c r="I33" s="298"/>
      <c r="J33" s="297"/>
      <c r="K33" s="297"/>
      <c r="L33" s="298"/>
      <c r="M33" s="41" t="s">
        <v>294</v>
      </c>
      <c r="N33" s="298"/>
      <c r="O33" s="297"/>
      <c r="P33" s="137">
        <f>SUM(P31:P32)</f>
        <v>52201.103000000003</v>
      </c>
      <c r="Q33" s="15"/>
      <c r="R33" s="15"/>
    </row>
    <row r="34" spans="1:18" s="144" customFormat="1" ht="18.75" customHeight="1">
      <c r="C34" s="151"/>
      <c r="E34" s="152"/>
      <c r="F34" s="153"/>
      <c r="G34" s="154"/>
      <c r="H34" s="154"/>
      <c r="I34" s="154"/>
      <c r="J34" s="154"/>
      <c r="K34" s="154"/>
      <c r="L34" s="154"/>
      <c r="M34" s="155" t="s">
        <v>247</v>
      </c>
      <c r="N34" s="154"/>
      <c r="O34" s="154"/>
      <c r="P34" s="154">
        <f>L31*(1+$O$23)</f>
        <v>52201.112999999998</v>
      </c>
    </row>
    <row r="35" spans="1:18" ht="10.5" customHeight="1">
      <c r="M35" s="108"/>
    </row>
    <row r="36" spans="1:18" ht="28.5" customHeight="1">
      <c r="A36" s="145" t="s">
        <v>149</v>
      </c>
      <c r="B36" s="469"/>
      <c r="C36" s="470"/>
      <c r="D36" s="470"/>
      <c r="E36" s="470"/>
      <c r="F36" s="470"/>
      <c r="G36" s="470"/>
      <c r="H36" s="470"/>
      <c r="I36" s="470"/>
      <c r="J36" s="470"/>
      <c r="K36" s="470"/>
      <c r="L36" s="470"/>
      <c r="M36" s="470"/>
      <c r="N36" s="470"/>
      <c r="O36" s="470"/>
      <c r="P36" s="470"/>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52201.103000000003</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0" t="s">
        <v>343</v>
      </c>
      <c r="B43" s="481"/>
      <c r="C43" s="482"/>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83" t="s">
        <v>344</v>
      </c>
      <c r="B44" s="484"/>
      <c r="C44" s="485"/>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43685</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08</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8</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5">
        <v>43418</v>
      </c>
      <c r="E69" s="435"/>
      <c r="F69" s="436" t="str">
        <f>H1</f>
        <v>090069/2000003</v>
      </c>
      <c r="G69" s="436"/>
      <c r="H69" s="437"/>
      <c r="I69" s="438"/>
      <c r="J69" s="439"/>
      <c r="K69" s="440"/>
      <c r="L69" s="441">
        <v>3509517.75</v>
      </c>
      <c r="M69" s="442"/>
      <c r="N69" s="181">
        <v>7.6999999999999999E-2</v>
      </c>
      <c r="O69" s="434">
        <f>IF(L69&lt;&gt;"",ROUND((1*L69*(1+N69))*20,0)/20,"")</f>
        <v>3779750.6</v>
      </c>
      <c r="P69" s="434"/>
    </row>
    <row r="70" spans="1:16" ht="12.75">
      <c r="A70" s="427" t="s">
        <v>239</v>
      </c>
      <c r="B70" s="428"/>
      <c r="C70" s="428"/>
      <c r="D70" s="429"/>
      <c r="E70" s="430"/>
      <c r="F70" s="431"/>
      <c r="G70" s="431"/>
      <c r="H70" s="429"/>
      <c r="I70" s="430"/>
      <c r="J70" s="432"/>
      <c r="K70" s="433"/>
      <c r="L70" s="395"/>
      <c r="M70" s="396"/>
      <c r="N70" s="182">
        <v>7.6999999999999999E-2</v>
      </c>
      <c r="O70" s="397" t="str">
        <f>IF(L70&lt;&gt;"",ROUND((1*L70*(1+N70))*20,0)/20,"")</f>
        <v/>
      </c>
      <c r="P70" s="397"/>
    </row>
    <row r="71" spans="1:16" ht="12.75">
      <c r="A71" s="427" t="s">
        <v>240</v>
      </c>
      <c r="B71" s="428"/>
      <c r="C71" s="428"/>
      <c r="D71" s="429"/>
      <c r="E71" s="430"/>
      <c r="F71" s="431"/>
      <c r="G71" s="431"/>
      <c r="H71" s="429"/>
      <c r="I71" s="430"/>
      <c r="J71" s="432"/>
      <c r="K71" s="433"/>
      <c r="L71" s="395"/>
      <c r="M71" s="396"/>
      <c r="N71" s="182"/>
      <c r="O71" s="397" t="str">
        <f>IF(L71&lt;&gt;"",ROUND((1*L71*(1+N71))*20,0)/20,"")</f>
        <v/>
      </c>
      <c r="P71" s="397"/>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3509517.75</v>
      </c>
      <c r="M73" s="392"/>
      <c r="N73" s="185"/>
      <c r="O73" s="391">
        <f>SUM(O69:P72)</f>
        <v>3779750.6</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393" t="s">
        <v>135</v>
      </c>
      <c r="K80" s="394"/>
      <c r="L80" s="395">
        <v>9902.5</v>
      </c>
      <c r="M80" s="396"/>
      <c r="N80" s="182">
        <v>7.6999999999999999E-2</v>
      </c>
      <c r="O80" s="397">
        <f>IF(L80&lt;&gt;"",L80*(1+N80),"")+0.01</f>
        <v>10665.002500000001</v>
      </c>
      <c r="P80" s="397"/>
    </row>
    <row r="81" spans="1:16" ht="12.75">
      <c r="A81" s="327" t="s">
        <v>217</v>
      </c>
      <c r="B81" s="265"/>
      <c r="C81" s="279">
        <v>43518</v>
      </c>
      <c r="D81" s="265"/>
      <c r="E81" s="270"/>
      <c r="F81" s="329" t="s">
        <v>27</v>
      </c>
      <c r="G81" s="328" t="s">
        <v>217</v>
      </c>
      <c r="H81" s="311">
        <v>43405</v>
      </c>
      <c r="I81" s="312">
        <v>43465</v>
      </c>
      <c r="J81" s="398" t="s">
        <v>135</v>
      </c>
      <c r="K81" s="394"/>
      <c r="L81" s="395">
        <v>42219.75</v>
      </c>
      <c r="M81" s="396"/>
      <c r="N81" s="182">
        <v>7.6999999999999999E-2</v>
      </c>
      <c r="O81" s="397">
        <f>IF(L81&lt;&gt;"",L81*(1+N81),"")-0.02</f>
        <v>45470.650750000001</v>
      </c>
      <c r="P81" s="397"/>
    </row>
    <row r="82" spans="1:16" ht="12.75">
      <c r="A82" s="327" t="s">
        <v>217</v>
      </c>
      <c r="B82" s="265"/>
      <c r="C82" s="279">
        <v>43518</v>
      </c>
      <c r="D82" s="265"/>
      <c r="E82" s="270"/>
      <c r="F82" s="329" t="s">
        <v>27</v>
      </c>
      <c r="G82" s="328" t="s">
        <v>217</v>
      </c>
      <c r="H82" s="311">
        <v>43405</v>
      </c>
      <c r="I82" s="312">
        <v>43465</v>
      </c>
      <c r="J82" s="393" t="s">
        <v>147</v>
      </c>
      <c r="K82" s="394"/>
      <c r="L82" s="395">
        <v>1500</v>
      </c>
      <c r="M82" s="396"/>
      <c r="N82" s="182">
        <v>7.6999999999999999E-2</v>
      </c>
      <c r="O82" s="397">
        <f t="shared" ref="O82:O93" si="1">IF(L82&lt;&gt;"",L82*(1+N82),"")</f>
        <v>1615.5</v>
      </c>
      <c r="P82" s="397"/>
    </row>
    <row r="83" spans="1:16" ht="12.75">
      <c r="A83" s="327" t="s">
        <v>257</v>
      </c>
      <c r="B83" s="265"/>
      <c r="C83" s="279">
        <v>43578</v>
      </c>
      <c r="D83" s="265"/>
      <c r="E83" s="270"/>
      <c r="F83" s="329" t="s">
        <v>27</v>
      </c>
      <c r="G83" s="328" t="s">
        <v>257</v>
      </c>
      <c r="H83" s="311">
        <v>43466</v>
      </c>
      <c r="I83" s="312">
        <v>43496</v>
      </c>
      <c r="J83" s="398" t="s">
        <v>135</v>
      </c>
      <c r="K83" s="394"/>
      <c r="L83" s="395">
        <v>17490.25</v>
      </c>
      <c r="M83" s="396"/>
      <c r="N83" s="182">
        <v>7.6999999999999999E-2</v>
      </c>
      <c r="O83" s="397">
        <f t="shared" si="1"/>
        <v>18836.999250000001</v>
      </c>
      <c r="P83" s="397"/>
    </row>
    <row r="84" spans="1:16" ht="12.75">
      <c r="A84" s="327" t="s">
        <v>258</v>
      </c>
      <c r="B84" s="265"/>
      <c r="C84" s="279">
        <v>43587</v>
      </c>
      <c r="D84" s="265"/>
      <c r="E84" s="270"/>
      <c r="F84" s="329" t="s">
        <v>27</v>
      </c>
      <c r="G84" s="328" t="s">
        <v>258</v>
      </c>
      <c r="H84" s="311">
        <v>43497</v>
      </c>
      <c r="I84" s="312">
        <v>43524</v>
      </c>
      <c r="J84" s="398" t="s">
        <v>135</v>
      </c>
      <c r="K84" s="394"/>
      <c r="L84" s="395">
        <v>38879.1</v>
      </c>
      <c r="M84" s="396"/>
      <c r="N84" s="182">
        <v>7.6999999999999999E-2</v>
      </c>
      <c r="O84" s="397">
        <f>IF(L84&lt;&gt;"",L84*(1+N84),"")+0.01</f>
        <v>41872.8007</v>
      </c>
      <c r="P84" s="397"/>
    </row>
    <row r="85" spans="1:16" ht="12.75">
      <c r="A85" s="327" t="s">
        <v>259</v>
      </c>
      <c r="B85" s="265"/>
      <c r="C85" s="279">
        <v>43588</v>
      </c>
      <c r="D85" s="265"/>
      <c r="E85" s="270"/>
      <c r="F85" s="329" t="s">
        <v>27</v>
      </c>
      <c r="G85" s="328" t="s">
        <v>259</v>
      </c>
      <c r="H85" s="311">
        <v>43525</v>
      </c>
      <c r="I85" s="312">
        <v>43555</v>
      </c>
      <c r="J85" s="398" t="s">
        <v>135</v>
      </c>
      <c r="K85" s="394"/>
      <c r="L85" s="395">
        <v>40738</v>
      </c>
      <c r="M85" s="396"/>
      <c r="N85" s="182">
        <v>7.6999999999999999E-2</v>
      </c>
      <c r="O85" s="397">
        <f>IF(L85&lt;&gt;"",L85*(1+N85),"")+0.02</f>
        <v>43874.845999999998</v>
      </c>
      <c r="P85" s="397"/>
    </row>
    <row r="86" spans="1:16" ht="12.75">
      <c r="A86" s="327" t="s">
        <v>354</v>
      </c>
      <c r="B86" s="265"/>
      <c r="C86" s="279">
        <v>43620</v>
      </c>
      <c r="D86" s="265"/>
      <c r="E86" s="270"/>
      <c r="F86" s="329" t="s">
        <v>27</v>
      </c>
      <c r="G86" s="328" t="s">
        <v>354</v>
      </c>
      <c r="H86" s="311">
        <v>43556</v>
      </c>
      <c r="I86" s="312">
        <v>43585</v>
      </c>
      <c r="J86" s="398" t="s">
        <v>135</v>
      </c>
      <c r="K86" s="394"/>
      <c r="L86" s="395">
        <v>73924.25</v>
      </c>
      <c r="M86" s="396"/>
      <c r="N86" s="182">
        <v>7.6999999999999999E-2</v>
      </c>
      <c r="O86" s="397">
        <f>IF(L86&lt;&gt;"",L86*(1+N86),"")-0.02</f>
        <v>79616.397249999995</v>
      </c>
      <c r="P86" s="397"/>
    </row>
    <row r="87" spans="1:16" ht="12.75">
      <c r="A87" s="327" t="s">
        <v>355</v>
      </c>
      <c r="B87" s="265"/>
      <c r="C87" s="279">
        <v>43630</v>
      </c>
      <c r="D87" s="265"/>
      <c r="E87" s="270"/>
      <c r="F87" s="329" t="s">
        <v>27</v>
      </c>
      <c r="G87" s="328" t="s">
        <v>355</v>
      </c>
      <c r="H87" s="311">
        <v>43586</v>
      </c>
      <c r="I87" s="312">
        <v>43616</v>
      </c>
      <c r="J87" s="398" t="s">
        <v>135</v>
      </c>
      <c r="K87" s="394"/>
      <c r="L87" s="395">
        <v>69403.75</v>
      </c>
      <c r="M87" s="396"/>
      <c r="N87" s="182">
        <v>7.6999999999999999E-2</v>
      </c>
      <c r="O87" s="397">
        <f>IF(L87&lt;&gt;"",L87*(1+N87),"")+0.01</f>
        <v>74747.84874999999</v>
      </c>
      <c r="P87" s="397"/>
    </row>
    <row r="88" spans="1:16" ht="12.75">
      <c r="A88" s="327" t="s">
        <v>356</v>
      </c>
      <c r="B88" s="265"/>
      <c r="C88" s="279">
        <v>43685</v>
      </c>
      <c r="D88" s="265"/>
      <c r="E88" s="270"/>
      <c r="F88" s="329" t="s">
        <v>27</v>
      </c>
      <c r="G88" s="328" t="s">
        <v>356</v>
      </c>
      <c r="H88" s="311">
        <v>43617</v>
      </c>
      <c r="I88" s="312">
        <v>43646</v>
      </c>
      <c r="J88" s="398" t="s">
        <v>135</v>
      </c>
      <c r="K88" s="394"/>
      <c r="L88" s="395">
        <v>48469</v>
      </c>
      <c r="M88" s="396"/>
      <c r="N88" s="182">
        <v>7.6999999999999999E-2</v>
      </c>
      <c r="O88" s="397">
        <f>IF(L88&lt;&gt;"",L88*(1+N88),"")-0.01</f>
        <v>52201.102999999996</v>
      </c>
      <c r="P88" s="397"/>
    </row>
    <row r="89" spans="1:16" ht="12.75">
      <c r="A89" s="272"/>
      <c r="B89" s="265"/>
      <c r="C89" s="279"/>
      <c r="D89" s="265"/>
      <c r="E89" s="270"/>
      <c r="F89" s="303"/>
      <c r="G89" s="308"/>
      <c r="H89" s="311"/>
      <c r="I89" s="312"/>
      <c r="J89" s="393"/>
      <c r="K89" s="394"/>
      <c r="L89" s="395"/>
      <c r="M89" s="396"/>
      <c r="N89" s="182">
        <v>7.6999999999999999E-2</v>
      </c>
      <c r="O89" s="397" t="str">
        <f t="shared" si="1"/>
        <v/>
      </c>
      <c r="P89" s="397"/>
    </row>
    <row r="90" spans="1:16" ht="12.75">
      <c r="A90" s="272"/>
      <c r="B90" s="265"/>
      <c r="C90" s="279"/>
      <c r="D90" s="265"/>
      <c r="E90" s="270"/>
      <c r="F90" s="303"/>
      <c r="G90" s="308"/>
      <c r="H90" s="311"/>
      <c r="I90" s="312"/>
      <c r="J90" s="393"/>
      <c r="K90" s="394"/>
      <c r="L90" s="395"/>
      <c r="M90" s="396"/>
      <c r="N90" s="182">
        <v>7.6999999999999999E-2</v>
      </c>
      <c r="O90" s="397" t="str">
        <f t="shared" si="1"/>
        <v/>
      </c>
      <c r="P90" s="397"/>
    </row>
    <row r="91" spans="1:16" ht="12.75">
      <c r="A91" s="272"/>
      <c r="B91" s="265"/>
      <c r="C91" s="279"/>
      <c r="D91" s="265"/>
      <c r="E91" s="270"/>
      <c r="F91" s="303"/>
      <c r="G91" s="308"/>
      <c r="H91" s="311"/>
      <c r="I91" s="312"/>
      <c r="J91" s="393"/>
      <c r="K91" s="394"/>
      <c r="L91" s="395"/>
      <c r="M91" s="396"/>
      <c r="N91" s="182">
        <v>7.6999999999999999E-2</v>
      </c>
      <c r="O91" s="397" t="str">
        <f t="shared" si="1"/>
        <v/>
      </c>
      <c r="P91" s="397"/>
    </row>
    <row r="92" spans="1:16" ht="12.75">
      <c r="A92" s="272"/>
      <c r="B92" s="265"/>
      <c r="C92" s="279"/>
      <c r="D92" s="265"/>
      <c r="E92" s="270"/>
      <c r="F92" s="303"/>
      <c r="G92" s="308"/>
      <c r="H92" s="311"/>
      <c r="I92" s="312"/>
      <c r="J92" s="393"/>
      <c r="K92" s="394"/>
      <c r="L92" s="395"/>
      <c r="M92" s="396"/>
      <c r="N92" s="182">
        <v>7.6999999999999999E-2</v>
      </c>
      <c r="O92" s="397" t="str">
        <f t="shared" si="1"/>
        <v/>
      </c>
      <c r="P92" s="397"/>
    </row>
    <row r="93" spans="1:16" ht="12.75">
      <c r="A93" s="272"/>
      <c r="B93" s="265"/>
      <c r="C93" s="279"/>
      <c r="D93" s="265"/>
      <c r="E93" s="270"/>
      <c r="F93" s="303"/>
      <c r="G93" s="308"/>
      <c r="H93" s="311"/>
      <c r="I93" s="312"/>
      <c r="J93" s="393"/>
      <c r="K93" s="394"/>
      <c r="L93" s="395"/>
      <c r="M93" s="396"/>
      <c r="N93" s="182">
        <v>7.6999999999999999E-2</v>
      </c>
      <c r="O93" s="397" t="str">
        <f t="shared" si="1"/>
        <v/>
      </c>
      <c r="P93" s="397"/>
    </row>
    <row r="94" spans="1:16" ht="12.75">
      <c r="A94" s="273"/>
      <c r="B94" s="265"/>
      <c r="C94" s="285"/>
      <c r="D94" s="265"/>
      <c r="E94" s="269"/>
      <c r="F94" s="307" t="s">
        <v>2</v>
      </c>
      <c r="G94" s="308"/>
      <c r="H94" s="311"/>
      <c r="I94" s="313"/>
      <c r="J94" s="393"/>
      <c r="K94" s="394"/>
      <c r="L94" s="395"/>
      <c r="M94" s="396"/>
      <c r="N94" s="182">
        <v>7.6999999999999999E-2</v>
      </c>
      <c r="O94" s="397" t="str">
        <f>IF(L94&lt;&gt;"",L94*(1+N94),"")</f>
        <v/>
      </c>
      <c r="P94" s="397"/>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DL'!B5,L80:M95)+L97</f>
        <v>342526.6</v>
      </c>
      <c r="M96" s="392"/>
      <c r="N96" s="185"/>
      <c r="O96" s="391">
        <f>-SUMIF(J80:K95,'Dropdowns DL'!B5,O80:P95)+O97</f>
        <v>368901.1482</v>
      </c>
      <c r="P96" s="391"/>
    </row>
    <row r="97" spans="1:16" s="42" customFormat="1" ht="12.75">
      <c r="A97" s="26" t="s">
        <v>182</v>
      </c>
      <c r="B97" s="63"/>
      <c r="C97" s="63"/>
      <c r="D97" s="236"/>
      <c r="E97" s="236"/>
      <c r="F97" s="236"/>
      <c r="G97" s="236"/>
      <c r="H97" s="236"/>
      <c r="I97" s="236"/>
      <c r="J97" s="236"/>
      <c r="K97" s="237"/>
      <c r="L97" s="361">
        <f>SUM(L80:M95)</f>
        <v>342526.6</v>
      </c>
      <c r="M97" s="362"/>
      <c r="N97" s="186"/>
      <c r="O97" s="361">
        <f>SUM(O80:P95)</f>
        <v>368901.1482</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341026.6</v>
      </c>
      <c r="M99" s="362"/>
      <c r="N99" s="183"/>
      <c r="O99" s="361">
        <f>SUMIF(J80:K95,'Dropdowns DL'!B4,O80:P95)</f>
        <v>367285.6482</v>
      </c>
      <c r="P99" s="363"/>
    </row>
    <row r="100" spans="1:16" ht="12.75">
      <c r="A100" s="44"/>
      <c r="J100" s="42" t="s">
        <v>278</v>
      </c>
      <c r="K100" s="17"/>
      <c r="L100" s="361">
        <f>SUMIF(J80:K95,'Dropdowns DL'!B6,L80:M95)</f>
        <v>1500</v>
      </c>
      <c r="M100" s="362"/>
      <c r="N100" s="183"/>
      <c r="O100" s="361">
        <f>SUMIF(J80:K95,'Dropdowns DL'!B6,O80:P95)</f>
        <v>1615.5</v>
      </c>
      <c r="P100" s="363"/>
    </row>
    <row r="101" spans="1:16" ht="12.75">
      <c r="A101" s="44"/>
      <c r="J101" s="42" t="s">
        <v>193</v>
      </c>
      <c r="K101" s="17"/>
      <c r="L101" s="361">
        <f>SUMIF(J80:K95,'Dropdowns DL'!B5,L80:M95)</f>
        <v>0</v>
      </c>
      <c r="M101" s="362"/>
      <c r="N101" s="183"/>
      <c r="O101" s="361">
        <f>SUMIF(J80:K95,'Dropdowns DL'!B5,O80:P95)</f>
        <v>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3509517.75</v>
      </c>
      <c r="E109" s="351"/>
      <c r="F109" s="352">
        <f>O73</f>
        <v>3779750.6</v>
      </c>
      <c r="G109" s="353"/>
      <c r="H109" s="91"/>
      <c r="I109" s="374"/>
      <c r="J109" s="375"/>
      <c r="K109" s="381"/>
      <c r="L109" s="382"/>
      <c r="M109" s="382"/>
      <c r="N109" s="382"/>
      <c r="O109" s="382"/>
      <c r="P109" s="383"/>
    </row>
    <row r="110" spans="1:16" ht="12.75">
      <c r="A110" s="354" t="s">
        <v>181</v>
      </c>
      <c r="B110" s="355"/>
      <c r="C110" s="356"/>
      <c r="D110" s="357">
        <f>L96</f>
        <v>342526.6</v>
      </c>
      <c r="E110" s="358"/>
      <c r="F110" s="359">
        <f>O96</f>
        <v>368901.1482</v>
      </c>
      <c r="G110" s="360"/>
      <c r="H110" s="91"/>
      <c r="I110" s="374"/>
      <c r="J110" s="375"/>
      <c r="K110" s="381"/>
      <c r="L110" s="382"/>
      <c r="M110" s="382"/>
      <c r="N110" s="382"/>
      <c r="O110" s="382"/>
      <c r="P110" s="383"/>
    </row>
    <row r="111" spans="1:16" ht="12" customHeight="1">
      <c r="A111" s="330" t="s">
        <v>178</v>
      </c>
      <c r="B111" s="331"/>
      <c r="C111" s="332"/>
      <c r="D111" s="336">
        <f>D109-D110</f>
        <v>3166991.15</v>
      </c>
      <c r="E111" s="337"/>
      <c r="F111" s="340">
        <f>F109-F110</f>
        <v>3410849.4517999999</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9.7599335407264995E-2</v>
      </c>
      <c r="E113" s="348"/>
      <c r="F113" s="347">
        <f>IF(D110&lt;&gt;0,F110/F109,0)</f>
        <v>9.7599335839777368E-2</v>
      </c>
      <c r="G113" s="349"/>
      <c r="H113" s="93"/>
      <c r="I113" s="376"/>
      <c r="J113" s="377"/>
      <c r="K113" s="384"/>
      <c r="L113" s="385"/>
      <c r="M113" s="385"/>
      <c r="N113" s="385"/>
      <c r="O113" s="385"/>
      <c r="P113" s="386"/>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J81:K81"/>
    <mergeCell ref="L81:M81"/>
    <mergeCell ref="O81:P81"/>
    <mergeCell ref="J82:K82"/>
    <mergeCell ref="L82:M82"/>
    <mergeCell ref="O82:P82"/>
    <mergeCell ref="D79:E79"/>
    <mergeCell ref="F79:G79"/>
    <mergeCell ref="J79:K79"/>
    <mergeCell ref="J80:K80"/>
    <mergeCell ref="L80:M80"/>
    <mergeCell ref="O80:P80"/>
    <mergeCell ref="J85:K85"/>
    <mergeCell ref="L85:M85"/>
    <mergeCell ref="O85:P85"/>
    <mergeCell ref="J86:K86"/>
    <mergeCell ref="L86:M86"/>
    <mergeCell ref="O86:P86"/>
    <mergeCell ref="J83:K83"/>
    <mergeCell ref="L83:M83"/>
    <mergeCell ref="O83:P83"/>
    <mergeCell ref="J84:K84"/>
    <mergeCell ref="L84:M84"/>
    <mergeCell ref="O84:P84"/>
    <mergeCell ref="J89:K89"/>
    <mergeCell ref="L89:M89"/>
    <mergeCell ref="O89:P89"/>
    <mergeCell ref="J90:K90"/>
    <mergeCell ref="L90:M90"/>
    <mergeCell ref="O90:P90"/>
    <mergeCell ref="J87:K87"/>
    <mergeCell ref="L87:M87"/>
    <mergeCell ref="O87:P87"/>
    <mergeCell ref="J88:K88"/>
    <mergeCell ref="L88:M88"/>
    <mergeCell ref="O88:P88"/>
    <mergeCell ref="J93:K93"/>
    <mergeCell ref="L93:M93"/>
    <mergeCell ref="O93:P93"/>
    <mergeCell ref="J94:K94"/>
    <mergeCell ref="L94:M94"/>
    <mergeCell ref="O94:P94"/>
    <mergeCell ref="J91:K91"/>
    <mergeCell ref="L91:M91"/>
    <mergeCell ref="O91:P91"/>
    <mergeCell ref="J92:K92"/>
    <mergeCell ref="L92:M92"/>
    <mergeCell ref="O92:P92"/>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79"/>
      <c r="I1" s="479"/>
      <c r="J1" s="149"/>
      <c r="K1" s="189"/>
      <c r="L1" s="166" t="s">
        <v>154</v>
      </c>
      <c r="M1" s="190"/>
      <c r="N1" s="105"/>
      <c r="O1" s="148"/>
      <c r="P1" s="150"/>
    </row>
    <row r="2" spans="1:16" s="14" customFormat="1" ht="12.75">
      <c r="A2" s="16" t="s">
        <v>12</v>
      </c>
      <c r="C2" s="491" t="str">
        <f>'RDB Dienstleistungen'!C2:E2</f>
        <v>EP RHE FRI</v>
      </c>
      <c r="D2" s="491"/>
      <c r="E2" s="492"/>
      <c r="F2" s="16" t="s">
        <v>327</v>
      </c>
      <c r="H2" s="473"/>
      <c r="I2" s="473"/>
      <c r="J2" s="67" t="s">
        <v>195</v>
      </c>
      <c r="K2" s="193"/>
      <c r="L2" s="16" t="s">
        <v>13</v>
      </c>
      <c r="N2" s="159"/>
      <c r="P2" s="18"/>
    </row>
    <row r="3" spans="1:16" s="14" customFormat="1" ht="12.75">
      <c r="A3" s="16" t="s">
        <v>158</v>
      </c>
      <c r="C3" s="474" t="str">
        <f>'RDB Dienstleistungen'!C3:E3</f>
        <v>N3 EP Rheinfelden - Frick und Einzelmassnahmen</v>
      </c>
      <c r="D3" s="474"/>
      <c r="E3" s="475"/>
      <c r="F3" s="16" t="s">
        <v>159</v>
      </c>
      <c r="H3" s="461"/>
      <c r="I3" s="461"/>
      <c r="J3" s="461"/>
      <c r="K3" s="476"/>
      <c r="L3" s="16" t="s">
        <v>166</v>
      </c>
      <c r="N3" s="194"/>
      <c r="O3" s="194"/>
      <c r="P3" s="94"/>
    </row>
    <row r="4" spans="1:16" s="14" customFormat="1" ht="12.75">
      <c r="A4" s="16" t="s">
        <v>184</v>
      </c>
      <c r="C4" s="474" t="str">
        <f>'RDB Dienstleistungen'!C4:E4</f>
        <v>FUP.2</v>
      </c>
      <c r="D4" s="474"/>
      <c r="E4" s="475"/>
      <c r="F4" s="20" t="s">
        <v>165</v>
      </c>
      <c r="H4" s="461" t="str">
        <f>'RDB Dienstleistungen'!H4:J4</f>
        <v>Beat Schädler</v>
      </c>
      <c r="I4" s="461"/>
      <c r="J4" s="461"/>
      <c r="K4" s="17"/>
      <c r="L4" s="16" t="s">
        <v>175</v>
      </c>
      <c r="N4" s="159"/>
      <c r="O4" s="19" t="s">
        <v>5</v>
      </c>
      <c r="P4" s="161"/>
    </row>
    <row r="5" spans="1:16" s="14" customFormat="1" ht="12.75">
      <c r="A5" s="25"/>
      <c r="C5" s="191"/>
      <c r="D5" s="169"/>
      <c r="E5" s="169"/>
      <c r="F5" s="25"/>
      <c r="G5" s="15" t="s">
        <v>169</v>
      </c>
      <c r="H5" s="461" t="str">
        <f>'RDB Dienstleistungen'!H5:J5</f>
        <v>061 365 22 22</v>
      </c>
      <c r="I5" s="461"/>
      <c r="J5" s="461"/>
      <c r="K5" s="17"/>
      <c r="L5" s="20" t="s">
        <v>25</v>
      </c>
      <c r="N5" s="160"/>
      <c r="O5" s="80" t="s">
        <v>179</v>
      </c>
      <c r="P5" s="162"/>
    </row>
    <row r="6" spans="1:16" s="14" customFormat="1" ht="12.75">
      <c r="A6" s="16" t="s">
        <v>7</v>
      </c>
      <c r="C6" s="461" t="str">
        <f>'RDB Dienstleistungen'!C6:E6</f>
        <v>Nicole Schulz</v>
      </c>
      <c r="D6" s="461"/>
      <c r="E6" s="476"/>
      <c r="F6" s="25"/>
      <c r="G6" s="15" t="s">
        <v>161</v>
      </c>
      <c r="H6" s="478" t="str">
        <f>'RDB Dienstleistungen'!H6:J6</f>
        <v>b.schaedler@aebo.ch</v>
      </c>
      <c r="I6" s="478"/>
      <c r="J6" s="478"/>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5" t="s">
        <v>142</v>
      </c>
      <c r="D8" s="505"/>
      <c r="E8" s="506"/>
      <c r="F8" s="21" t="s">
        <v>162</v>
      </c>
      <c r="G8" s="29"/>
      <c r="H8" s="486" t="str">
        <f>'RDB Dienstleistungen'!H8:K8</f>
        <v>INGE EP RF BB, c/o Aegerter &amp; Bosshardt AG</v>
      </c>
      <c r="I8" s="486"/>
      <c r="J8" s="486"/>
      <c r="K8" s="487"/>
      <c r="L8" s="31" t="s">
        <v>188</v>
      </c>
      <c r="M8" s="32"/>
      <c r="N8" s="32"/>
      <c r="O8" s="32"/>
      <c r="P8" s="30"/>
    </row>
    <row r="9" spans="1:16" s="14" customFormat="1" ht="12.75">
      <c r="A9" s="25"/>
      <c r="C9" s="507"/>
      <c r="D9" s="507"/>
      <c r="E9" s="508"/>
      <c r="F9" s="25"/>
      <c r="H9" s="461" t="str">
        <f>'RDB Dienstleistungen'!H9:K9</f>
        <v>Hochstrasse 48</v>
      </c>
      <c r="I9" s="461"/>
      <c r="J9" s="461"/>
      <c r="K9" s="476"/>
      <c r="L9" s="159"/>
      <c r="M9" s="159"/>
      <c r="N9" s="66"/>
      <c r="O9" s="66"/>
      <c r="P9" s="99"/>
    </row>
    <row r="10" spans="1:16" s="14" customFormat="1" ht="12.75">
      <c r="A10" s="25"/>
      <c r="C10" s="507"/>
      <c r="D10" s="507"/>
      <c r="E10" s="508"/>
      <c r="F10" s="25"/>
      <c r="H10" s="461" t="str">
        <f>'RDB Dienstleistungen'!H10:K10</f>
        <v>4002 Basel</v>
      </c>
      <c r="I10" s="461"/>
      <c r="J10" s="461"/>
      <c r="K10" s="476"/>
      <c r="L10" s="159"/>
      <c r="M10" s="159"/>
      <c r="N10" s="66"/>
      <c r="O10" s="66"/>
      <c r="P10" s="99"/>
    </row>
    <row r="11" spans="1:16" s="14" customFormat="1" ht="12.75" customHeight="1">
      <c r="A11" s="25"/>
      <c r="C11" s="507"/>
      <c r="D11" s="507"/>
      <c r="E11" s="508"/>
      <c r="F11" s="25"/>
      <c r="H11" s="461">
        <f>'RDB Dienstleistungen'!H11:K11</f>
        <v>0</v>
      </c>
      <c r="I11" s="461"/>
      <c r="J11" s="461"/>
      <c r="K11" s="476"/>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tr">
        <f>'RDB Dienstleistungen'!H13:J13</f>
        <v>CHE-164.869.840 MWST</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tr">
        <f>'RDB Dienstleistungen'!A25:B25</f>
        <v>FUP.2</v>
      </c>
      <c r="B25" s="464"/>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3">
        <f>'RDB Dienstleistungen'!A26:B26</f>
        <v>0</v>
      </c>
      <c r="B26" s="464"/>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f>'RDB Dienstleistungen'!A27:B27</f>
        <v>0</v>
      </c>
      <c r="B27" s="464"/>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f>'RDB Dienstleistungen'!A28:B28</f>
        <v>0</v>
      </c>
      <c r="B28" s="464"/>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f>'RDB Dienstleistungen'!A29:B29</f>
        <v>0</v>
      </c>
      <c r="B29" s="464"/>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9" t="s">
        <v>334</v>
      </c>
      <c r="C36" s="470"/>
      <c r="D36" s="470"/>
      <c r="E36" s="470"/>
      <c r="F36" s="470"/>
      <c r="G36" s="470"/>
      <c r="H36" s="470"/>
      <c r="I36" s="470"/>
      <c r="J36" s="470"/>
      <c r="K36" s="470"/>
      <c r="L36" s="470"/>
      <c r="M36" s="470"/>
      <c r="N36" s="470"/>
      <c r="O36" s="470"/>
      <c r="P36" s="470"/>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1" t="s">
        <v>250</v>
      </c>
      <c r="D2" s="491"/>
      <c r="E2" s="492"/>
      <c r="F2" s="16" t="s">
        <v>327</v>
      </c>
      <c r="H2" s="473">
        <v>43101</v>
      </c>
      <c r="I2" s="473"/>
      <c r="J2" s="67" t="s">
        <v>195</v>
      </c>
      <c r="K2" s="193">
        <v>43830</v>
      </c>
      <c r="L2" s="16" t="s">
        <v>13</v>
      </c>
      <c r="N2" s="159">
        <v>43196</v>
      </c>
      <c r="P2" s="18"/>
    </row>
    <row r="3" spans="1:16" s="14" customFormat="1" ht="15.75">
      <c r="A3" s="16" t="s">
        <v>158</v>
      </c>
      <c r="C3" s="512" t="s">
        <v>218</v>
      </c>
      <c r="D3" s="512"/>
      <c r="E3" s="513"/>
      <c r="F3" s="16" t="s">
        <v>159</v>
      </c>
      <c r="H3" s="461" t="s">
        <v>219</v>
      </c>
      <c r="I3" s="461"/>
      <c r="J3" s="461"/>
      <c r="K3" s="17"/>
      <c r="L3" s="16" t="s">
        <v>166</v>
      </c>
      <c r="N3" s="194" t="s">
        <v>255</v>
      </c>
      <c r="O3" s="194"/>
      <c r="P3" s="94"/>
    </row>
    <row r="4" spans="1:16" s="14" customFormat="1" ht="12.75">
      <c r="A4" s="16" t="s">
        <v>184</v>
      </c>
      <c r="C4" s="474" t="s">
        <v>251</v>
      </c>
      <c r="D4" s="474"/>
      <c r="E4" s="475"/>
      <c r="F4" s="20" t="s">
        <v>165</v>
      </c>
      <c r="H4" s="461" t="s">
        <v>220</v>
      </c>
      <c r="I4" s="461"/>
      <c r="J4" s="461"/>
      <c r="K4" s="17"/>
      <c r="L4" s="16" t="s">
        <v>175</v>
      </c>
      <c r="N4" s="159">
        <v>43132</v>
      </c>
      <c r="O4" s="19" t="s">
        <v>5</v>
      </c>
      <c r="P4" s="161">
        <v>43190</v>
      </c>
    </row>
    <row r="5" spans="1:16" s="14" customFormat="1" ht="12.75">
      <c r="A5" s="25"/>
      <c r="C5" s="191"/>
      <c r="D5" s="169"/>
      <c r="E5" s="169"/>
      <c r="F5" s="25"/>
      <c r="G5" s="15" t="s">
        <v>169</v>
      </c>
      <c r="H5" s="461" t="s">
        <v>221</v>
      </c>
      <c r="I5" s="461"/>
      <c r="J5" s="461"/>
      <c r="K5" s="17"/>
      <c r="L5" s="20" t="s">
        <v>25</v>
      </c>
      <c r="N5" s="160" t="s">
        <v>27</v>
      </c>
      <c r="O5" s="80" t="s">
        <v>179</v>
      </c>
      <c r="P5" s="162" t="s">
        <v>259</v>
      </c>
    </row>
    <row r="6" spans="1:16" s="14" customFormat="1" ht="12.75">
      <c r="A6" s="16" t="s">
        <v>7</v>
      </c>
      <c r="C6" s="461" t="s">
        <v>221</v>
      </c>
      <c r="D6" s="461"/>
      <c r="E6" s="476"/>
      <c r="F6" s="25"/>
      <c r="G6" s="15" t="s">
        <v>161</v>
      </c>
      <c r="H6" s="478" t="s">
        <v>222</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5" t="s">
        <v>142</v>
      </c>
      <c r="D8" s="505"/>
      <c r="E8" s="506"/>
      <c r="F8" s="21" t="s">
        <v>162</v>
      </c>
      <c r="G8" s="29"/>
      <c r="H8" s="486" t="s">
        <v>274</v>
      </c>
      <c r="I8" s="486"/>
      <c r="J8" s="486"/>
      <c r="K8" s="30"/>
      <c r="L8" s="31" t="s">
        <v>188</v>
      </c>
      <c r="M8" s="32"/>
      <c r="N8" s="32"/>
      <c r="O8" s="32"/>
      <c r="P8" s="30"/>
    </row>
    <row r="9" spans="1:16" s="14" customFormat="1" ht="12.75">
      <c r="A9" s="25"/>
      <c r="C9" s="507"/>
      <c r="D9" s="507"/>
      <c r="E9" s="508"/>
      <c r="F9" s="25"/>
      <c r="H9" s="461" t="s">
        <v>223</v>
      </c>
      <c r="I9" s="461"/>
      <c r="J9" s="461"/>
      <c r="K9" s="18"/>
      <c r="L9" s="316"/>
      <c r="M9" s="317"/>
      <c r="N9" s="66"/>
      <c r="O9" s="66"/>
      <c r="P9" s="99"/>
    </row>
    <row r="10" spans="1:16" s="14" customFormat="1" ht="12.75">
      <c r="A10" s="25"/>
      <c r="C10" s="507"/>
      <c r="D10" s="507"/>
      <c r="E10" s="508"/>
      <c r="F10" s="25"/>
      <c r="H10" s="461" t="s">
        <v>224</v>
      </c>
      <c r="I10" s="461"/>
      <c r="J10" s="461"/>
      <c r="K10" s="18"/>
      <c r="L10" s="318"/>
      <c r="M10" s="317"/>
      <c r="N10" s="66"/>
      <c r="O10" s="66"/>
      <c r="P10" s="99"/>
    </row>
    <row r="11" spans="1:16" s="14" customFormat="1" ht="12.75">
      <c r="A11" s="25"/>
      <c r="C11" s="507"/>
      <c r="D11" s="507"/>
      <c r="E11" s="508"/>
      <c r="F11" s="25"/>
      <c r="H11" s="461" t="s">
        <v>225</v>
      </c>
      <c r="I11" s="461"/>
      <c r="J11" s="461"/>
      <c r="K11" s="18"/>
      <c r="L11" s="316"/>
      <c r="M11" s="319">
        <v>43200</v>
      </c>
      <c r="N11" s="66"/>
      <c r="O11" s="164">
        <v>43208</v>
      </c>
      <c r="P11" s="99"/>
    </row>
    <row r="12" spans="1:16" s="14" customFormat="1" ht="12.75">
      <c r="A12" s="25"/>
      <c r="C12" s="507"/>
      <c r="D12" s="507"/>
      <c r="E12" s="508"/>
      <c r="F12" s="25"/>
      <c r="H12" s="169"/>
      <c r="I12" s="169"/>
      <c r="J12" s="169"/>
      <c r="K12" s="18"/>
      <c r="L12" s="316"/>
      <c r="M12" s="319"/>
      <c r="N12" s="66"/>
      <c r="O12" s="164"/>
      <c r="P12" s="99"/>
    </row>
    <row r="13" spans="1:16" s="14" customFormat="1" ht="12.75">
      <c r="A13" s="25"/>
      <c r="C13" s="507"/>
      <c r="D13" s="507"/>
      <c r="E13" s="508"/>
      <c r="F13" s="16" t="s">
        <v>206</v>
      </c>
      <c r="H13" s="461" t="s">
        <v>261</v>
      </c>
      <c r="I13" s="461"/>
      <c r="J13" s="461"/>
      <c r="K13" s="18"/>
      <c r="L13" s="316"/>
      <c r="M13" s="317"/>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514" t="s">
        <v>264</v>
      </c>
      <c r="B25" s="515"/>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4" t="s">
        <v>264</v>
      </c>
      <c r="B26" s="515"/>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4" t="s">
        <v>265</v>
      </c>
      <c r="B27" s="515"/>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4" t="s">
        <v>266</v>
      </c>
      <c r="B28" s="515"/>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4" t="s">
        <v>267</v>
      </c>
      <c r="B29" s="515"/>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1" t="s">
        <v>216</v>
      </c>
      <c r="C36" s="511"/>
      <c r="D36" s="511"/>
      <c r="E36" s="511"/>
      <c r="F36" s="511"/>
      <c r="G36" s="511"/>
      <c r="H36" s="511"/>
      <c r="I36" s="511"/>
      <c r="J36" s="511"/>
      <c r="K36" s="511"/>
      <c r="L36" s="511"/>
      <c r="M36" s="511"/>
      <c r="N36" s="511"/>
      <c r="O36" s="511"/>
      <c r="P36" s="511"/>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2319638.4593336</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09" t="s">
        <v>226</v>
      </c>
      <c r="B43" s="486"/>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0" t="s">
        <v>227</v>
      </c>
      <c r="B44" s="461"/>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7">
        <f>H2</f>
        <v>43101</v>
      </c>
      <c r="E69" s="438"/>
      <c r="F69" s="436">
        <f>H1</f>
        <v>23</v>
      </c>
      <c r="G69" s="436"/>
      <c r="H69" s="437" t="s">
        <v>191</v>
      </c>
      <c r="I69" s="438"/>
      <c r="J69" s="439" t="s">
        <v>191</v>
      </c>
      <c r="K69" s="440"/>
      <c r="L69" s="441">
        <v>4950000</v>
      </c>
      <c r="M69" s="442"/>
      <c r="N69" s="181">
        <v>7.6999999999999999E-2</v>
      </c>
      <c r="O69" s="434">
        <f>IF(L69&lt;&gt;"",ROUND((1*L69*(1+N69))*20,0)/20,"")</f>
        <v>5331150</v>
      </c>
      <c r="P69" s="434"/>
    </row>
    <row r="70" spans="1:16" ht="12.75">
      <c r="A70" s="427" t="s">
        <v>239</v>
      </c>
      <c r="B70" s="428"/>
      <c r="C70" s="428"/>
      <c r="D70" s="429" t="s">
        <v>191</v>
      </c>
      <c r="E70" s="430"/>
      <c r="F70" s="431" t="s">
        <v>191</v>
      </c>
      <c r="G70" s="431"/>
      <c r="H70" s="429">
        <v>43133</v>
      </c>
      <c r="I70" s="430"/>
      <c r="J70" s="432">
        <v>1</v>
      </c>
      <c r="K70" s="433"/>
      <c r="L70" s="395">
        <v>400000</v>
      </c>
      <c r="M70" s="396"/>
      <c r="N70" s="182">
        <v>7.6999999999999999E-2</v>
      </c>
      <c r="O70" s="516">
        <f>IF(L70&lt;&gt;"",ROUND((1*L70*(1+N70))*20,0)/20,"")</f>
        <v>430800</v>
      </c>
      <c r="P70" s="516"/>
    </row>
    <row r="71" spans="1:16" ht="12.75">
      <c r="A71" s="427" t="s">
        <v>240</v>
      </c>
      <c r="B71" s="428"/>
      <c r="C71" s="428"/>
      <c r="D71" s="429" t="s">
        <v>191</v>
      </c>
      <c r="E71" s="430"/>
      <c r="F71" s="431" t="s">
        <v>191</v>
      </c>
      <c r="G71" s="431"/>
      <c r="H71" s="429"/>
      <c r="I71" s="430"/>
      <c r="J71" s="432"/>
      <c r="K71" s="433"/>
      <c r="L71" s="395"/>
      <c r="M71" s="396"/>
      <c r="N71" s="182"/>
      <c r="O71" s="516" t="str">
        <f>IF(L71&lt;&gt;"",ROUND((1*L71*(1+N71))*20,0)/20,"")</f>
        <v/>
      </c>
      <c r="P71" s="516"/>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5350000</v>
      </c>
      <c r="M73" s="392"/>
      <c r="N73" s="185"/>
      <c r="O73" s="391">
        <f>SUM(O69:P72)</f>
        <v>5761950</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7" t="s">
        <v>135</v>
      </c>
      <c r="K80" s="518"/>
      <c r="L80" s="395">
        <v>1545642.6</v>
      </c>
      <c r="M80" s="396"/>
      <c r="N80" s="182">
        <v>7.6999999999999999E-2</v>
      </c>
      <c r="O80" s="516">
        <f>IF(L80&lt;&gt;"",L80*(1+N80),"")</f>
        <v>1664657.0802</v>
      </c>
      <c r="P80" s="516"/>
    </row>
    <row r="81" spans="1:16" ht="12.75">
      <c r="A81" s="272">
        <v>3400988879</v>
      </c>
      <c r="B81" s="265"/>
      <c r="C81" s="279">
        <v>43141</v>
      </c>
      <c r="D81" s="265"/>
      <c r="E81" s="270"/>
      <c r="F81" s="307" t="s">
        <v>27</v>
      </c>
      <c r="G81" s="308" t="s">
        <v>217</v>
      </c>
      <c r="H81" s="311">
        <v>43101</v>
      </c>
      <c r="I81" s="312">
        <v>43131</v>
      </c>
      <c r="J81" s="517" t="s">
        <v>14</v>
      </c>
      <c r="K81" s="518"/>
      <c r="L81" s="395">
        <v>10000</v>
      </c>
      <c r="M81" s="396"/>
      <c r="N81" s="182">
        <v>7.6999999999999999E-2</v>
      </c>
      <c r="O81" s="516">
        <f>IF(L81&lt;&gt;"",L81*(1+N81),"")</f>
        <v>10770</v>
      </c>
      <c r="P81" s="516"/>
    </row>
    <row r="82" spans="1:16" ht="12.75">
      <c r="A82" s="272">
        <v>3400988880</v>
      </c>
      <c r="B82" s="265"/>
      <c r="C82" s="279">
        <v>43141</v>
      </c>
      <c r="D82" s="265"/>
      <c r="E82" s="270"/>
      <c r="F82" s="307" t="s">
        <v>27</v>
      </c>
      <c r="G82" s="308" t="s">
        <v>257</v>
      </c>
      <c r="H82" s="311">
        <v>43101</v>
      </c>
      <c r="I82" s="312">
        <v>43131</v>
      </c>
      <c r="J82" s="517" t="s">
        <v>147</v>
      </c>
      <c r="K82" s="518"/>
      <c r="L82" s="395">
        <v>20000</v>
      </c>
      <c r="M82" s="396"/>
      <c r="N82" s="182">
        <v>7.6999999999999999E-2</v>
      </c>
      <c r="O82" s="516">
        <f>IF(L82&lt;&gt;"",L82*(1+N82),"")</f>
        <v>21540</v>
      </c>
      <c r="P82" s="516"/>
    </row>
    <row r="83" spans="1:16" ht="12.75">
      <c r="A83" s="272">
        <v>3400988881</v>
      </c>
      <c r="B83" s="265"/>
      <c r="C83" s="279">
        <v>43141</v>
      </c>
      <c r="D83" s="265"/>
      <c r="E83" s="270"/>
      <c r="F83" s="307" t="s">
        <v>27</v>
      </c>
      <c r="G83" s="308" t="s">
        <v>258</v>
      </c>
      <c r="H83" s="311">
        <v>43101</v>
      </c>
      <c r="I83" s="312">
        <v>43131</v>
      </c>
      <c r="J83" s="517" t="s">
        <v>134</v>
      </c>
      <c r="K83" s="518"/>
      <c r="L83" s="395">
        <v>-10000</v>
      </c>
      <c r="M83" s="396"/>
      <c r="N83" s="182">
        <v>7.6999999999999999E-2</v>
      </c>
      <c r="O83" s="516">
        <f>IF(L83&lt;&gt;"",L83*(1+N83),"")</f>
        <v>-10770</v>
      </c>
      <c r="P83" s="516"/>
    </row>
    <row r="84" spans="1:16" ht="12.75">
      <c r="A84" s="272">
        <v>3400988882</v>
      </c>
      <c r="B84" s="265"/>
      <c r="C84" s="279">
        <v>43196</v>
      </c>
      <c r="D84" s="265"/>
      <c r="E84" s="270"/>
      <c r="F84" s="307" t="s">
        <v>27</v>
      </c>
      <c r="G84" s="308" t="s">
        <v>259</v>
      </c>
      <c r="H84" s="311">
        <v>43132</v>
      </c>
      <c r="I84" s="312">
        <v>43190</v>
      </c>
      <c r="J84" s="517" t="s">
        <v>135</v>
      </c>
      <c r="K84" s="518"/>
      <c r="L84" s="395">
        <v>2153796.1368</v>
      </c>
      <c r="M84" s="396"/>
      <c r="N84" s="182">
        <v>7.6999999999999999E-2</v>
      </c>
      <c r="O84" s="516">
        <f>IF(L84&lt;&gt;"",L84*(1+N84),"")</f>
        <v>2319638.4393336</v>
      </c>
      <c r="P84" s="516"/>
    </row>
    <row r="85" spans="1:16" ht="12.75">
      <c r="A85" s="272"/>
      <c r="B85" s="265"/>
      <c r="C85" s="279"/>
      <c r="D85" s="265"/>
      <c r="E85" s="270"/>
      <c r="F85" s="303"/>
      <c r="G85" s="308"/>
      <c r="H85" s="311"/>
      <c r="I85" s="312"/>
      <c r="J85" s="517"/>
      <c r="K85" s="518"/>
      <c r="L85" s="395"/>
      <c r="M85" s="396"/>
      <c r="N85" s="182">
        <v>7.6999999999999999E-2</v>
      </c>
      <c r="O85" s="516" t="str">
        <f t="shared" ref="O85:O93" si="1">IF(L85&lt;&gt;"",L85*(1+N85),"")</f>
        <v/>
      </c>
      <c r="P85" s="516"/>
    </row>
    <row r="86" spans="1:16" ht="12.75">
      <c r="A86" s="272"/>
      <c r="B86" s="265"/>
      <c r="C86" s="279"/>
      <c r="D86" s="265"/>
      <c r="E86" s="270"/>
      <c r="F86" s="303"/>
      <c r="G86" s="308"/>
      <c r="H86" s="311"/>
      <c r="I86" s="312"/>
      <c r="J86" s="517"/>
      <c r="K86" s="518"/>
      <c r="L86" s="395"/>
      <c r="M86" s="396"/>
      <c r="N86" s="182">
        <v>7.6999999999999999E-2</v>
      </c>
      <c r="O86" s="516" t="str">
        <f t="shared" si="1"/>
        <v/>
      </c>
      <c r="P86" s="516"/>
    </row>
    <row r="87" spans="1:16" ht="12.75">
      <c r="A87" s="272"/>
      <c r="B87" s="265"/>
      <c r="C87" s="279"/>
      <c r="D87" s="265"/>
      <c r="E87" s="270"/>
      <c r="F87" s="303"/>
      <c r="G87" s="308"/>
      <c r="H87" s="311"/>
      <c r="I87" s="312"/>
      <c r="J87" s="517"/>
      <c r="K87" s="518"/>
      <c r="L87" s="395"/>
      <c r="M87" s="396"/>
      <c r="N87" s="182">
        <v>7.6999999999999999E-2</v>
      </c>
      <c r="O87" s="516" t="str">
        <f t="shared" si="1"/>
        <v/>
      </c>
      <c r="P87" s="516"/>
    </row>
    <row r="88" spans="1:16" ht="12.75">
      <c r="A88" s="272"/>
      <c r="B88" s="265"/>
      <c r="C88" s="279"/>
      <c r="D88" s="265"/>
      <c r="E88" s="270"/>
      <c r="F88" s="303"/>
      <c r="G88" s="308"/>
      <c r="H88" s="311"/>
      <c r="I88" s="312"/>
      <c r="J88" s="517"/>
      <c r="K88" s="518"/>
      <c r="L88" s="395"/>
      <c r="M88" s="396"/>
      <c r="N88" s="182">
        <v>7.6999999999999999E-2</v>
      </c>
      <c r="O88" s="516" t="str">
        <f t="shared" si="1"/>
        <v/>
      </c>
      <c r="P88" s="516"/>
    </row>
    <row r="89" spans="1:16" ht="12.75">
      <c r="A89" s="272"/>
      <c r="B89" s="265"/>
      <c r="C89" s="279"/>
      <c r="D89" s="265"/>
      <c r="E89" s="270"/>
      <c r="F89" s="303"/>
      <c r="G89" s="308"/>
      <c r="H89" s="311"/>
      <c r="I89" s="312"/>
      <c r="J89" s="517"/>
      <c r="K89" s="518"/>
      <c r="L89" s="395"/>
      <c r="M89" s="396"/>
      <c r="N89" s="182">
        <v>7.6999999999999999E-2</v>
      </c>
      <c r="O89" s="516" t="str">
        <f t="shared" si="1"/>
        <v/>
      </c>
      <c r="P89" s="516"/>
    </row>
    <row r="90" spans="1:16" ht="12.75">
      <c r="A90" s="272"/>
      <c r="B90" s="265"/>
      <c r="C90" s="279"/>
      <c r="D90" s="265"/>
      <c r="E90" s="270"/>
      <c r="F90" s="303"/>
      <c r="G90" s="308"/>
      <c r="H90" s="311"/>
      <c r="I90" s="312"/>
      <c r="J90" s="517"/>
      <c r="K90" s="518"/>
      <c r="L90" s="395"/>
      <c r="M90" s="396"/>
      <c r="N90" s="182">
        <v>7.6999999999999999E-2</v>
      </c>
      <c r="O90" s="516" t="str">
        <f t="shared" si="1"/>
        <v/>
      </c>
      <c r="P90" s="516"/>
    </row>
    <row r="91" spans="1:16" ht="12.75">
      <c r="A91" s="272"/>
      <c r="B91" s="265"/>
      <c r="C91" s="279"/>
      <c r="D91" s="265"/>
      <c r="E91" s="270"/>
      <c r="F91" s="303"/>
      <c r="G91" s="308"/>
      <c r="H91" s="311"/>
      <c r="I91" s="312"/>
      <c r="J91" s="517"/>
      <c r="K91" s="518"/>
      <c r="L91" s="395"/>
      <c r="M91" s="396"/>
      <c r="N91" s="182">
        <v>7.6999999999999999E-2</v>
      </c>
      <c r="O91" s="516" t="str">
        <f t="shared" si="1"/>
        <v/>
      </c>
      <c r="P91" s="516"/>
    </row>
    <row r="92" spans="1:16" ht="12.75">
      <c r="A92" s="272"/>
      <c r="B92" s="265"/>
      <c r="C92" s="279"/>
      <c r="D92" s="265"/>
      <c r="E92" s="270"/>
      <c r="F92" s="303"/>
      <c r="G92" s="308"/>
      <c r="H92" s="311"/>
      <c r="I92" s="312"/>
      <c r="J92" s="517"/>
      <c r="K92" s="518"/>
      <c r="L92" s="395"/>
      <c r="M92" s="396"/>
      <c r="N92" s="182">
        <v>7.6999999999999999E-2</v>
      </c>
      <c r="O92" s="516" t="str">
        <f t="shared" si="1"/>
        <v/>
      </c>
      <c r="P92" s="516"/>
    </row>
    <row r="93" spans="1:16" ht="12.75">
      <c r="A93" s="272"/>
      <c r="B93" s="265"/>
      <c r="C93" s="279"/>
      <c r="D93" s="265"/>
      <c r="E93" s="270"/>
      <c r="F93" s="303"/>
      <c r="G93" s="308"/>
      <c r="H93" s="311"/>
      <c r="I93" s="312"/>
      <c r="J93" s="517"/>
      <c r="K93" s="518"/>
      <c r="L93" s="395"/>
      <c r="M93" s="396"/>
      <c r="N93" s="182">
        <v>7.6999999999999999E-2</v>
      </c>
      <c r="O93" s="516" t="str">
        <f t="shared" si="1"/>
        <v/>
      </c>
      <c r="P93" s="516"/>
    </row>
    <row r="94" spans="1:16" ht="12.75">
      <c r="A94" s="273"/>
      <c r="B94" s="265"/>
      <c r="C94" s="275"/>
      <c r="D94" s="265"/>
      <c r="E94" s="269"/>
      <c r="F94" s="307" t="s">
        <v>2</v>
      </c>
      <c r="G94" s="308"/>
      <c r="H94" s="311"/>
      <c r="I94" s="313"/>
      <c r="J94" s="517"/>
      <c r="K94" s="518"/>
      <c r="L94" s="395"/>
      <c r="M94" s="396"/>
      <c r="N94" s="182">
        <v>7.6999999999999999E-2</v>
      </c>
      <c r="O94" s="516" t="str">
        <f>IF(L94&lt;&gt;"",L94*(1+N94),"")</f>
        <v/>
      </c>
      <c r="P94" s="516"/>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Bau'!B9,L80:M95)+L97</f>
        <v>3719438.7368000001</v>
      </c>
      <c r="M96" s="392"/>
      <c r="N96" s="185"/>
      <c r="O96" s="391">
        <f>-SUMIF(J80:K95,'Dropdowns Bau'!B9,O80:P95)+O97</f>
        <v>4005835.5195335997</v>
      </c>
      <c r="P96" s="391"/>
    </row>
    <row r="97" spans="1:16" s="42" customFormat="1" ht="12.75">
      <c r="A97" s="26" t="s">
        <v>182</v>
      </c>
      <c r="B97" s="63"/>
      <c r="C97" s="63"/>
      <c r="D97" s="236"/>
      <c r="E97" s="236"/>
      <c r="F97" s="236"/>
      <c r="G97" s="236"/>
      <c r="H97" s="236"/>
      <c r="I97" s="236"/>
      <c r="J97" s="236"/>
      <c r="K97" s="237"/>
      <c r="L97" s="361">
        <f>SUM(L80:M95)</f>
        <v>3719438.7368000001</v>
      </c>
      <c r="M97" s="362"/>
      <c r="N97" s="186"/>
      <c r="O97" s="361">
        <f>SUM(O80:P95)</f>
        <v>4005835.5195335997</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3699438.7368000001</v>
      </c>
      <c r="M99" s="362"/>
      <c r="N99" s="183"/>
      <c r="O99" s="361">
        <f>SUMIF(J80:K95,'Dropdowns DL'!B4,O80:P95)</f>
        <v>3984295.5195335997</v>
      </c>
      <c r="P99" s="363"/>
    </row>
    <row r="100" spans="1:16" ht="12.75">
      <c r="A100" s="44"/>
      <c r="J100" s="42" t="s">
        <v>278</v>
      </c>
      <c r="K100" s="17"/>
      <c r="L100" s="361">
        <f>SUMIF(J80:K95,'Dropdowns DL'!B6,L80:M95)</f>
        <v>20000</v>
      </c>
      <c r="M100" s="362"/>
      <c r="N100" s="183"/>
      <c r="O100" s="361">
        <f>SUMIF(J80:K95,'Dropdowns DL'!B6,O80:P95)</f>
        <v>21540</v>
      </c>
      <c r="P100" s="363"/>
    </row>
    <row r="101" spans="1:16" ht="12.75">
      <c r="A101" s="44"/>
      <c r="J101" s="42" t="s">
        <v>193</v>
      </c>
      <c r="K101" s="17"/>
      <c r="L101" s="361">
        <f>SUMIF(J80:K95,'Dropdowns DL'!B5,L80:M95)</f>
        <v>10000</v>
      </c>
      <c r="M101" s="362"/>
      <c r="N101" s="183"/>
      <c r="O101" s="361">
        <f>SUMIF(J80:K95,'Dropdowns DL'!B5,O80:P95)</f>
        <v>10770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5350000</v>
      </c>
      <c r="E109" s="351"/>
      <c r="F109" s="352">
        <f>O73</f>
        <v>5761950</v>
      </c>
      <c r="G109" s="353"/>
      <c r="H109" s="91"/>
      <c r="I109" s="374"/>
      <c r="J109" s="375"/>
      <c r="K109" s="381"/>
      <c r="L109" s="382"/>
      <c r="M109" s="382"/>
      <c r="N109" s="382"/>
      <c r="O109" s="382"/>
      <c r="P109" s="383"/>
    </row>
    <row r="110" spans="1:16" ht="12.75">
      <c r="A110" s="354" t="s">
        <v>181</v>
      </c>
      <c r="B110" s="355"/>
      <c r="C110" s="356"/>
      <c r="D110" s="357">
        <f>L96</f>
        <v>3719438.7368000001</v>
      </c>
      <c r="E110" s="358"/>
      <c r="F110" s="359">
        <f>O96</f>
        <v>4005835.5195335997</v>
      </c>
      <c r="G110" s="360"/>
      <c r="H110" s="91"/>
      <c r="I110" s="374"/>
      <c r="J110" s="375"/>
      <c r="K110" s="381"/>
      <c r="L110" s="382"/>
      <c r="M110" s="382"/>
      <c r="N110" s="382"/>
      <c r="O110" s="382"/>
      <c r="P110" s="383"/>
    </row>
    <row r="111" spans="1:16" ht="12" customHeight="1">
      <c r="A111" s="330" t="s">
        <v>178</v>
      </c>
      <c r="B111" s="331"/>
      <c r="C111" s="332"/>
      <c r="D111" s="336">
        <f>D109-D110</f>
        <v>1630561.2631999999</v>
      </c>
      <c r="E111" s="337"/>
      <c r="F111" s="340">
        <f>F109-F110</f>
        <v>1756114.4804664003</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0.69522219379439254</v>
      </c>
      <c r="E113" s="348"/>
      <c r="F113" s="347">
        <f>IF(D110&lt;&gt;0,F110/F109,0)</f>
        <v>0.69522219379439243</v>
      </c>
      <c r="G113" s="349"/>
      <c r="H113" s="93"/>
      <c r="I113" s="376"/>
      <c r="J113" s="377"/>
      <c r="K113" s="384"/>
      <c r="L113" s="385"/>
      <c r="M113" s="385"/>
      <c r="N113" s="385"/>
      <c r="O113" s="385"/>
      <c r="P113" s="386"/>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2019-08-08T14:25:36Z</cp:lastPrinted>
  <dcterms:created xsi:type="dcterms:W3CDTF">1996-10-14T23:33:28Z</dcterms:created>
  <dcterms:modified xsi:type="dcterms:W3CDTF">2019-08-08T14:47:50Z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