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86" i="20" l="1"/>
  <c r="O25" i="20"/>
  <c r="O84" i="20" l="1"/>
  <c r="L84" i="20"/>
  <c r="O85" i="20" l="1"/>
  <c r="O83" i="20" l="1"/>
  <c r="O82" i="20"/>
  <c r="O81" i="20"/>
  <c r="O26" i="20" l="1"/>
  <c r="O69" i="20" l="1"/>
  <c r="L70" i="20"/>
  <c r="O80" i="20"/>
  <c r="L101" i="14" l="1"/>
  <c r="L100" i="14"/>
  <c r="L99" i="14"/>
  <c r="L101" i="20"/>
  <c r="L100" i="20"/>
  <c r="L99"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100"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2" i="20"/>
  <c r="L102" i="20"/>
  <c r="L97" i="20"/>
  <c r="L96" i="20" s="1"/>
  <c r="D110" i="20" s="1"/>
  <c r="O101" i="20"/>
  <c r="L73" i="20"/>
  <c r="D109" i="20" s="1"/>
  <c r="O72" i="20"/>
  <c r="O71" i="20"/>
  <c r="O70" i="20"/>
  <c r="O62" i="20"/>
  <c r="N62" i="20"/>
  <c r="I62" i="20"/>
  <c r="N61" i="20"/>
  <c r="I61" i="20"/>
  <c r="C61" i="20"/>
  <c r="N60" i="20"/>
  <c r="I60" i="20"/>
  <c r="C60" i="20"/>
  <c r="K31" i="20"/>
  <c r="H31" i="20"/>
  <c r="G31" i="20"/>
  <c r="I29" i="20"/>
  <c r="J29" i="20"/>
  <c r="I28" i="20"/>
  <c r="J28" i="20"/>
  <c r="L28" i="20" s="1"/>
  <c r="I27" i="20"/>
  <c r="J27" i="20" s="1"/>
  <c r="I26" i="20"/>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J26" i="20" l="1"/>
  <c r="L26" i="20" s="1"/>
  <c r="O73" i="20"/>
  <c r="F109" i="20" s="1"/>
  <c r="O97" i="20"/>
  <c r="O96" i="20" s="1"/>
  <c r="F110" i="20" s="1"/>
  <c r="L25" i="28"/>
  <c r="M25" i="28" s="1"/>
  <c r="J31" i="28"/>
  <c r="D26" i="28"/>
  <c r="L26" i="14"/>
  <c r="M26" i="14" s="1"/>
  <c r="O73" i="14"/>
  <c r="F109" i="14" s="1"/>
  <c r="D27" i="28"/>
  <c r="L29" i="28"/>
  <c r="M29" i="28" s="1"/>
  <c r="N29" i="28" s="1"/>
  <c r="O29" i="28" s="1"/>
  <c r="J31" i="14"/>
  <c r="D28" i="20"/>
  <c r="O99" i="14"/>
  <c r="L29" i="20"/>
  <c r="M29" i="20" s="1"/>
  <c r="O99" i="20"/>
  <c r="D113" i="20"/>
  <c r="D113" i="14"/>
  <c r="D111" i="14"/>
  <c r="N26" i="28"/>
  <c r="M28" i="20"/>
  <c r="N28" i="20"/>
  <c r="N25" i="28"/>
  <c r="N25" i="14"/>
  <c r="L27" i="14"/>
  <c r="I31" i="14"/>
  <c r="J31" i="20"/>
  <c r="E26" i="20"/>
  <c r="E28" i="20"/>
  <c r="E27" i="28"/>
  <c r="O97" i="14"/>
  <c r="O96" i="14" s="1"/>
  <c r="F110" i="14" s="1"/>
  <c r="F113" i="14" s="1"/>
  <c r="L28" i="28"/>
  <c r="N26" i="14"/>
  <c r="L27" i="20"/>
  <c r="L28" i="14"/>
  <c r="L29" i="14"/>
  <c r="D111" i="20"/>
  <c r="I31" i="28"/>
  <c r="L27" i="28"/>
  <c r="E29" i="28"/>
  <c r="L25" i="20"/>
  <c r="I31" i="20"/>
  <c r="M26" i="20" l="1"/>
  <c r="N26" i="20"/>
  <c r="N29" i="20"/>
  <c r="O29" i="20" s="1"/>
  <c r="P29" i="20" s="1"/>
  <c r="F113" i="20"/>
  <c r="F111" i="20"/>
  <c r="P29" i="28"/>
  <c r="M28" i="28"/>
  <c r="N28" i="28"/>
  <c r="O25" i="14"/>
  <c r="O28" i="20"/>
  <c r="P28" i="20" s="1"/>
  <c r="F111" i="14"/>
  <c r="M29" i="14"/>
  <c r="N29" i="14" s="1"/>
  <c r="L31" i="28"/>
  <c r="P34" i="28" s="1"/>
  <c r="M27" i="20"/>
  <c r="N27" i="20" s="1"/>
  <c r="P26" i="20"/>
  <c r="M27" i="28"/>
  <c r="M31" i="28" s="1"/>
  <c r="M28" i="14"/>
  <c r="N28" i="14" s="1"/>
  <c r="O26" i="14"/>
  <c r="P26" i="14" s="1"/>
  <c r="L31" i="14"/>
  <c r="P34" i="14" s="1"/>
  <c r="M27" i="14"/>
  <c r="O25" i="28"/>
  <c r="O26" i="28"/>
  <c r="P26" i="28" s="1"/>
  <c r="M25" i="20"/>
  <c r="L31" i="20"/>
  <c r="P34" i="20" s="1"/>
  <c r="M31" i="20" l="1"/>
  <c r="M31" i="14"/>
  <c r="N27" i="14"/>
  <c r="N31" i="14" s="1"/>
  <c r="O29" i="14"/>
  <c r="P29" i="14"/>
  <c r="O28" i="14"/>
  <c r="P28" i="14" s="1"/>
  <c r="O27" i="20"/>
  <c r="P27" i="20"/>
  <c r="N27" i="28"/>
  <c r="O28" i="28"/>
  <c r="P28" i="28" s="1"/>
  <c r="P25" i="28"/>
  <c r="P25" i="14"/>
  <c r="N25" i="20"/>
  <c r="O31" i="20" l="1"/>
  <c r="O27" i="14"/>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<sst xmlns="http://schemas.openxmlformats.org/spreadsheetml/2006/main" count="679" uniqueCount="364">
  <si>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</si>
  <si>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</si>
  <si>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</si>
  <si>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</si>
  <si>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</si>
  <si>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</si>
  <si>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</si>
  <si>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</si>
  <si>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</si>
  <si>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</si>
  <si>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</si>
  <si>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</si>
  <si>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</si>
  <si>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</si>
  <si>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</si>
  <si>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</si>
  <si>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</si>
  <si>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</si>
  <si>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</si>
  <si>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</si>
  <si>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</si>
  <si>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</si>
  <si>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</si>
  <si>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</si>
  <si>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</si>
  <si>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</si>
  <si>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</si>
  <si>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</si>
  <si>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</si>
  <si>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</si>
  <si>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</si>
  <si>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</si>
  <si>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</si>
  <si>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</si>
  <si>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</si>
  <si>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</si>
  <si>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</si>
  <si>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</si>
  <si>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</si>
  <si>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</si>
  <si>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</si>
  <si>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</si>
  <si>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</si>
  <si>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</si>
  <si>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</si>
  <si>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</si>
  <si>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</si>
  <si>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</si>
  <si>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</si>
  <si>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</si>
  <si>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</si>
  <si>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</si>
  <si>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</si>
  <si>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</si>
  <si>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</si>
  <si>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</si>
  <si>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</si>
  <si>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</si>
  <si>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</si>
  <si>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</si>
  <si>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</si>
  <si>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</si>
  <si>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</si>
  <si>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</si>
  <si>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</si>
  <si>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</si>
  <si>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</si>
  <si>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</si>
  <si>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</si>
  <si>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</si>
  <si>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</si>
  <si>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</si>
  <si>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</si>
  <si>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</si>
  <si>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</si>
  <si>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</si>
  <si>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</si>
  <si>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</si>
  <si>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</si>
  <si>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</si>
  <si>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</si>
  <si>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</si>
  <si>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</si>
  <si>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</si>
  <si>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</si>
  <si>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</si>
  <si>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</si>
  <si>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</si>
  <si>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</si>
  <si>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</si>
  <si>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</si>
  <si>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</si>
  <si>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</si>
  <si>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</si>
  <si>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</si>
  <si>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</si>
  <si>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</si>
  <si>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</si>
  <si>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</si>
  <si>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</si>
  <si>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</si>
  <si>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</si>
  <si>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</si>
  <si>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</si>
  <si>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</si>
  <si>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</si>
  <si>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</si>
  <si>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</si>
  <si>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</si>
  <si>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</si>
  <si>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</si>
  <si>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</si>
  <si>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</si>
  <si>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</si>
  <si>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</si>
  <si>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</si>
  <si>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</si>
  <si>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</si>
  <si>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</si>
  <si>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</si>
  <si>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</si>
  <si>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</si>
  <si>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</si>
  <si>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</si>
  <si>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</si>
  <si>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</si>
  <si>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</si>
  <si>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</si>
  <si>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</si>
  <si>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</si>
  <si>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</si>
  <si>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</si>
  <si>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</si>
  <si>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</si>
  <si>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</si>
  <si>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</si>
  <si>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</si>
  <si>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</si>
  <si>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</si>
  <si>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</si>
  <si>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</si>
  <si>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</si>
  <si>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</si>
  <si>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</si>
  <si>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</si>
  <si>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</si>
  <si>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</si>
  <si>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</si>
  <si>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</si>
  <si>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</si>
  <si>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</si>
  <si>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</si>
  <si>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</si>
  <si>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</si>
  <si>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</si>
  <si>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</si>
  <si>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</si>
  <si>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</si>
  <si>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</si>
  <si>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</si>
  <si>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</si>
  <si>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</si>
  <si>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</si>
  <si>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</si>
  <si>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</si>
  <si>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</si>
  <si>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</si>
  <si>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</si>
  <si>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</si>
  <si>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</si>
  <si>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</si>
  <si>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</si>
  <si>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</si>
  <si>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</si>
  <si>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</si>
  <si>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</si>
  <si>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</si>
  <si>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</si>
  <si>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</si>
  <si>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</si>
  <si>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</si>
  <si>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</si>
  <si>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</si>
  <si>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</si>
  <si>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</si>
  <si>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</si>
  <si>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</si>
  <si>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</si>
  <si>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</si>
  <si>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</si>
  <si>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</si>
  <si>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</si>
  <si>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</si>
  <si>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</si>
  <si>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</si>
  <si>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</si>
  <si>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</si>
  <si>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</si>
  <si>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</si>
  <si>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</si>
  <si>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</si>
  <si>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</si>
  <si>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</si>
  <si>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</si>
  <si>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</si>
  <si>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</si>
  <si>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</si>
  <si>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</si>
  <si>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</si>
  <si>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</si>
  <si>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</si>
  <si>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</si>
  <si>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</si>
  <si>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</si>
  <si>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</si>
  <si>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</si>
  <si>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</si>
  <si>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</si>
  <si>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</si>
  <si>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</si>
  <si>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</si>
  <si>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</si>
  <si>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</si>
  <si>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</si>
  <si>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</si>
  <si>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</si>
  <si>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</si>
  <si>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</si>
  <si>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</si>
  <si>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</si>
  <si>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</si>
  <si>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</si>
  <si>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</si>
  <si>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</si>
  <si>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</si>
  <si>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</si>
  <si>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</si>
  <si>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</si>
  <si>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</si>
  <si>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</si>
  <si>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</si>
  <si>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</si>
  <si>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</si>
  <si>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</si>
  <si>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</si>
  <si>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</si>
  <si>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</si>
  <si>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</si>
  <si>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</si>
  <si>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</si>
  <si>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</si>
  <si>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</si>
  <si>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</si>
  <si>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</si>
  <si>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</si>
  <si>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</si>
  <si>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</si>
  <si>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</si>
  <si>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</si>
  <si>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</si>
  <si>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</si>
  <si>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</si>
  <si>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</si>
  <si>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</si>
  <si>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</si>
  <si>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</si>
  <si>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</si>
  <si>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</si>
  <si>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</si>
  <si>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</si>
  <si>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</si>
  <si>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</si>
  <si>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</si>
  <si>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</si>
  <si>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</si>
  <si>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</si>
  <si>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</si>
  <si>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</si>
  <si>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</si>
  <si>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</si>
  <si>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</si>
  <si>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</si>
  <si>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</si>
  <si>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</si>
  <si>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</si>
  <si>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</si>
  <si>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</si>
  <si>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</si>
  <si>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</si>
  <si>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</si>
  <si>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</si>
  <si>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</si>
  <si>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</si>
  <si>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</si>
  <si>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</si>
  <si>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</si>
  <si>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</si>
  <si>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</si>
  <si>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</si>
  <si>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</si>
  <si>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</si>
  <si>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</si>
  <si>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</si>
  <si>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</si>
  <si>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</si>
  <si>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</si>
  <si>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</si>
  <si>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</si>
  <si>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</si>
  <si>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</si>
  <si>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</si>
  <si>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</si>
  <si>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</si>
  <si>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</si>
  <si>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</si>
  <si>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</si>
  <si>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</si>
  <si>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</si>
  <si>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</si>
  <si>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</si>
  <si>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</si>
  <si>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</si>
  <si>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</si>
  <si>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</si>
  <si>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</si>
  <si>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</si>
  <si>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</si>
  <si>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</si>
  <si>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</si>
  <si>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</si>
  <si>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</si>
  <si>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</si>
  <si>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</si>
  <si>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</si>
  <si>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</si>
  <si>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</si>
  <si>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</si>
  <si>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</si>
  <si>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</si>
  <si>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</si>
  <si>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Unterhalt</t>
  </si>
  <si>
    <t>Sni</t>
  </si>
  <si>
    <t>Klt</t>
  </si>
  <si>
    <t>Techdata AG</t>
  </si>
  <si>
    <t>Effingerstrasse 13, 3001 Bern</t>
  </si>
  <si>
    <t>090069/2000003</t>
  </si>
  <si>
    <t>PV Bau/BSA</t>
  </si>
  <si>
    <t>Beat Schädler</t>
  </si>
  <si>
    <t>061 365 22 22</t>
  </si>
  <si>
    <t>b.schaedler@aebo.ch</t>
  </si>
  <si>
    <t>INGE EP RF BB, c/o Aegerter &amp; Bosshardt AG</t>
  </si>
  <si>
    <t>Hochstrasse 48</t>
  </si>
  <si>
    <t>4002 Basel</t>
  </si>
  <si>
    <t>CHE-164.869.840 MWST</t>
  </si>
  <si>
    <t>01 - 02</t>
  </si>
  <si>
    <t>diverse</t>
  </si>
  <si>
    <t>01-02</t>
  </si>
  <si>
    <t>15</t>
  </si>
  <si>
    <t>16</t>
  </si>
  <si>
    <t>17</t>
  </si>
  <si>
    <t>03 - 14</t>
  </si>
  <si>
    <t>03-14</t>
  </si>
  <si>
    <t>18</t>
  </si>
  <si>
    <t>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</si>
</sst>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7" formatCode="&quot;Fr.&quot;\ #,##0.00;&quot;Fr.&quot;\ \-#,##0.00"/>
    <numFmt numFmtId="43" formatCode="_ * #,##0.00_ ;_ * \-#,##0.00_ ;_ * &quot;-&quot;??_ ;_ @_ "/>
    <numFmt numFmtId="164" formatCode="_(* #,##0.00_);_(* \(#,##0.00\);_(* &quot;-&quot;??_);_(@_)"/>
    <numFmt numFmtId="165" formatCode="0.0%"/>
    <numFmt numFmtId="166" formatCode="000000"/>
    <numFmt numFmtId="167" formatCode="dd/mm/yyyy;@"/>
    <numFmt numFmtId="168" formatCode="#,##0.00_ ;\-#,##0.00\ "/>
    <numFmt numFmtId="169"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4"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19">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69"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69"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6"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6"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69"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5" fontId="9" fillId="3" borderId="27" xfId="6" applyNumberFormat="1" applyFont="1" applyFill="1" applyBorder="1" applyAlignment="1" applyProtection="1">
      <alignment horizontal="center" vertical="top" wrapText="1"/>
    </xf>
    <xf numFmtId="168" fontId="9" fillId="4" borderId="28" xfId="1" applyNumberFormat="1" applyFont="1" applyFill="1" applyBorder="1" applyAlignment="1">
      <alignment vertical="top"/>
    </xf>
    <xf numFmtId="168" fontId="9" fillId="4" borderId="23" xfId="1" applyNumberFormat="1" applyFont="1" applyFill="1" applyBorder="1" applyAlignment="1">
      <alignment vertical="top"/>
    </xf>
    <xf numFmtId="168" fontId="19" fillId="0" borderId="28" xfId="1" applyNumberFormat="1" applyFont="1" applyFill="1" applyBorder="1" applyAlignment="1">
      <alignment vertical="top"/>
    </xf>
    <xf numFmtId="168" fontId="9" fillId="0" borderId="26" xfId="1" applyNumberFormat="1" applyFont="1" applyFill="1" applyBorder="1" applyAlignment="1">
      <alignment vertical="top"/>
    </xf>
    <xf numFmtId="168" fontId="9" fillId="0" borderId="25" xfId="1" applyNumberFormat="1" applyFont="1" applyFill="1" applyBorder="1" applyAlignment="1">
      <alignment vertical="top"/>
    </xf>
    <xf numFmtId="168" fontId="19" fillId="0" borderId="29" xfId="1" applyNumberFormat="1" applyFont="1" applyFill="1" applyBorder="1" applyAlignment="1">
      <alignment vertical="top"/>
    </xf>
    <xf numFmtId="168" fontId="19" fillId="0" borderId="27" xfId="1" applyNumberFormat="1" applyFont="1" applyFill="1" applyBorder="1" applyAlignment="1">
      <alignment vertical="top"/>
    </xf>
    <xf numFmtId="169"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5" fontId="9" fillId="0" borderId="32" xfId="6" applyNumberFormat="1" applyFont="1" applyBorder="1" applyAlignment="1">
      <alignment horizontal="center" vertical="top"/>
    </xf>
    <xf numFmtId="168" fontId="9" fillId="0" borderId="33" xfId="1" applyNumberFormat="1" applyFont="1" applyFill="1" applyBorder="1" applyAlignment="1">
      <alignment vertical="top"/>
    </xf>
    <xf numFmtId="168" fontId="9" fillId="0" borderId="34" xfId="1" applyNumberFormat="1" applyFont="1" applyFill="1" applyBorder="1" applyAlignment="1">
      <alignment vertical="top"/>
    </xf>
    <xf numFmtId="168" fontId="19" fillId="0" borderId="33" xfId="1" applyNumberFormat="1" applyFont="1" applyFill="1" applyBorder="1" applyAlignment="1">
      <alignment vertical="top"/>
    </xf>
    <xf numFmtId="168" fontId="9" fillId="0" borderId="31" xfId="1" applyNumberFormat="1" applyFont="1" applyFill="1" applyBorder="1" applyAlignment="1">
      <alignment vertical="top"/>
    </xf>
    <xf numFmtId="168" fontId="9" fillId="0" borderId="30" xfId="1" applyNumberFormat="1" applyFont="1" applyFill="1" applyBorder="1" applyAlignment="1">
      <alignment vertical="top"/>
    </xf>
    <xf numFmtId="165" fontId="9" fillId="0" borderId="19" xfId="0" applyNumberFormat="1" applyFont="1" applyFill="1" applyBorder="1" applyAlignment="1">
      <alignment horizontal="center" vertical="center"/>
    </xf>
    <xf numFmtId="168" fontId="9" fillId="0" borderId="18" xfId="1" applyNumberFormat="1" applyFont="1" applyFill="1" applyBorder="1" applyAlignment="1">
      <alignment vertical="center"/>
    </xf>
    <xf numFmtId="168" fontId="9" fillId="0" borderId="17" xfId="1" applyNumberFormat="1" applyFont="1" applyFill="1" applyBorder="1" applyAlignment="1">
      <alignment vertical="center"/>
    </xf>
    <xf numFmtId="168" fontId="19" fillId="0" borderId="18" xfId="1" applyNumberFormat="1" applyFont="1" applyFill="1" applyBorder="1" applyAlignment="1">
      <alignment vertical="center"/>
    </xf>
    <xf numFmtId="168" fontId="9" fillId="0" borderId="16" xfId="1" applyNumberFormat="1" applyFont="1" applyFill="1" applyBorder="1" applyAlignment="1">
      <alignment vertical="center"/>
    </xf>
    <xf numFmtId="168" fontId="9" fillId="0" borderId="15" xfId="1" applyNumberFormat="1" applyFont="1" applyFill="1" applyBorder="1" applyAlignment="1">
      <alignment vertical="center"/>
    </xf>
    <xf numFmtId="168" fontId="9" fillId="0" borderId="11" xfId="1" applyNumberFormat="1" applyFont="1" applyFill="1" applyBorder="1" applyAlignment="1">
      <alignment vertical="center"/>
    </xf>
    <xf numFmtId="168" fontId="19" fillId="0" borderId="35" xfId="1" applyNumberFormat="1" applyFont="1" applyFill="1" applyBorder="1" applyAlignment="1">
      <alignment vertical="center"/>
    </xf>
    <xf numFmtId="168" fontId="19" fillId="0" borderId="32" xfId="1" applyNumberFormat="1" applyFont="1" applyFill="1" applyBorder="1" applyAlignment="1">
      <alignment vertical="top"/>
    </xf>
    <xf numFmtId="168"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8" fontId="9" fillId="0" borderId="0" xfId="1" applyNumberFormat="1" applyFont="1" applyFill="1" applyBorder="1" applyAlignment="1">
      <alignment vertical="top"/>
    </xf>
    <xf numFmtId="168"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69" fontId="11" fillId="0" borderId="0" xfId="0" applyNumberFormat="1" applyFont="1" applyFill="1" applyBorder="1" applyAlignment="1"/>
    <xf numFmtId="0" fontId="11" fillId="0" borderId="0" xfId="0" applyFont="1" applyFill="1" applyBorder="1" applyAlignment="1">
      <alignment horizontal="right"/>
    </xf>
    <xf numFmtId="165"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6"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5" fontId="9" fillId="3" borderId="23" xfId="6" applyNumberFormat="1" applyFont="1" applyFill="1" applyBorder="1" applyAlignment="1">
      <alignment horizontal="center" vertical="center"/>
    </xf>
    <xf numFmtId="165" fontId="9" fillId="4" borderId="23" xfId="6" applyNumberFormat="1" applyFont="1" applyFill="1" applyBorder="1" applyAlignment="1">
      <alignment horizontal="center" vertical="center"/>
    </xf>
    <xf numFmtId="165" fontId="9" fillId="0" borderId="23" xfId="6" applyNumberFormat="1" applyFont="1" applyBorder="1" applyAlignment="1">
      <alignment horizontal="center" vertical="center"/>
    </xf>
    <xf numFmtId="0" fontId="19" fillId="0" borderId="11" xfId="4" applyFont="1" applyBorder="1" applyAlignment="1">
      <alignment vertical="center"/>
    </xf>
    <xf numFmtId="165"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5" fontId="9" fillId="0" borderId="39" xfId="6" applyNumberFormat="1" applyFont="1" applyBorder="1" applyAlignment="1">
      <alignment horizontal="center" vertical="center"/>
    </xf>
    <xf numFmtId="165" fontId="19" fillId="0" borderId="34" xfId="6" applyNumberFormat="1" applyFont="1" applyBorder="1" applyAlignment="1">
      <alignment horizontal="center" vertical="center"/>
    </xf>
    <xf numFmtId="166"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5" fontId="9" fillId="0" borderId="41" xfId="6" applyNumberFormat="1" applyFont="1" applyFill="1" applyBorder="1" applyAlignment="1">
      <alignment horizontal="center" vertical="top" wrapText="1"/>
    </xf>
    <xf numFmtId="169" fontId="9" fillId="0" borderId="42" xfId="0" applyNumberFormat="1" applyFont="1" applyFill="1" applyBorder="1" applyAlignment="1">
      <alignment vertical="top"/>
    </xf>
    <xf numFmtId="169" fontId="9" fillId="0" borderId="43" xfId="0" applyNumberFormat="1" applyFont="1" applyFill="1" applyBorder="1" applyAlignment="1">
      <alignment vertical="top"/>
    </xf>
    <xf numFmtId="169" fontId="19" fillId="0" borderId="42" xfId="0" applyNumberFormat="1" applyFont="1" applyFill="1" applyBorder="1" applyAlignment="1">
      <alignment vertical="top"/>
    </xf>
    <xf numFmtId="165" fontId="19" fillId="3" borderId="44" xfId="6" applyNumberFormat="1" applyFont="1" applyFill="1" applyBorder="1" applyAlignment="1">
      <alignment horizontal="center" vertical="top"/>
    </xf>
    <xf numFmtId="165" fontId="19" fillId="3" borderId="45" xfId="6" applyNumberFormat="1" applyFont="1" applyFill="1" applyBorder="1" applyAlignment="1">
      <alignment horizontal="center" vertical="top"/>
    </xf>
    <xf numFmtId="169" fontId="19" fillId="0" borderId="46" xfId="0" applyNumberFormat="1" applyFont="1" applyFill="1" applyBorder="1" applyAlignment="1">
      <alignment vertical="top"/>
    </xf>
    <xf numFmtId="165" fontId="19" fillId="3" borderId="47" xfId="6" applyNumberFormat="1" applyFont="1" applyFill="1" applyBorder="1" applyAlignment="1">
      <alignment horizontal="center" vertical="top"/>
    </xf>
    <xf numFmtId="169" fontId="19" fillId="0" borderId="48" xfId="0" applyNumberFormat="1" applyFont="1" applyFill="1" applyBorder="1" applyAlignment="1">
      <alignment vertical="top"/>
    </xf>
    <xf numFmtId="165" fontId="9" fillId="0" borderId="49" xfId="6" applyNumberFormat="1" applyFont="1" applyFill="1" applyBorder="1" applyAlignment="1">
      <alignment horizontal="center" vertical="top" wrapText="1"/>
    </xf>
    <xf numFmtId="169" fontId="9" fillId="0" borderId="50" xfId="0" applyNumberFormat="1" applyFont="1" applyFill="1" applyBorder="1" applyAlignment="1">
      <alignment vertical="top"/>
    </xf>
    <xf numFmtId="169" fontId="9" fillId="0" borderId="51" xfId="0" applyNumberFormat="1" applyFont="1" applyFill="1" applyBorder="1" applyAlignment="1">
      <alignment vertical="top"/>
    </xf>
    <xf numFmtId="169" fontId="19" fillId="0" borderId="50" xfId="0" applyNumberFormat="1" applyFont="1" applyFill="1" applyBorder="1" applyAlignment="1">
      <alignment vertical="top"/>
    </xf>
    <xf numFmtId="169" fontId="9" fillId="0" borderId="52" xfId="0" applyNumberFormat="1" applyFont="1" applyFill="1" applyBorder="1" applyAlignment="1">
      <alignment vertical="top"/>
    </xf>
    <xf numFmtId="169" fontId="9" fillId="0" borderId="53" xfId="0" applyNumberFormat="1" applyFont="1" applyFill="1" applyBorder="1" applyAlignment="1">
      <alignment vertical="top"/>
    </xf>
    <xf numFmtId="169" fontId="19" fillId="0" borderId="49" xfId="0" applyNumberFormat="1" applyFont="1" applyFill="1" applyBorder="1" applyAlignment="1">
      <alignment vertical="top"/>
    </xf>
    <xf numFmtId="169" fontId="9" fillId="0" borderId="12" xfId="0" applyNumberFormat="1" applyFont="1" applyFill="1" applyBorder="1" applyAlignment="1">
      <alignment vertical="top"/>
    </xf>
    <xf numFmtId="169" fontId="19" fillId="0" borderId="54" xfId="0" applyNumberFormat="1" applyFont="1" applyFill="1" applyBorder="1" applyAlignment="1">
      <alignment vertical="top"/>
    </xf>
    <xf numFmtId="169" fontId="9" fillId="0" borderId="55" xfId="0" applyNumberFormat="1" applyFont="1" applyFill="1" applyBorder="1" applyAlignment="1">
      <alignment horizontal="left" vertical="top" wrapText="1"/>
    </xf>
    <xf numFmtId="169" fontId="9" fillId="0" borderId="44" xfId="0" applyNumberFormat="1" applyFont="1" applyFill="1" applyBorder="1" applyAlignment="1">
      <alignment horizontal="left" vertical="top"/>
    </xf>
    <xf numFmtId="169" fontId="9" fillId="0" borderId="53" xfId="0" applyNumberFormat="1" applyFont="1" applyFill="1" applyBorder="1" applyAlignment="1">
      <alignment horizontal="left" vertical="top" wrapText="1"/>
    </xf>
    <xf numFmtId="169" fontId="9" fillId="0" borderId="52" xfId="0" applyNumberFormat="1" applyFont="1" applyFill="1" applyBorder="1" applyAlignment="1">
      <alignment horizontal="left" vertical="top"/>
    </xf>
    <xf numFmtId="169" fontId="9" fillId="0" borderId="55" xfId="0" applyNumberFormat="1" applyFont="1" applyFill="1" applyBorder="1" applyAlignment="1">
      <alignment horizontal="center" vertical="top" wrapText="1"/>
    </xf>
    <xf numFmtId="169"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5"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69"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5" fontId="9" fillId="0" borderId="0" xfId="0" applyNumberFormat="1" applyFont="1" applyFill="1" applyBorder="1" applyAlignment="1">
      <alignment horizontal="center" vertical="center"/>
    </xf>
    <xf numFmtId="168" fontId="9" fillId="0" borderId="0" xfId="1" applyNumberFormat="1" applyFont="1" applyFill="1" applyBorder="1" applyAlignment="1">
      <alignment vertical="center"/>
    </xf>
    <xf numFmtId="168" fontId="19" fillId="0" borderId="0" xfId="1" applyNumberFormat="1" applyFont="1" applyFill="1" applyBorder="1" applyAlignment="1">
      <alignment vertical="center"/>
    </xf>
    <xf numFmtId="168" fontId="9" fillId="0" borderId="27" xfId="1" applyNumberFormat="1" applyFont="1" applyFill="1" applyBorder="1" applyAlignment="1">
      <alignment vertical="center"/>
    </xf>
    <xf numFmtId="3" fontId="9" fillId="0" borderId="0" xfId="8" applyNumberFormat="1"/>
    <xf numFmtId="169"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7" fontId="9" fillId="4" borderId="25" xfId="4" applyNumberFormat="1" applyFont="1" applyFill="1" applyBorder="1" applyAlignment="1">
      <alignment horizontal="left" vertical="center" indent="1"/>
    </xf>
    <xf numFmtId="167" fontId="9" fillId="4" borderId="56" xfId="0" applyNumberFormat="1" applyFont="1" applyFill="1" applyBorder="1" applyAlignment="1" applyProtection="1">
      <alignment horizontal="left" vertical="center" indent="1"/>
    </xf>
    <xf numFmtId="167"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1" fillId="4" borderId="25" xfId="4" applyNumberFormat="1" applyFont="1" applyFill="1" applyBorder="1" applyAlignment="1">
      <alignment horizontal="left" vertical="center" indent="2"/>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1"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9" fillId="4" borderId="25" xfId="4" applyFont="1" applyFill="1" applyBorder="1" applyAlignment="1">
      <alignment horizontal="center" vertical="center"/>
    </xf>
    <xf numFmtId="0" fontId="31" fillId="5" borderId="0" xfId="0" applyFont="1" applyFill="1" applyBorder="1" applyAlignment="1">
      <alignment horizontal="left" vertical="center"/>
    </xf>
    <xf numFmtId="0" fontId="11" fillId="0" borderId="58" xfId="4" applyFont="1" applyBorder="1" applyAlignment="1">
      <alignment horizontal="center" vertical="center"/>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30"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6"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6"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19" fillId="3"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6"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6"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9" fillId="3" borderId="0" xfId="4" applyFont="1" applyFill="1" applyBorder="1" applyAlignment="1">
      <alignment horizontal="left"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69" fontId="9" fillId="0" borderId="4" xfId="0" applyNumberFormat="1" applyFont="1" applyFill="1" applyBorder="1" applyAlignment="1">
      <alignment horizontal="left" vertical="top"/>
    </xf>
    <xf numFmtId="169"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7" fontId="14" fillId="11" borderId="0" xfId="4" applyNumberFormat="1" applyFont="1" applyFill="1" applyBorder="1" applyAlignment="1">
      <alignment horizontal="center" vertical="center"/>
    </xf>
    <xf numFmtId="7" fontId="14" fillId="0" borderId="0" xfId="4" applyNumberFormat="1" applyFont="1" applyFill="1" applyBorder="1" applyAlignment="1">
      <alignment horizontal="center" vertical="center"/>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9" fillId="3" borderId="2"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166"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69" fontId="9" fillId="0" borderId="71" xfId="0" applyNumberFormat="1" applyFont="1" applyFill="1" applyBorder="1" applyAlignment="1">
      <alignment horizontal="left" vertical="top"/>
    </xf>
    <xf numFmtId="169" fontId="9" fillId="0" borderId="60" xfId="0" applyNumberFormat="1" applyFont="1" applyFill="1" applyBorder="1" applyAlignment="1">
      <alignment horizontal="left" vertical="top"/>
    </xf>
    <xf numFmtId="169" fontId="9" fillId="0" borderId="14" xfId="0" applyNumberFormat="1" applyFont="1" applyFill="1" applyBorder="1" applyAlignment="1">
      <alignment horizontal="left" vertical="top"/>
    </xf>
    <xf numFmtId="169" fontId="9" fillId="0" borderId="61"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xf numFmtId="169" fontId="9" fillId="3" borderId="1" xfId="0" applyNumberFormat="1" applyFont="1" applyFill="1" applyBorder="1" applyAlignment="1">
      <alignment horizontal="left" vertical="top"/>
    </xf>
    <xf numFmtId="169" fontId="9" fillId="3" borderId="56" xfId="0" applyNumberFormat="1" applyFont="1" applyFill="1" applyBorder="1" applyAlignment="1">
      <alignment horizontal="left" vertical="top"/>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fehlmann@bp-ing.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3"/>
  <sheetViews>
    <sheetView tabSelected="1" zoomScaleNormal="100" zoomScalePageLayoutView="90" workbookViewId="0">
      <selection activeCell="O87" sqref="O87:P87"/>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479" t="s">
        <v>345</v>
      </c>
      <c r="I1" s="479"/>
      <c r="J1" s="149"/>
      <c r="K1" s="189"/>
      <c r="L1" s="166" t="s">
        <v>154</v>
      </c>
      <c r="M1" s="190"/>
      <c r="N1" s="105"/>
      <c r="O1" s="148"/>
      <c r="P1" s="150"/>
    </row>
    <row r="2" spans="1:16" s="14" customFormat="1" ht="12.75">
      <c r="A2" s="16" t="s">
        <v>12</v>
      </c>
      <c r="C2" s="491" t="s">
        <v>335</v>
      </c>
      <c r="D2" s="491"/>
      <c r="E2" s="492"/>
      <c r="F2" s="16" t="s">
        <v>327</v>
      </c>
      <c r="H2" s="473">
        <v>43282</v>
      </c>
      <c r="I2" s="473"/>
      <c r="J2" s="67" t="s">
        <v>195</v>
      </c>
      <c r="K2" s="193">
        <v>44926</v>
      </c>
      <c r="L2" s="16" t="s">
        <v>13</v>
      </c>
      <c r="N2" s="159">
        <v>43977</v>
      </c>
      <c r="P2" s="18"/>
    </row>
    <row r="3" spans="1:16" s="14" customFormat="1" ht="12.75">
      <c r="A3" s="16" t="s">
        <v>158</v>
      </c>
      <c r="C3" s="474" t="s">
        <v>336</v>
      </c>
      <c r="D3" s="474"/>
      <c r="E3" s="475"/>
      <c r="F3" s="16" t="s">
        <v>159</v>
      </c>
      <c r="H3" s="461" t="s">
        <v>346</v>
      </c>
      <c r="I3" s="461"/>
      <c r="J3" s="461"/>
      <c r="K3" s="476"/>
      <c r="L3" s="16" t="s">
        <v>166</v>
      </c>
      <c r="N3" s="324" t="s">
        <v>363</v>
      </c>
      <c r="O3" s="194"/>
      <c r="P3" s="94"/>
    </row>
    <row r="4" spans="1:16" s="14" customFormat="1" ht="12.75">
      <c r="A4" s="16" t="s">
        <v>184</v>
      </c>
      <c r="C4" s="474" t="s">
        <v>337</v>
      </c>
      <c r="D4" s="474"/>
      <c r="E4" s="475"/>
      <c r="F4" s="20" t="s">
        <v>165</v>
      </c>
      <c r="H4" s="461" t="s">
        <v>347</v>
      </c>
      <c r="I4" s="461"/>
      <c r="J4" s="461"/>
      <c r="K4" s="17"/>
      <c r="L4" s="16" t="s">
        <v>175</v>
      </c>
      <c r="N4" s="159">
        <v>43922</v>
      </c>
      <c r="O4" s="19" t="s">
        <v>5</v>
      </c>
      <c r="P4" s="161">
        <v>43585</v>
      </c>
    </row>
    <row r="5" spans="1:16" s="14" customFormat="1" ht="12.75">
      <c r="A5" s="25"/>
      <c r="C5" s="191"/>
      <c r="D5" s="169"/>
      <c r="E5" s="169"/>
      <c r="F5" s="25"/>
      <c r="G5" s="15" t="s">
        <v>169</v>
      </c>
      <c r="H5" s="490" t="s">
        <v>348</v>
      </c>
      <c r="I5" s="490"/>
      <c r="J5" s="490"/>
      <c r="K5" s="17"/>
      <c r="L5" s="20" t="s">
        <v>25</v>
      </c>
      <c r="N5" s="160" t="s">
        <v>27</v>
      </c>
      <c r="O5" s="80" t="s">
        <v>179</v>
      </c>
      <c r="P5" s="325" t="s">
        <v>363</v>
      </c>
    </row>
    <row r="6" spans="1:16" s="14" customFormat="1" ht="12.75">
      <c r="A6" s="16" t="s">
        <v>338</v>
      </c>
      <c r="C6" s="461" t="s">
        <v>339</v>
      </c>
      <c r="D6" s="461"/>
      <c r="E6" s="476"/>
      <c r="F6" s="25"/>
      <c r="G6" s="15" t="s">
        <v>161</v>
      </c>
      <c r="H6" s="477" t="s">
        <v>349</v>
      </c>
      <c r="I6" s="478"/>
      <c r="J6" s="478"/>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505" t="s">
        <v>142</v>
      </c>
      <c r="D8" s="505"/>
      <c r="E8" s="506"/>
      <c r="F8" s="21" t="s">
        <v>162</v>
      </c>
      <c r="G8" s="29"/>
      <c r="H8" s="486" t="s">
        <v>350</v>
      </c>
      <c r="I8" s="486"/>
      <c r="J8" s="486"/>
      <c r="K8" s="487"/>
      <c r="L8" s="31" t="s">
        <v>188</v>
      </c>
      <c r="M8" s="32"/>
      <c r="N8" s="32"/>
      <c r="O8" s="32"/>
      <c r="P8" s="30"/>
    </row>
    <row r="9" spans="1:16" s="14" customFormat="1" ht="12.75">
      <c r="A9" s="25"/>
      <c r="C9" s="507"/>
      <c r="D9" s="507"/>
      <c r="E9" s="508"/>
      <c r="F9" s="25"/>
      <c r="H9" s="461" t="s">
        <v>351</v>
      </c>
      <c r="I9" s="461"/>
      <c r="J9" s="461"/>
      <c r="K9" s="476"/>
      <c r="L9" s="159"/>
      <c r="M9" s="159"/>
      <c r="N9" s="66"/>
      <c r="O9" s="66"/>
      <c r="P9" s="99"/>
    </row>
    <row r="10" spans="1:16" s="14" customFormat="1" ht="12.75">
      <c r="A10" s="25"/>
      <c r="C10" s="507"/>
      <c r="D10" s="507"/>
      <c r="E10" s="508"/>
      <c r="F10" s="25"/>
      <c r="H10" s="461" t="s">
        <v>352</v>
      </c>
      <c r="I10" s="461"/>
      <c r="J10" s="461"/>
      <c r="K10" s="476"/>
      <c r="L10" s="159"/>
      <c r="M10" s="159"/>
      <c r="N10" s="66"/>
      <c r="O10" s="66"/>
      <c r="P10" s="99"/>
    </row>
    <row r="11" spans="1:16" s="14" customFormat="1" ht="12.75" customHeight="1">
      <c r="A11" s="25"/>
      <c r="C11" s="507"/>
      <c r="D11" s="507"/>
      <c r="E11" s="508"/>
      <c r="F11" s="25"/>
      <c r="H11" s="488"/>
      <c r="I11" s="488"/>
      <c r="J11" s="488"/>
      <c r="K11" s="489"/>
      <c r="L11" s="159"/>
      <c r="M11" s="159"/>
      <c r="N11" s="66"/>
      <c r="O11" s="66"/>
      <c r="P11" s="99"/>
    </row>
    <row r="12" spans="1:16" s="14" customFormat="1" ht="12.75">
      <c r="A12" s="25"/>
      <c r="C12" s="507"/>
      <c r="D12" s="507"/>
      <c r="E12" s="508"/>
      <c r="F12" s="25"/>
      <c r="H12" s="488"/>
      <c r="I12" s="488"/>
      <c r="J12" s="488"/>
      <c r="K12" s="18"/>
      <c r="L12" s="159"/>
      <c r="M12" s="159"/>
      <c r="N12" s="66"/>
      <c r="O12" s="164"/>
      <c r="P12" s="99"/>
    </row>
    <row r="13" spans="1:16" s="14" customFormat="1" ht="12.75">
      <c r="A13" s="25"/>
      <c r="C13" s="507"/>
      <c r="D13" s="507"/>
      <c r="E13" s="508"/>
      <c r="F13" s="16" t="s">
        <v>206</v>
      </c>
      <c r="H13" s="461" t="s">
        <v>353</v>
      </c>
      <c r="I13" s="461"/>
      <c r="J13" s="461"/>
      <c r="K13" s="18"/>
      <c r="L13" s="159"/>
      <c r="M13" s="159"/>
      <c r="N13" s="66"/>
      <c r="O13" s="66"/>
      <c r="P13" s="99"/>
    </row>
    <row r="14" spans="1:16" s="14" customFormat="1" ht="12.75" hidden="1">
      <c r="A14" s="25"/>
      <c r="C14" s="507"/>
      <c r="D14" s="507"/>
      <c r="E14" s="508"/>
      <c r="F14" s="16"/>
      <c r="H14" s="462"/>
      <c r="I14" s="462"/>
      <c r="J14" s="462"/>
      <c r="K14" s="18"/>
      <c r="L14" s="98"/>
      <c r="M14" s="66"/>
      <c r="N14" s="66"/>
      <c r="O14" s="66"/>
      <c r="P14" s="99"/>
    </row>
    <row r="15" spans="1:16" s="14" customFormat="1" ht="12.75" hidden="1">
      <c r="A15" s="25"/>
      <c r="F15" s="16"/>
      <c r="G15" s="24"/>
      <c r="H15" s="462"/>
      <c r="I15" s="462"/>
      <c r="J15" s="462"/>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5" t="s">
        <v>275</v>
      </c>
      <c r="B19" s="405"/>
      <c r="C19" s="405"/>
      <c r="D19" s="405"/>
      <c r="E19" s="405"/>
      <c r="F19" s="405"/>
      <c r="G19" s="405"/>
      <c r="H19" s="405"/>
      <c r="I19" s="405"/>
      <c r="J19" s="405"/>
      <c r="K19" s="405"/>
      <c r="L19" s="405"/>
      <c r="M19" s="405"/>
      <c r="N19" s="405"/>
      <c r="O19" s="405"/>
      <c r="P19" s="405"/>
      <c r="Q19" s="15"/>
      <c r="R19" s="15"/>
    </row>
    <row r="20" spans="1:18" s="35" customFormat="1">
      <c r="Q20" s="15"/>
      <c r="R20" s="15"/>
    </row>
    <row r="21" spans="1:18" s="37" customFormat="1" ht="12.75" thickBot="1">
      <c r="A21" s="493" t="s">
        <v>150</v>
      </c>
      <c r="B21" s="494"/>
      <c r="C21" s="494"/>
      <c r="D21" s="494"/>
      <c r="E21" s="494"/>
      <c r="F21" s="495"/>
      <c r="G21" s="496" t="s">
        <v>276</v>
      </c>
      <c r="H21" s="497"/>
      <c r="I21" s="497"/>
      <c r="J21" s="497"/>
      <c r="K21" s="497"/>
      <c r="L21" s="497"/>
      <c r="M21" s="497"/>
      <c r="N21" s="497"/>
      <c r="O21" s="497"/>
      <c r="P21" s="498"/>
      <c r="Q21" s="15"/>
      <c r="R21" s="15"/>
    </row>
    <row r="22" spans="1:18" s="74" customFormat="1" ht="24">
      <c r="A22" s="499" t="s">
        <v>167</v>
      </c>
      <c r="B22" s="500"/>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1"/>
      <c r="B23" s="502"/>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503"/>
      <c r="B24" s="504"/>
      <c r="C24" s="215"/>
      <c r="D24" s="216"/>
      <c r="E24" s="218"/>
      <c r="F24" s="204"/>
      <c r="G24" s="205"/>
      <c r="H24" s="206"/>
      <c r="I24" s="207"/>
      <c r="J24" s="208"/>
      <c r="K24" s="206"/>
      <c r="L24" s="207"/>
      <c r="M24" s="209"/>
      <c r="N24" s="210"/>
      <c r="O24" s="211"/>
      <c r="P24" s="212"/>
      <c r="Q24" s="75"/>
      <c r="R24" s="75"/>
    </row>
    <row r="25" spans="1:18" s="77" customFormat="1" ht="12.75">
      <c r="A25" s="463" t="s">
        <v>337</v>
      </c>
      <c r="B25" s="464"/>
      <c r="C25" s="323" t="s">
        <v>340</v>
      </c>
      <c r="D25" s="113" t="s">
        <v>201</v>
      </c>
      <c r="E25" s="219" t="s">
        <v>272</v>
      </c>
      <c r="F25" s="114" t="s">
        <v>191</v>
      </c>
      <c r="G25" s="115">
        <v>84537</v>
      </c>
      <c r="H25" s="116">
        <v>0</v>
      </c>
      <c r="I25" s="117">
        <f>SUM(G25:H25)</f>
        <v>84537</v>
      </c>
      <c r="J25" s="118">
        <f>-($J$23*I25)</f>
        <v>0</v>
      </c>
      <c r="K25" s="116">
        <v>2060</v>
      </c>
      <c r="L25" s="117">
        <f>SUM(I25:K25)</f>
        <v>86597</v>
      </c>
      <c r="M25" s="119">
        <f>-$M$23*L25</f>
        <v>0</v>
      </c>
      <c r="N25" s="121">
        <f>SUM(L25:M25)</f>
        <v>86597</v>
      </c>
      <c r="O25" s="141">
        <f>$O$23*N25-0.02</f>
        <v>6667.9489999999996</v>
      </c>
      <c r="P25" s="120">
        <f>SUM(N25:O25)</f>
        <v>93264.948999999993</v>
      </c>
      <c r="Q25" s="75"/>
      <c r="R25" s="75"/>
    </row>
    <row r="26" spans="1:18" s="77" customFormat="1" ht="12.75">
      <c r="A26" s="463"/>
      <c r="B26" s="464"/>
      <c r="C26" s="323"/>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63"/>
      <c r="B27" s="464"/>
      <c r="C27" s="323"/>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63"/>
      <c r="B28" s="464"/>
      <c r="C28" s="323"/>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63"/>
      <c r="B29" s="464"/>
      <c r="C29" s="323"/>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7"/>
      <c r="B30" s="46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84537</v>
      </c>
      <c r="H31" s="132">
        <f t="shared" si="0"/>
        <v>0</v>
      </c>
      <c r="I31" s="133">
        <f t="shared" si="0"/>
        <v>84537</v>
      </c>
      <c r="J31" s="134">
        <f t="shared" si="0"/>
        <v>0</v>
      </c>
      <c r="K31" s="132">
        <f t="shared" si="0"/>
        <v>2060</v>
      </c>
      <c r="L31" s="133">
        <f t="shared" si="0"/>
        <v>86597</v>
      </c>
      <c r="M31" s="135">
        <f t="shared" si="0"/>
        <v>0</v>
      </c>
      <c r="N31" s="139">
        <f t="shared" si="0"/>
        <v>86597</v>
      </c>
      <c r="O31" s="136">
        <f>SUM(O25:O30)</f>
        <v>6667.9489999999996</v>
      </c>
      <c r="P31" s="137">
        <f>SUM(P25:P30)</f>
        <v>93264.948999999993</v>
      </c>
      <c r="Q31" s="15"/>
      <c r="R31" s="15"/>
    </row>
    <row r="32" spans="1:18" s="41" customFormat="1" ht="13.5" thickBot="1">
      <c r="C32" s="293"/>
      <c r="E32" s="294"/>
      <c r="F32" s="295"/>
      <c r="G32" s="296"/>
      <c r="H32" s="296"/>
      <c r="I32" s="297"/>
      <c r="J32" s="296"/>
      <c r="K32" s="296"/>
      <c r="L32" s="297"/>
      <c r="M32" s="37" t="s">
        <v>295</v>
      </c>
      <c r="N32" s="297"/>
      <c r="O32" s="296"/>
      <c r="P32" s="298"/>
      <c r="Q32" s="15"/>
      <c r="R32" s="15"/>
    </row>
    <row r="33" spans="1:18" s="41" customFormat="1" ht="13.5" thickBot="1">
      <c r="C33" s="293"/>
      <c r="E33" s="294"/>
      <c r="F33" s="295"/>
      <c r="G33" s="296"/>
      <c r="H33" s="296"/>
      <c r="I33" s="297"/>
      <c r="J33" s="296"/>
      <c r="K33" s="296"/>
      <c r="L33" s="297"/>
      <c r="M33" s="41" t="s">
        <v>294</v>
      </c>
      <c r="N33" s="297"/>
      <c r="O33" s="296"/>
      <c r="P33" s="137">
        <f>SUM(P31:P32)</f>
        <v>93264.948999999993</v>
      </c>
      <c r="Q33" s="15"/>
      <c r="R33" s="15"/>
    </row>
    <row r="34" spans="1:18" s="144" customFormat="1" ht="18.75" customHeight="1">
      <c r="C34" s="151"/>
      <c r="E34" s="152"/>
      <c r="F34" s="153"/>
      <c r="G34" s="154"/>
      <c r="H34" s="154"/>
      <c r="I34" s="154"/>
      <c r="J34" s="154"/>
      <c r="K34" s="154"/>
      <c r="L34" s="154"/>
      <c r="M34" s="155" t="s">
        <v>247</v>
      </c>
      <c r="N34" s="154"/>
      <c r="O34" s="154"/>
      <c r="P34" s="154">
        <f>L31*(1+$O$23)</f>
        <v>93264.968999999997</v>
      </c>
    </row>
    <row r="35" spans="1:18" ht="10.5" customHeight="1">
      <c r="M35" s="108"/>
    </row>
    <row r="36" spans="1:18" ht="28.5" customHeight="1">
      <c r="A36" s="145" t="s">
        <v>149</v>
      </c>
      <c r="B36" s="469"/>
      <c r="C36" s="470"/>
      <c r="D36" s="470"/>
      <c r="E36" s="470"/>
      <c r="F36" s="470"/>
      <c r="G36" s="470"/>
      <c r="H36" s="470"/>
      <c r="I36" s="470"/>
      <c r="J36" s="470"/>
      <c r="K36" s="470"/>
      <c r="L36" s="470"/>
      <c r="M36" s="470"/>
      <c r="N36" s="470"/>
      <c r="O36" s="470"/>
      <c r="P36" s="470"/>
    </row>
    <row r="37" spans="1:18" s="23" customFormat="1">
      <c r="B37" s="57"/>
      <c r="C37" s="57"/>
      <c r="D37" s="57"/>
      <c r="E37" s="57"/>
      <c r="F37" s="57"/>
      <c r="G37" s="57"/>
      <c r="H37" s="57"/>
      <c r="I37" s="57"/>
      <c r="J37" s="57"/>
      <c r="K37" s="57"/>
      <c r="L37" s="57"/>
      <c r="M37" s="57"/>
      <c r="N37" s="57"/>
      <c r="O37" s="57"/>
      <c r="P37" s="57"/>
      <c r="Q37" s="57"/>
    </row>
    <row r="38" spans="1:18" ht="15">
      <c r="A38" s="405" t="s">
        <v>170</v>
      </c>
      <c r="B38" s="405"/>
      <c r="C38" s="405"/>
      <c r="D38" s="405"/>
      <c r="E38" s="405"/>
      <c r="F38" s="405"/>
      <c r="G38" s="405"/>
      <c r="H38" s="405"/>
      <c r="I38" s="405"/>
      <c r="J38" s="405"/>
      <c r="K38" s="405"/>
      <c r="L38" s="405"/>
      <c r="M38" s="405"/>
      <c r="N38" s="405"/>
      <c r="O38" s="405"/>
      <c r="P38" s="405"/>
      <c r="Q38" s="57"/>
    </row>
    <row r="40" spans="1:18" s="43" customFormat="1" ht="15.75">
      <c r="A40" s="43" t="s">
        <v>236</v>
      </c>
      <c r="E40" s="471">
        <f>P33</f>
        <v>93264.948999999993</v>
      </c>
      <c r="F40" s="471"/>
      <c r="J40" s="472"/>
      <c r="K40" s="472"/>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480" t="s">
        <v>343</v>
      </c>
      <c r="B43" s="481"/>
      <c r="C43" s="482"/>
      <c r="D43" s="173" t="s">
        <v>163</v>
      </c>
      <c r="E43" s="170"/>
      <c r="F43" s="221"/>
      <c r="H43" s="56" t="s">
        <v>205</v>
      </c>
      <c r="I43" s="170"/>
      <c r="J43" s="221"/>
      <c r="K43" s="56" t="s">
        <v>205</v>
      </c>
      <c r="L43" s="158" t="s">
        <v>341</v>
      </c>
      <c r="M43" s="221"/>
      <c r="N43" s="56" t="s">
        <v>205</v>
      </c>
      <c r="O43" s="158" t="s">
        <v>342</v>
      </c>
      <c r="P43" s="222"/>
      <c r="Q43" s="223"/>
      <c r="R43" s="223"/>
    </row>
    <row r="44" spans="1:18" s="224" customFormat="1" ht="12.75">
      <c r="A44" s="483" t="s">
        <v>344</v>
      </c>
      <c r="B44" s="484"/>
      <c r="C44" s="485"/>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2"/>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c r="L56" s="23"/>
      <c r="M56" s="23"/>
      <c r="N56" s="23"/>
      <c r="O56" s="23"/>
      <c r="P56" s="23"/>
    </row>
    <row r="57" spans="1:18">
      <c r="A57" s="42"/>
      <c r="B57" s="23"/>
      <c r="C57" s="23"/>
      <c r="D57" s="23"/>
      <c r="E57" s="23"/>
      <c r="F57" s="23"/>
      <c r="G57" s="23"/>
      <c r="H57" s="23"/>
      <c r="I57" s="23"/>
      <c r="J57" s="23"/>
      <c r="K57" s="23"/>
      <c r="L57" s="23"/>
      <c r="M57" s="23"/>
      <c r="N57" s="23"/>
      <c r="O57" s="23"/>
      <c r="P57" s="23"/>
    </row>
    <row r="58" spans="1:18" ht="25.9"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43977</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19</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19</v>
      </c>
      <c r="P62" s="232"/>
    </row>
    <row r="64" spans="1:18" ht="15">
      <c r="A64" s="405" t="s">
        <v>211</v>
      </c>
      <c r="B64" s="405"/>
      <c r="C64" s="405"/>
      <c r="D64" s="405"/>
      <c r="E64" s="405"/>
      <c r="F64" s="405"/>
      <c r="G64" s="405"/>
      <c r="H64" s="405"/>
      <c r="I64" s="405"/>
      <c r="J64" s="405"/>
      <c r="K64" s="405"/>
      <c r="L64" s="405"/>
      <c r="M64" s="405"/>
      <c r="N64" s="405"/>
      <c r="O64" s="405"/>
      <c r="P64" s="405"/>
    </row>
    <row r="66" spans="1:16" s="42" customFormat="1" ht="12.75" customHeight="1">
      <c r="A66" s="330" t="s">
        <v>213</v>
      </c>
      <c r="B66" s="331"/>
      <c r="C66" s="331"/>
      <c r="D66" s="406" t="s">
        <v>212</v>
      </c>
      <c r="E66" s="458"/>
      <c r="F66" s="459" t="s">
        <v>155</v>
      </c>
      <c r="G66" s="459"/>
      <c r="H66" s="459" t="s">
        <v>241</v>
      </c>
      <c r="I66" s="459"/>
      <c r="J66" s="459" t="s">
        <v>242</v>
      </c>
      <c r="K66" s="465"/>
      <c r="L66" s="466" t="s">
        <v>146</v>
      </c>
      <c r="M66" s="466"/>
      <c r="N66" s="466"/>
      <c r="O66" s="466"/>
      <c r="P66" s="466"/>
    </row>
    <row r="67" spans="1:16">
      <c r="A67" s="417"/>
      <c r="B67" s="418"/>
      <c r="C67" s="418"/>
      <c r="D67" s="411"/>
      <c r="E67" s="453"/>
      <c r="F67" s="454"/>
      <c r="G67" s="454"/>
      <c r="H67" s="454"/>
      <c r="I67" s="454"/>
      <c r="J67" s="454"/>
      <c r="K67" s="455"/>
      <c r="L67" s="456" t="s">
        <v>208</v>
      </c>
      <c r="M67" s="457"/>
      <c r="N67" s="83" t="s">
        <v>152</v>
      </c>
      <c r="O67" s="460" t="s">
        <v>209</v>
      </c>
      <c r="P67" s="460"/>
    </row>
    <row r="68" spans="1:16" ht="6" customHeight="1">
      <c r="A68" s="443"/>
      <c r="B68" s="444"/>
      <c r="C68" s="444"/>
      <c r="D68" s="445"/>
      <c r="E68" s="446"/>
      <c r="F68" s="447"/>
      <c r="G68" s="447"/>
      <c r="H68" s="448"/>
      <c r="I68" s="448"/>
      <c r="J68" s="448"/>
      <c r="K68" s="449"/>
      <c r="L68" s="450"/>
      <c r="M68" s="451"/>
      <c r="N68" s="84"/>
      <c r="O68" s="452"/>
      <c r="P68" s="452"/>
    </row>
    <row r="69" spans="1:16" s="23" customFormat="1" ht="12.75">
      <c r="A69" s="427" t="s">
        <v>207</v>
      </c>
      <c r="B69" s="428"/>
      <c r="C69" s="428"/>
      <c r="D69" s="435">
        <v>43418</v>
      </c>
      <c r="E69" s="435"/>
      <c r="F69" s="436" t="str">
        <f>H1</f>
        <v>090069/2000003</v>
      </c>
      <c r="G69" s="436"/>
      <c r="H69" s="437"/>
      <c r="I69" s="438"/>
      <c r="J69" s="439"/>
      <c r="K69" s="440"/>
      <c r="L69" s="441">
        <v>3509517.75</v>
      </c>
      <c r="M69" s="442"/>
      <c r="N69" s="181">
        <v>7.6999999999999999E-2</v>
      </c>
      <c r="O69" s="434">
        <f>IF(L69&lt;&gt;"",ROUND((1*L69*(1+N69))*20,0)/20,"")+0.05</f>
        <v>3779750.65</v>
      </c>
      <c r="P69" s="434"/>
    </row>
    <row r="70" spans="1:16" ht="12.75">
      <c r="A70" s="427" t="s">
        <v>239</v>
      </c>
      <c r="B70" s="428"/>
      <c r="C70" s="428"/>
      <c r="D70" s="429"/>
      <c r="E70" s="430"/>
      <c r="F70" s="431"/>
      <c r="G70" s="431"/>
      <c r="H70" s="429">
        <v>43836</v>
      </c>
      <c r="I70" s="430"/>
      <c r="J70" s="432">
        <v>2</v>
      </c>
      <c r="K70" s="433"/>
      <c r="L70" s="395">
        <f>168793+69900</f>
        <v>238693</v>
      </c>
      <c r="M70" s="396"/>
      <c r="N70" s="182">
        <v>7.6999999999999999E-2</v>
      </c>
      <c r="O70" s="397">
        <f>IF(L70&lt;&gt;"",ROUND((1*L70*(1+N70))*20,0)/20,"")</f>
        <v>257072.35</v>
      </c>
      <c r="P70" s="397"/>
    </row>
    <row r="71" spans="1:16" ht="12.75">
      <c r="A71" s="427" t="s">
        <v>240</v>
      </c>
      <c r="B71" s="428"/>
      <c r="C71" s="428"/>
      <c r="D71" s="429"/>
      <c r="E71" s="430"/>
      <c r="F71" s="431"/>
      <c r="G71" s="431"/>
      <c r="H71" s="429"/>
      <c r="I71" s="430"/>
      <c r="J71" s="432"/>
      <c r="K71" s="433"/>
      <c r="L71" s="395"/>
      <c r="M71" s="396"/>
      <c r="N71" s="182"/>
      <c r="O71" s="397" t="str">
        <f>IF(L71&lt;&gt;"",ROUND((1*L71*(1+N71))*20,0)/20,"")</f>
        <v/>
      </c>
      <c r="P71" s="397"/>
    </row>
    <row r="72" spans="1:16" ht="6" customHeight="1">
      <c r="A72" s="417"/>
      <c r="B72" s="418"/>
      <c r="C72" s="418"/>
      <c r="D72" s="419"/>
      <c r="E72" s="420"/>
      <c r="F72" s="421"/>
      <c r="G72" s="421"/>
      <c r="H72" s="419"/>
      <c r="I72" s="420"/>
      <c r="J72" s="422"/>
      <c r="K72" s="423"/>
      <c r="L72" s="424"/>
      <c r="M72" s="425"/>
      <c r="N72" s="183"/>
      <c r="O72" s="426" t="str">
        <f>IF(L72&lt;&gt;"",ROUND((1*L72*(1+N72))*20,0)/20,"")</f>
        <v/>
      </c>
      <c r="P72" s="426"/>
    </row>
    <row r="73" spans="1:16" s="42" customFormat="1" ht="12.75">
      <c r="A73" s="62" t="s">
        <v>215</v>
      </c>
      <c r="B73" s="63"/>
      <c r="C73" s="63"/>
      <c r="D73" s="184"/>
      <c r="E73" s="184"/>
      <c r="F73" s="184"/>
      <c r="G73" s="184"/>
      <c r="H73" s="184"/>
      <c r="I73" s="184"/>
      <c r="J73" s="184"/>
      <c r="K73" s="184"/>
      <c r="L73" s="391">
        <f>SUM(L69:M72)</f>
        <v>3748210.75</v>
      </c>
      <c r="M73" s="392"/>
      <c r="N73" s="185"/>
      <c r="O73" s="391">
        <f>SUM(O69:P72)</f>
        <v>4036823</v>
      </c>
      <c r="P73" s="391"/>
    </row>
    <row r="75" spans="1:16" ht="15">
      <c r="A75" s="405" t="s">
        <v>176</v>
      </c>
      <c r="B75" s="405"/>
      <c r="C75" s="405"/>
      <c r="D75" s="405"/>
      <c r="E75" s="405"/>
      <c r="F75" s="405"/>
      <c r="G75" s="405"/>
      <c r="H75" s="405"/>
      <c r="I75" s="405"/>
      <c r="J75" s="405"/>
      <c r="K75" s="405"/>
      <c r="L75" s="405"/>
      <c r="M75" s="405"/>
      <c r="N75" s="405"/>
      <c r="O75" s="405"/>
      <c r="P75" s="405"/>
    </row>
    <row r="77" spans="1:16" ht="12.75" customHeight="1">
      <c r="A77" s="110" t="s">
        <v>166</v>
      </c>
      <c r="B77" s="61"/>
      <c r="C77" s="278" t="s">
        <v>13</v>
      </c>
      <c r="D77" s="61"/>
      <c r="E77" s="109"/>
      <c r="F77" s="313" t="s">
        <v>25</v>
      </c>
      <c r="G77" s="61"/>
      <c r="H77" s="308" t="s">
        <v>325</v>
      </c>
      <c r="I77" s="282"/>
      <c r="J77" s="406" t="s">
        <v>254</v>
      </c>
      <c r="K77" s="407"/>
      <c r="L77" s="408" t="s">
        <v>180</v>
      </c>
      <c r="M77" s="409"/>
      <c r="N77" s="409"/>
      <c r="O77" s="409"/>
      <c r="P77" s="410"/>
    </row>
    <row r="78" spans="1:16" s="42" customFormat="1" ht="12.75" customHeight="1">
      <c r="A78" s="266"/>
      <c r="B78" s="264"/>
      <c r="C78" s="280"/>
      <c r="D78" s="276"/>
      <c r="E78" s="268"/>
      <c r="F78" s="314" t="s">
        <v>260</v>
      </c>
      <c r="G78" s="97" t="s">
        <v>179</v>
      </c>
      <c r="H78" s="277" t="s">
        <v>326</v>
      </c>
      <c r="I78" s="309" t="s">
        <v>5</v>
      </c>
      <c r="J78" s="411"/>
      <c r="K78" s="412"/>
      <c r="L78" s="413" t="s">
        <v>208</v>
      </c>
      <c r="M78" s="414"/>
      <c r="N78" s="83" t="s">
        <v>152</v>
      </c>
      <c r="O78" s="415" t="s">
        <v>209</v>
      </c>
      <c r="P78" s="416"/>
    </row>
    <row r="79" spans="1:16" ht="6" customHeight="1">
      <c r="A79" s="44"/>
      <c r="C79" s="281"/>
      <c r="D79" s="398"/>
      <c r="E79" s="399"/>
      <c r="F79" s="400"/>
      <c r="G79" s="401"/>
      <c r="H79" s="301"/>
      <c r="I79" s="238"/>
      <c r="J79" s="402"/>
      <c r="K79" s="403"/>
      <c r="L79" s="239"/>
      <c r="M79" s="240"/>
      <c r="N79" s="183"/>
      <c r="O79" s="258"/>
      <c r="P79" s="259"/>
    </row>
    <row r="80" spans="1:16" ht="12.75" customHeight="1">
      <c r="A80" s="326" t="s">
        <v>354</v>
      </c>
      <c r="B80" s="265"/>
      <c r="C80" s="329" t="s">
        <v>355</v>
      </c>
      <c r="D80" s="265"/>
      <c r="E80" s="270"/>
      <c r="F80" s="306" t="s">
        <v>27</v>
      </c>
      <c r="G80" s="327" t="s">
        <v>356</v>
      </c>
      <c r="H80" s="310">
        <v>43344</v>
      </c>
      <c r="I80" s="311">
        <v>43465</v>
      </c>
      <c r="J80" s="404" t="s">
        <v>135</v>
      </c>
      <c r="K80" s="394"/>
      <c r="L80" s="395">
        <v>53622.25</v>
      </c>
      <c r="M80" s="396"/>
      <c r="N80" s="182">
        <v>7.6999999999999999E-2</v>
      </c>
      <c r="O80" s="397">
        <f>IF(L80&lt;&gt;"",L80*(1+N80),"")-0.01</f>
        <v>57751.153249999996</v>
      </c>
      <c r="P80" s="397"/>
    </row>
    <row r="81" spans="1:16" ht="12.75">
      <c r="A81" s="326" t="s">
        <v>360</v>
      </c>
      <c r="B81" s="265"/>
      <c r="C81" s="279">
        <v>43578</v>
      </c>
      <c r="D81" s="265"/>
      <c r="E81" s="270"/>
      <c r="F81" s="328" t="s">
        <v>27</v>
      </c>
      <c r="G81" s="327" t="s">
        <v>361</v>
      </c>
      <c r="H81" s="310">
        <v>43466</v>
      </c>
      <c r="I81" s="311">
        <v>43830</v>
      </c>
      <c r="J81" s="393" t="s">
        <v>135</v>
      </c>
      <c r="K81" s="394"/>
      <c r="L81" s="395">
        <v>734770.25</v>
      </c>
      <c r="M81" s="396"/>
      <c r="N81" s="182">
        <v>7.6999999999999999E-2</v>
      </c>
      <c r="O81" s="397">
        <f>IF(L81&lt;&gt;"",L81*(1+N81),"")+0.03</f>
        <v>791347.58924999996</v>
      </c>
      <c r="P81" s="397"/>
    </row>
    <row r="82" spans="1:16" ht="12.75">
      <c r="A82" s="326" t="s">
        <v>357</v>
      </c>
      <c r="B82" s="265"/>
      <c r="C82" s="279">
        <v>43913</v>
      </c>
      <c r="D82" s="265"/>
      <c r="E82" s="270"/>
      <c r="F82" s="328" t="s">
        <v>27</v>
      </c>
      <c r="G82" s="327" t="s">
        <v>357</v>
      </c>
      <c r="H82" s="310">
        <v>43831</v>
      </c>
      <c r="I82" s="311">
        <v>43861</v>
      </c>
      <c r="J82" s="393" t="s">
        <v>135</v>
      </c>
      <c r="K82" s="394"/>
      <c r="L82" s="395">
        <v>67833.25</v>
      </c>
      <c r="M82" s="396"/>
      <c r="N82" s="182">
        <v>7.6999999999999999E-2</v>
      </c>
      <c r="O82" s="397">
        <f>IF(L82&lt;&gt;"",L82*(1+N82),"")-0.01</f>
        <v>73056.400250000006</v>
      </c>
      <c r="P82" s="397"/>
    </row>
    <row r="83" spans="1:16" ht="12.75">
      <c r="A83" s="326" t="s">
        <v>358</v>
      </c>
      <c r="B83" s="265"/>
      <c r="C83" s="279">
        <v>43914</v>
      </c>
      <c r="D83" s="265"/>
      <c r="E83" s="270"/>
      <c r="F83" s="328" t="s">
        <v>27</v>
      </c>
      <c r="G83" s="327" t="s">
        <v>358</v>
      </c>
      <c r="H83" s="310">
        <v>43862</v>
      </c>
      <c r="I83" s="311">
        <v>43890</v>
      </c>
      <c r="J83" s="393" t="s">
        <v>135</v>
      </c>
      <c r="K83" s="394"/>
      <c r="L83" s="395">
        <v>69192.5</v>
      </c>
      <c r="M83" s="396"/>
      <c r="N83" s="182">
        <v>7.6999999999999999E-2</v>
      </c>
      <c r="O83" s="397">
        <f>IF(L83&lt;&gt;"",L83*(1+N83),"")-0.02</f>
        <v>74520.302499999991</v>
      </c>
      <c r="P83" s="397"/>
    </row>
    <row r="84" spans="1:16" ht="12.75">
      <c r="A84" s="326" t="s">
        <v>359</v>
      </c>
      <c r="B84" s="265"/>
      <c r="C84" s="279">
        <v>43951</v>
      </c>
      <c r="D84" s="265"/>
      <c r="E84" s="270"/>
      <c r="F84" s="328" t="s">
        <v>27</v>
      </c>
      <c r="G84" s="327" t="s">
        <v>359</v>
      </c>
      <c r="H84" s="310">
        <v>43891</v>
      </c>
      <c r="I84" s="311">
        <v>43921</v>
      </c>
      <c r="J84" s="393" t="s">
        <v>135</v>
      </c>
      <c r="K84" s="394"/>
      <c r="L84" s="395">
        <f>76213.5</f>
        <v>76213.5</v>
      </c>
      <c r="M84" s="396"/>
      <c r="N84" s="182">
        <v>7.6999999999999999E-2</v>
      </c>
      <c r="O84" s="397">
        <f>IF(L84&lt;&gt;"",L84*(1+N84),"")+0.01</f>
        <v>82081.949499999988</v>
      </c>
      <c r="P84" s="397"/>
    </row>
    <row r="85" spans="1:16" ht="12.75">
      <c r="A85" s="326" t="s">
        <v>362</v>
      </c>
      <c r="B85" s="265"/>
      <c r="C85" s="279">
        <v>43951</v>
      </c>
      <c r="D85" s="265"/>
      <c r="E85" s="270"/>
      <c r="F85" s="328" t="s">
        <v>27</v>
      </c>
      <c r="G85" s="327" t="s">
        <v>362</v>
      </c>
      <c r="H85" s="310">
        <v>43466</v>
      </c>
      <c r="I85" s="311">
        <v>43830</v>
      </c>
      <c r="J85" s="393" t="s">
        <v>14</v>
      </c>
      <c r="K85" s="394"/>
      <c r="L85" s="395">
        <v>2889.4</v>
      </c>
      <c r="M85" s="396"/>
      <c r="N85" s="182">
        <v>7.6999999999999999E-2</v>
      </c>
      <c r="O85" s="397">
        <f>IF(L85&lt;&gt;"",L85*(1+N85),"")+0.02</f>
        <v>3111.9038</v>
      </c>
      <c r="P85" s="397"/>
    </row>
    <row r="86" spans="1:16" ht="12.75">
      <c r="A86" s="326" t="s">
        <v>363</v>
      </c>
      <c r="B86" s="265"/>
      <c r="C86" s="279">
        <v>43977</v>
      </c>
      <c r="D86" s="265"/>
      <c r="E86" s="270"/>
      <c r="F86" s="328" t="s">
        <v>27</v>
      </c>
      <c r="G86" s="327" t="s">
        <v>363</v>
      </c>
      <c r="H86" s="310">
        <v>43922</v>
      </c>
      <c r="I86" s="311">
        <v>43951</v>
      </c>
      <c r="J86" s="393" t="s">
        <v>135</v>
      </c>
      <c r="K86" s="394"/>
      <c r="L86" s="395">
        <v>86597</v>
      </c>
      <c r="M86" s="396"/>
      <c r="N86" s="182">
        <v>7.6999999999999999E-2</v>
      </c>
      <c r="O86" s="397">
        <f>IF(L86&lt;&gt;"",L86*(1+N86),"")-0.02</f>
        <v>93264.948999999993</v>
      </c>
      <c r="P86" s="397"/>
    </row>
    <row r="87" spans="1:16" ht="12.75">
      <c r="A87" s="326"/>
      <c r="B87" s="265"/>
      <c r="C87" s="279"/>
      <c r="D87" s="265"/>
      <c r="E87" s="270"/>
      <c r="F87" s="328"/>
      <c r="G87" s="327"/>
      <c r="H87" s="310"/>
      <c r="I87" s="311"/>
      <c r="J87" s="393"/>
      <c r="K87" s="394"/>
      <c r="L87" s="395"/>
      <c r="M87" s="396"/>
      <c r="N87" s="182"/>
      <c r="O87" s="397"/>
      <c r="P87" s="397"/>
    </row>
    <row r="88" spans="1:16" ht="12.75">
      <c r="A88" s="326"/>
      <c r="B88" s="265"/>
      <c r="C88" s="279"/>
      <c r="D88" s="265"/>
      <c r="E88" s="270"/>
      <c r="F88" s="328"/>
      <c r="G88" s="327"/>
      <c r="H88" s="310"/>
      <c r="I88" s="311"/>
      <c r="J88" s="393"/>
      <c r="K88" s="394"/>
      <c r="L88" s="395"/>
      <c r="M88" s="396"/>
      <c r="N88" s="182"/>
      <c r="O88" s="397"/>
      <c r="P88" s="397"/>
    </row>
    <row r="89" spans="1:16" ht="12.75">
      <c r="A89" s="326"/>
      <c r="B89" s="265"/>
      <c r="C89" s="279"/>
      <c r="D89" s="265"/>
      <c r="E89" s="270"/>
      <c r="F89" s="328"/>
      <c r="G89" s="327"/>
      <c r="H89" s="310"/>
      <c r="I89" s="311"/>
      <c r="J89" s="393"/>
      <c r="K89" s="394"/>
      <c r="L89" s="395"/>
      <c r="M89" s="396"/>
      <c r="N89" s="182"/>
      <c r="O89" s="397"/>
      <c r="P89" s="397"/>
    </row>
    <row r="90" spans="1:16" ht="12.75">
      <c r="A90" s="326"/>
      <c r="B90" s="265"/>
      <c r="C90" s="279"/>
      <c r="D90" s="265"/>
      <c r="E90" s="270"/>
      <c r="F90" s="328"/>
      <c r="G90" s="327"/>
      <c r="H90" s="310"/>
      <c r="I90" s="311"/>
      <c r="J90" s="393"/>
      <c r="K90" s="394"/>
      <c r="L90" s="395"/>
      <c r="M90" s="396"/>
      <c r="N90" s="182"/>
      <c r="O90" s="397"/>
      <c r="P90" s="397"/>
    </row>
    <row r="91" spans="1:16" ht="12.75">
      <c r="A91" s="326"/>
      <c r="B91" s="265"/>
      <c r="C91" s="279"/>
      <c r="D91" s="265"/>
      <c r="E91" s="270"/>
      <c r="F91" s="328"/>
      <c r="G91" s="327"/>
      <c r="H91" s="310"/>
      <c r="I91" s="311"/>
      <c r="J91" s="393"/>
      <c r="K91" s="394"/>
      <c r="L91" s="395"/>
      <c r="M91" s="396"/>
      <c r="N91" s="182"/>
      <c r="O91" s="397"/>
      <c r="P91" s="397"/>
    </row>
    <row r="92" spans="1:16" ht="12.75">
      <c r="A92" s="326"/>
      <c r="B92" s="265"/>
      <c r="C92" s="279"/>
      <c r="D92" s="265"/>
      <c r="E92" s="270"/>
      <c r="F92" s="328"/>
      <c r="G92" s="327"/>
      <c r="H92" s="310"/>
      <c r="I92" s="311"/>
      <c r="J92" s="393"/>
      <c r="K92" s="394"/>
      <c r="L92" s="395"/>
      <c r="M92" s="396"/>
      <c r="N92" s="182"/>
      <c r="O92" s="397"/>
      <c r="P92" s="397"/>
    </row>
    <row r="93" spans="1:16" ht="12.75">
      <c r="A93" s="326"/>
      <c r="B93" s="265"/>
      <c r="C93" s="279"/>
      <c r="D93" s="265"/>
      <c r="E93" s="270"/>
      <c r="F93" s="328"/>
      <c r="G93" s="327"/>
      <c r="H93" s="310"/>
      <c r="I93" s="311"/>
      <c r="J93" s="393"/>
      <c r="K93" s="394"/>
      <c r="L93" s="395"/>
      <c r="M93" s="396"/>
      <c r="N93" s="182"/>
      <c r="O93" s="397"/>
      <c r="P93" s="397"/>
    </row>
    <row r="94" spans="1:16" ht="12.75">
      <c r="A94" s="326"/>
      <c r="B94" s="265"/>
      <c r="C94" s="279"/>
      <c r="D94" s="265"/>
      <c r="E94" s="270"/>
      <c r="F94" s="328"/>
      <c r="G94" s="327"/>
      <c r="H94" s="310"/>
      <c r="I94" s="311"/>
      <c r="J94" s="393"/>
      <c r="K94" s="394"/>
      <c r="L94" s="395"/>
      <c r="M94" s="396"/>
      <c r="N94" s="182"/>
      <c r="O94" s="397"/>
      <c r="P94" s="397"/>
    </row>
    <row r="95" spans="1:16" ht="6" customHeight="1">
      <c r="A95" s="81"/>
      <c r="C95" s="277"/>
      <c r="D95" s="387"/>
      <c r="E95" s="388"/>
      <c r="F95" s="389"/>
      <c r="G95" s="390"/>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1">
        <f>-SUMIF(J80:K95,'Dropdowns DL'!B5,L80:M95)+L97</f>
        <v>1088228.75</v>
      </c>
      <c r="M96" s="392"/>
      <c r="N96" s="185"/>
      <c r="O96" s="391">
        <f>-SUMIF(J80:K95,'Dropdowns DL'!B5,O80:P95)+O97</f>
        <v>1172022.34375</v>
      </c>
      <c r="P96" s="391"/>
    </row>
    <row r="97" spans="1:16" s="42" customFormat="1" ht="12.75">
      <c r="A97" s="26" t="s">
        <v>182</v>
      </c>
      <c r="B97" s="63"/>
      <c r="C97" s="63"/>
      <c r="D97" s="236"/>
      <c r="E97" s="236"/>
      <c r="F97" s="236"/>
      <c r="G97" s="236"/>
      <c r="H97" s="236"/>
      <c r="I97" s="236"/>
      <c r="J97" s="236"/>
      <c r="K97" s="237"/>
      <c r="L97" s="361">
        <f>SUM(L80:M95)</f>
        <v>1091118.1499999999</v>
      </c>
      <c r="M97" s="362"/>
      <c r="N97" s="186"/>
      <c r="O97" s="361">
        <f>SUM(O80:P95)</f>
        <v>1175134.24755</v>
      </c>
      <c r="P97" s="363"/>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1">
        <f>SUMIF(J80:K95,'Dropdowns DL'!B4,L80:M95)</f>
        <v>1088228.75</v>
      </c>
      <c r="M99" s="362"/>
      <c r="N99" s="183"/>
      <c r="O99" s="361">
        <f>SUMIF(J80:K95,'Dropdowns DL'!B4,O80:P95)</f>
        <v>1172022.34375</v>
      </c>
      <c r="P99" s="363"/>
    </row>
    <row r="100" spans="1:16" ht="12.75">
      <c r="A100" s="44"/>
      <c r="J100" s="42" t="s">
        <v>278</v>
      </c>
      <c r="K100" s="17"/>
      <c r="L100" s="361">
        <f>SUMIF(J80:K95,'Dropdowns DL'!B6,L80:M95)</f>
        <v>0</v>
      </c>
      <c r="M100" s="362"/>
      <c r="N100" s="183"/>
      <c r="O100" s="361">
        <f>SUMIF(J80:K95,'Dropdowns DL'!B6,O80:P95)</f>
        <v>0</v>
      </c>
      <c r="P100" s="363"/>
    </row>
    <row r="101" spans="1:16" ht="12.75">
      <c r="A101" s="44"/>
      <c r="J101" s="42" t="s">
        <v>193</v>
      </c>
      <c r="K101" s="17"/>
      <c r="L101" s="361">
        <f>SUMIF(J80:K95,'Dropdowns DL'!B5,L80:M95)</f>
        <v>2889.4</v>
      </c>
      <c r="M101" s="362"/>
      <c r="N101" s="183"/>
      <c r="O101" s="361">
        <f>SUMIF(J80:K95,'Dropdowns DL'!B5,O80:P95)</f>
        <v>3111.9038</v>
      </c>
      <c r="P101" s="363"/>
    </row>
    <row r="102" spans="1:16" ht="12.75" hidden="1">
      <c r="A102" s="44"/>
      <c r="J102" s="42" t="s">
        <v>194</v>
      </c>
      <c r="K102" s="17"/>
      <c r="L102" s="361">
        <f>SUMIF(J80:K95,'Dropdowns Bau'!B5,L80:M95)</f>
        <v>0</v>
      </c>
      <c r="M102" s="362"/>
      <c r="N102" s="183"/>
      <c r="O102" s="361">
        <f>SUMIF(J80:K95,'Dropdowns Bau'!B5,O80:P95)</f>
        <v>0</v>
      </c>
      <c r="P102" s="363"/>
    </row>
    <row r="103" spans="1:16" ht="6" customHeight="1">
      <c r="A103" s="81"/>
      <c r="B103" s="87"/>
      <c r="C103" s="87"/>
      <c r="D103" s="87"/>
      <c r="E103" s="87"/>
      <c r="F103" s="87"/>
      <c r="G103" s="87"/>
      <c r="H103" s="87"/>
      <c r="I103" s="87"/>
      <c r="J103" s="87"/>
      <c r="K103" s="82"/>
      <c r="L103" s="364"/>
      <c r="M103" s="365"/>
      <c r="N103" s="188"/>
      <c r="O103" s="366"/>
      <c r="P103" s="366"/>
    </row>
    <row r="104" spans="1:16" ht="6" customHeight="1"/>
    <row r="106" spans="1:16" ht="15">
      <c r="A106" s="167" t="s">
        <v>183</v>
      </c>
      <c r="B106" s="156"/>
      <c r="C106" s="156"/>
      <c r="D106" s="156"/>
      <c r="E106" s="156"/>
      <c r="F106" s="156"/>
      <c r="G106" s="156"/>
      <c r="H106" s="157"/>
      <c r="I106" s="367" t="s">
        <v>210</v>
      </c>
      <c r="J106" s="367"/>
      <c r="K106" s="367"/>
      <c r="L106" s="367"/>
      <c r="M106" s="367"/>
      <c r="N106" s="367"/>
      <c r="O106" s="367"/>
      <c r="P106" s="367"/>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68" t="s">
        <v>208</v>
      </c>
      <c r="E108" s="369"/>
      <c r="F108" s="370" t="s">
        <v>209</v>
      </c>
      <c r="G108" s="371"/>
      <c r="H108" s="23"/>
      <c r="I108" s="372" t="s">
        <v>253</v>
      </c>
      <c r="J108" s="373"/>
      <c r="K108" s="378" t="s">
        <v>277</v>
      </c>
      <c r="L108" s="379"/>
      <c r="M108" s="379"/>
      <c r="N108" s="379"/>
      <c r="O108" s="379"/>
      <c r="P108" s="380"/>
    </row>
    <row r="109" spans="1:16" ht="12.75">
      <c r="A109" s="330" t="s">
        <v>215</v>
      </c>
      <c r="B109" s="331"/>
      <c r="C109" s="332"/>
      <c r="D109" s="350">
        <f>L73</f>
        <v>3748210.75</v>
      </c>
      <c r="E109" s="351"/>
      <c r="F109" s="352">
        <f>O73</f>
        <v>4036823</v>
      </c>
      <c r="G109" s="353"/>
      <c r="H109" s="91"/>
      <c r="I109" s="374"/>
      <c r="J109" s="375"/>
      <c r="K109" s="381"/>
      <c r="L109" s="382"/>
      <c r="M109" s="382"/>
      <c r="N109" s="382"/>
      <c r="O109" s="382"/>
      <c r="P109" s="383"/>
    </row>
    <row r="110" spans="1:16" ht="12.75">
      <c r="A110" s="354" t="s">
        <v>181</v>
      </c>
      <c r="B110" s="355"/>
      <c r="C110" s="356"/>
      <c r="D110" s="357">
        <f>L96</f>
        <v>1088228.75</v>
      </c>
      <c r="E110" s="358"/>
      <c r="F110" s="359">
        <f>O96</f>
        <v>1172022.34375</v>
      </c>
      <c r="G110" s="360"/>
      <c r="H110" s="91"/>
      <c r="I110" s="374"/>
      <c r="J110" s="375"/>
      <c r="K110" s="381"/>
      <c r="L110" s="382"/>
      <c r="M110" s="382"/>
      <c r="N110" s="382"/>
      <c r="O110" s="382"/>
      <c r="P110" s="383"/>
    </row>
    <row r="111" spans="1:16" ht="12" customHeight="1">
      <c r="A111" s="330" t="s">
        <v>178</v>
      </c>
      <c r="B111" s="331"/>
      <c r="C111" s="332"/>
      <c r="D111" s="336">
        <f>D109-D110</f>
        <v>2659982</v>
      </c>
      <c r="E111" s="337"/>
      <c r="F111" s="340">
        <f>F109-F110</f>
        <v>2864800.65625</v>
      </c>
      <c r="G111" s="341"/>
      <c r="H111" s="92"/>
      <c r="I111" s="374"/>
      <c r="J111" s="375"/>
      <c r="K111" s="381"/>
      <c r="L111" s="382"/>
      <c r="M111" s="382"/>
      <c r="N111" s="382"/>
      <c r="O111" s="382"/>
      <c r="P111" s="383"/>
    </row>
    <row r="112" spans="1:16" ht="12" customHeight="1">
      <c r="A112" s="333"/>
      <c r="B112" s="334"/>
      <c r="C112" s="335"/>
      <c r="D112" s="338"/>
      <c r="E112" s="339"/>
      <c r="F112" s="342"/>
      <c r="G112" s="343"/>
      <c r="H112" s="92"/>
      <c r="I112" s="374"/>
      <c r="J112" s="375"/>
      <c r="K112" s="381"/>
      <c r="L112" s="382"/>
      <c r="M112" s="382"/>
      <c r="N112" s="382"/>
      <c r="O112" s="382"/>
      <c r="P112" s="383"/>
    </row>
    <row r="113" spans="1:16" ht="12.75">
      <c r="A113" s="344" t="s">
        <v>177</v>
      </c>
      <c r="B113" s="345"/>
      <c r="C113" s="346"/>
      <c r="D113" s="347">
        <f>IF(D110&lt;&gt;0,D110/D109,0)</f>
        <v>0.29033286081899212</v>
      </c>
      <c r="E113" s="348"/>
      <c r="F113" s="347">
        <f>IF(D110&lt;&gt;0,F110/F109,0)</f>
        <v>0.2903328542643559</v>
      </c>
      <c r="G113" s="349"/>
      <c r="H113" s="93"/>
      <c r="I113" s="376"/>
      <c r="J113" s="377"/>
      <c r="K113" s="384"/>
      <c r="L113" s="385"/>
      <c r="M113" s="385"/>
      <c r="N113" s="385"/>
      <c r="O113" s="385"/>
      <c r="P113" s="386"/>
    </row>
  </sheetData>
  <mergeCells count="175">
    <mergeCell ref="H2:I2"/>
    <mergeCell ref="C3:E3"/>
    <mergeCell ref="C4:E4"/>
    <mergeCell ref="H4:J4"/>
    <mergeCell ref="C6:E6"/>
    <mergeCell ref="H6:J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 ref="A64:P64"/>
    <mergeCell ref="A66:C66"/>
    <mergeCell ref="D66:E66"/>
    <mergeCell ref="F66:G66"/>
    <mergeCell ref="H66:I66"/>
    <mergeCell ref="O67:P67"/>
    <mergeCell ref="H13:J13"/>
    <mergeCell ref="H14:J14"/>
    <mergeCell ref="H15:J15"/>
    <mergeCell ref="A19:P19"/>
    <mergeCell ref="A26:B26"/>
    <mergeCell ref="A27:B27"/>
    <mergeCell ref="A28:B28"/>
    <mergeCell ref="A29:B29"/>
    <mergeCell ref="J66:K66"/>
    <mergeCell ref="L66:P66"/>
    <mergeCell ref="A30:B30"/>
    <mergeCell ref="B36:P36"/>
    <mergeCell ref="A38:P38"/>
    <mergeCell ref="E40:F40"/>
    <mergeCell ref="J40:K40"/>
    <mergeCell ref="A68:C68"/>
    <mergeCell ref="D68:E68"/>
    <mergeCell ref="F68:G68"/>
    <mergeCell ref="H68:I68"/>
    <mergeCell ref="J68:K68"/>
    <mergeCell ref="L68:M68"/>
    <mergeCell ref="O68:P68"/>
    <mergeCell ref="A67:C67"/>
    <mergeCell ref="D67:E67"/>
    <mergeCell ref="F67:G67"/>
    <mergeCell ref="H67:I67"/>
    <mergeCell ref="J67:K67"/>
    <mergeCell ref="L67:M67"/>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D79:E79"/>
    <mergeCell ref="F79:G79"/>
    <mergeCell ref="J79:K79"/>
    <mergeCell ref="J80:K80"/>
    <mergeCell ref="L80:M80"/>
    <mergeCell ref="O80:P80"/>
    <mergeCell ref="J83:K83"/>
    <mergeCell ref="L83:M83"/>
    <mergeCell ref="O83:P83"/>
    <mergeCell ref="J84:K84"/>
    <mergeCell ref="L84:M84"/>
    <mergeCell ref="O84:P84"/>
    <mergeCell ref="J81:K81"/>
    <mergeCell ref="L81:M81"/>
    <mergeCell ref="O81:P81"/>
    <mergeCell ref="J82:K82"/>
    <mergeCell ref="L82:M82"/>
    <mergeCell ref="O82:P82"/>
    <mergeCell ref="J87:K87"/>
    <mergeCell ref="L87:M87"/>
    <mergeCell ref="O87:P87"/>
    <mergeCell ref="J88:K88"/>
    <mergeCell ref="L88:M88"/>
    <mergeCell ref="O88:P88"/>
    <mergeCell ref="J85:K85"/>
    <mergeCell ref="L85:M85"/>
    <mergeCell ref="O85:P85"/>
    <mergeCell ref="J86:K86"/>
    <mergeCell ref="L86:M86"/>
    <mergeCell ref="O86:P86"/>
    <mergeCell ref="J91:K91"/>
    <mergeCell ref="L91:M91"/>
    <mergeCell ref="O91:P91"/>
    <mergeCell ref="J94:K94"/>
    <mergeCell ref="L94:M94"/>
    <mergeCell ref="O94:P94"/>
    <mergeCell ref="J89:K89"/>
    <mergeCell ref="L89:M89"/>
    <mergeCell ref="O89:P89"/>
    <mergeCell ref="J90:K90"/>
    <mergeCell ref="L90:M90"/>
    <mergeCell ref="O90:P90"/>
    <mergeCell ref="J92:K92"/>
    <mergeCell ref="L92:M92"/>
    <mergeCell ref="O92:P92"/>
    <mergeCell ref="L93:M93"/>
    <mergeCell ref="O93:P93"/>
    <mergeCell ref="J93:K93"/>
    <mergeCell ref="L99:M99"/>
    <mergeCell ref="O99:P99"/>
    <mergeCell ref="L100:M100"/>
    <mergeCell ref="O100:P100"/>
    <mergeCell ref="L101:M101"/>
    <mergeCell ref="O101:P101"/>
    <mergeCell ref="D95:E95"/>
    <mergeCell ref="F95:G95"/>
    <mergeCell ref="L96:M96"/>
    <mergeCell ref="O96:P96"/>
    <mergeCell ref="L97:M97"/>
    <mergeCell ref="O97:P97"/>
    <mergeCell ref="L102:M102"/>
    <mergeCell ref="O102:P102"/>
    <mergeCell ref="L103:M103"/>
    <mergeCell ref="O103:P103"/>
    <mergeCell ref="I106:P106"/>
    <mergeCell ref="D108:E108"/>
    <mergeCell ref="F108:G108"/>
    <mergeCell ref="I108:J113"/>
    <mergeCell ref="K108:P113"/>
    <mergeCell ref="A111:C112"/>
    <mergeCell ref="D111:E112"/>
    <mergeCell ref="F111:G112"/>
    <mergeCell ref="A113:C113"/>
    <mergeCell ref="D113:E113"/>
    <mergeCell ref="F113:G113"/>
    <mergeCell ref="A109:C109"/>
    <mergeCell ref="D109:E109"/>
    <mergeCell ref="F109:G109"/>
    <mergeCell ref="A110:C110"/>
    <mergeCell ref="D110:E110"/>
    <mergeCell ref="F110:G110"/>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3:G113">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5:K95">
      <formula1>Rechnungsart</formula1>
    </dataValidation>
    <dataValidation type="list" allowBlank="1" showInputMessage="1" showErrorMessage="1" sqref="H95:I95 F80:F94">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4">
      <formula1>"Honorar usw.,Nebenkosten,Teuerung,"</formula1>
    </dataValidation>
  </dataValidations>
  <hyperlinks>
    <hyperlink ref="D46" r:id="rId1" display="E-Mail@ch"/>
    <hyperlink ref="H6" r:id="rId2" display="h.fehlmann@bp-ing.ch"/>
  </hyperlinks>
  <printOptions horizontalCentered="1"/>
  <pageMargins left="0.19685039370078741" right="0.19685039370078741" top="0.78740157480314965" bottom="0.51181102362204722" header="0.27559055118110237" footer="0.2755905511811023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479"/>
      <c r="I1" s="479"/>
      <c r="J1" s="149"/>
      <c r="K1" s="189"/>
      <c r="L1" s="166" t="s">
        <v>154</v>
      </c>
      <c r="M1" s="190"/>
      <c r="N1" s="105"/>
      <c r="O1" s="148"/>
      <c r="P1" s="150"/>
    </row>
    <row r="2" spans="1:16" s="14" customFormat="1" ht="12.75">
      <c r="A2" s="16" t="s">
        <v>12</v>
      </c>
      <c r="C2" s="491" t="str">
        <f>'RDB Dienstleistungen'!C2:E2</f>
        <v>EP RHE FRI</v>
      </c>
      <c r="D2" s="491"/>
      <c r="E2" s="492"/>
      <c r="F2" s="16" t="s">
        <v>327</v>
      </c>
      <c r="H2" s="473"/>
      <c r="I2" s="473"/>
      <c r="J2" s="67" t="s">
        <v>195</v>
      </c>
      <c r="K2" s="193"/>
      <c r="L2" s="16" t="s">
        <v>13</v>
      </c>
      <c r="N2" s="159"/>
      <c r="P2" s="18"/>
    </row>
    <row r="3" spans="1:16" s="14" customFormat="1" ht="12.75">
      <c r="A3" s="16" t="s">
        <v>158</v>
      </c>
      <c r="C3" s="474" t="str">
        <f>'RDB Dienstleistungen'!C3:E3</f>
        <v>N3 EP Rheinfelden - Frick und Einzelmassnahmen</v>
      </c>
      <c r="D3" s="474"/>
      <c r="E3" s="475"/>
      <c r="F3" s="16" t="s">
        <v>159</v>
      </c>
      <c r="H3" s="461"/>
      <c r="I3" s="461"/>
      <c r="J3" s="461"/>
      <c r="K3" s="476"/>
      <c r="L3" s="16" t="s">
        <v>166</v>
      </c>
      <c r="N3" s="194"/>
      <c r="O3" s="194"/>
      <c r="P3" s="94"/>
    </row>
    <row r="4" spans="1:16" s="14" customFormat="1" ht="12.75">
      <c r="A4" s="16" t="s">
        <v>184</v>
      </c>
      <c r="C4" s="474" t="str">
        <f>'RDB Dienstleistungen'!C4:E4</f>
        <v>FUP.2</v>
      </c>
      <c r="D4" s="474"/>
      <c r="E4" s="475"/>
      <c r="F4" s="20" t="s">
        <v>165</v>
      </c>
      <c r="H4" s="461" t="str">
        <f>'RDB Dienstleistungen'!H4:J4</f>
        <v>Beat Schädler</v>
      </c>
      <c r="I4" s="461"/>
      <c r="J4" s="461"/>
      <c r="K4" s="17"/>
      <c r="L4" s="16" t="s">
        <v>175</v>
      </c>
      <c r="N4" s="159"/>
      <c r="O4" s="19" t="s">
        <v>5</v>
      </c>
      <c r="P4" s="161"/>
    </row>
    <row r="5" spans="1:16" s="14" customFormat="1" ht="12.75">
      <c r="A5" s="25"/>
      <c r="C5" s="191"/>
      <c r="D5" s="169"/>
      <c r="E5" s="169"/>
      <c r="F5" s="25"/>
      <c r="G5" s="15" t="s">
        <v>169</v>
      </c>
      <c r="H5" s="461" t="str">
        <f>'RDB Dienstleistungen'!H5:J5</f>
        <v>061 365 22 22</v>
      </c>
      <c r="I5" s="461"/>
      <c r="J5" s="461"/>
      <c r="K5" s="17"/>
      <c r="L5" s="20" t="s">
        <v>25</v>
      </c>
      <c r="N5" s="160"/>
      <c r="O5" s="80" t="s">
        <v>179</v>
      </c>
      <c r="P5" s="162"/>
    </row>
    <row r="6" spans="1:16" s="14" customFormat="1" ht="12.75">
      <c r="A6" s="16" t="s">
        <v>7</v>
      </c>
      <c r="C6" s="461" t="str">
        <f>'RDB Dienstleistungen'!C6:E6</f>
        <v>Nicole Schulz</v>
      </c>
      <c r="D6" s="461"/>
      <c r="E6" s="476"/>
      <c r="F6" s="25"/>
      <c r="G6" s="15" t="s">
        <v>161</v>
      </c>
      <c r="H6" s="478" t="str">
        <f>'RDB Dienstleistungen'!H6:J6</f>
        <v>b.schaedler@aebo.ch</v>
      </c>
      <c r="I6" s="478"/>
      <c r="J6" s="478"/>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505" t="s">
        <v>142</v>
      </c>
      <c r="D8" s="505"/>
      <c r="E8" s="506"/>
      <c r="F8" s="21" t="s">
        <v>162</v>
      </c>
      <c r="G8" s="29"/>
      <c r="H8" s="486" t="str">
        <f>'RDB Dienstleistungen'!H8:K8</f>
        <v>INGE EP RF BB, c/o Aegerter &amp; Bosshardt AG</v>
      </c>
      <c r="I8" s="486"/>
      <c r="J8" s="486"/>
      <c r="K8" s="487"/>
      <c r="L8" s="31" t="s">
        <v>188</v>
      </c>
      <c r="M8" s="32"/>
      <c r="N8" s="32"/>
      <c r="O8" s="32"/>
      <c r="P8" s="30"/>
    </row>
    <row r="9" spans="1:16" s="14" customFormat="1" ht="12.75">
      <c r="A9" s="25"/>
      <c r="C9" s="507"/>
      <c r="D9" s="507"/>
      <c r="E9" s="508"/>
      <c r="F9" s="25"/>
      <c r="H9" s="461" t="str">
        <f>'RDB Dienstleistungen'!H9:K9</f>
        <v>Hochstrasse 48</v>
      </c>
      <c r="I9" s="461"/>
      <c r="J9" s="461"/>
      <c r="K9" s="476"/>
      <c r="L9" s="159"/>
      <c r="M9" s="159"/>
      <c r="N9" s="66"/>
      <c r="O9" s="66"/>
      <c r="P9" s="99"/>
    </row>
    <row r="10" spans="1:16" s="14" customFormat="1" ht="12.75">
      <c r="A10" s="25"/>
      <c r="C10" s="507"/>
      <c r="D10" s="507"/>
      <c r="E10" s="508"/>
      <c r="F10" s="25"/>
      <c r="H10" s="461" t="str">
        <f>'RDB Dienstleistungen'!H10:K10</f>
        <v>4002 Basel</v>
      </c>
      <c r="I10" s="461"/>
      <c r="J10" s="461"/>
      <c r="K10" s="476"/>
      <c r="L10" s="159"/>
      <c r="M10" s="159"/>
      <c r="N10" s="66"/>
      <c r="O10" s="66"/>
      <c r="P10" s="99"/>
    </row>
    <row r="11" spans="1:16" s="14" customFormat="1" ht="12.75" customHeight="1">
      <c r="A11" s="25"/>
      <c r="C11" s="507"/>
      <c r="D11" s="507"/>
      <c r="E11" s="508"/>
      <c r="F11" s="25"/>
      <c r="H11" s="461">
        <f>'RDB Dienstleistungen'!H11:K11</f>
        <v>0</v>
      </c>
      <c r="I11" s="461"/>
      <c r="J11" s="461"/>
      <c r="K11" s="476"/>
      <c r="L11" s="159"/>
      <c r="M11" s="159"/>
      <c r="N11" s="66"/>
      <c r="O11" s="66"/>
      <c r="P11" s="99"/>
    </row>
    <row r="12" spans="1:16" s="14" customFormat="1" ht="12.75">
      <c r="A12" s="25"/>
      <c r="C12" s="507"/>
      <c r="D12" s="507"/>
      <c r="E12" s="508"/>
      <c r="F12" s="25"/>
      <c r="H12" s="488"/>
      <c r="I12" s="488"/>
      <c r="J12" s="488"/>
      <c r="K12" s="18"/>
      <c r="L12" s="159"/>
      <c r="M12" s="159"/>
      <c r="N12" s="66"/>
      <c r="O12" s="164"/>
      <c r="P12" s="99"/>
    </row>
    <row r="13" spans="1:16" s="14" customFormat="1" ht="12.75">
      <c r="A13" s="25"/>
      <c r="C13" s="507"/>
      <c r="D13" s="507"/>
      <c r="E13" s="508"/>
      <c r="F13" s="16" t="s">
        <v>206</v>
      </c>
      <c r="H13" s="461" t="str">
        <f>'RDB Dienstleistungen'!H13:J13</f>
        <v>CHE-164.869.840 MWST</v>
      </c>
      <c r="I13" s="461"/>
      <c r="J13" s="461"/>
      <c r="K13" s="18"/>
      <c r="L13" s="159"/>
      <c r="M13" s="159"/>
      <c r="N13" s="66"/>
      <c r="O13" s="66"/>
      <c r="P13" s="99"/>
    </row>
    <row r="14" spans="1:16" s="14" customFormat="1" ht="12.75" hidden="1">
      <c r="A14" s="25"/>
      <c r="C14" s="507"/>
      <c r="D14" s="507"/>
      <c r="E14" s="508"/>
      <c r="F14" s="16"/>
      <c r="H14" s="462"/>
      <c r="I14" s="462"/>
      <c r="J14" s="462"/>
      <c r="K14" s="18"/>
      <c r="L14" s="98"/>
      <c r="M14" s="66"/>
      <c r="N14" s="66"/>
      <c r="O14" s="66"/>
      <c r="P14" s="99"/>
    </row>
    <row r="15" spans="1:16" s="14" customFormat="1" ht="12.75" hidden="1">
      <c r="A15" s="25"/>
      <c r="F15" s="16"/>
      <c r="G15" s="24"/>
      <c r="H15" s="462"/>
      <c r="I15" s="462"/>
      <c r="J15" s="462"/>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5" t="s">
        <v>275</v>
      </c>
      <c r="B19" s="405"/>
      <c r="C19" s="405"/>
      <c r="D19" s="405"/>
      <c r="E19" s="405"/>
      <c r="F19" s="405"/>
      <c r="G19" s="405"/>
      <c r="H19" s="405"/>
      <c r="I19" s="405"/>
      <c r="J19" s="405"/>
      <c r="K19" s="405"/>
      <c r="L19" s="405"/>
      <c r="M19" s="405"/>
      <c r="N19" s="405"/>
      <c r="O19" s="405"/>
      <c r="P19" s="405"/>
      <c r="Q19" s="15"/>
      <c r="R19" s="15"/>
    </row>
    <row r="20" spans="1:18" s="35" customFormat="1">
      <c r="Q20" s="15"/>
      <c r="R20" s="15"/>
    </row>
    <row r="21" spans="1:18" s="37" customFormat="1" ht="12.75" thickBot="1">
      <c r="A21" s="493" t="s">
        <v>150</v>
      </c>
      <c r="B21" s="494"/>
      <c r="C21" s="494"/>
      <c r="D21" s="494"/>
      <c r="E21" s="494"/>
      <c r="F21" s="495"/>
      <c r="G21" s="496" t="s">
        <v>276</v>
      </c>
      <c r="H21" s="497"/>
      <c r="I21" s="497"/>
      <c r="J21" s="497"/>
      <c r="K21" s="497"/>
      <c r="L21" s="497"/>
      <c r="M21" s="497"/>
      <c r="N21" s="497"/>
      <c r="O21" s="497"/>
      <c r="P21" s="498"/>
      <c r="Q21" s="15"/>
      <c r="R21" s="15"/>
    </row>
    <row r="22" spans="1:18" s="74" customFormat="1" ht="24">
      <c r="A22" s="499" t="s">
        <v>167</v>
      </c>
      <c r="B22" s="500"/>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1"/>
      <c r="B23" s="502"/>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503"/>
      <c r="B24" s="504"/>
      <c r="C24" s="215"/>
      <c r="D24" s="216"/>
      <c r="E24" s="218"/>
      <c r="F24" s="204"/>
      <c r="G24" s="205"/>
      <c r="H24" s="206"/>
      <c r="I24" s="207"/>
      <c r="J24" s="208"/>
      <c r="K24" s="206"/>
      <c r="L24" s="207"/>
      <c r="M24" s="209"/>
      <c r="N24" s="210"/>
      <c r="O24" s="211"/>
      <c r="P24" s="212"/>
      <c r="Q24" s="75"/>
      <c r="R24" s="75"/>
    </row>
    <row r="25" spans="1:18" s="77" customFormat="1" ht="12.75">
      <c r="A25" s="463" t="str">
        <f>'RDB Dienstleistungen'!A25:B25</f>
        <v>FUP.2</v>
      </c>
      <c r="B25" s="464"/>
      <c r="C25" s="323" t="str">
        <f>'RDB Dienstleistungen'!C25</f>
        <v>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463">
        <f>'RDB Dienstleistungen'!A26:B26</f>
        <v>0</v>
      </c>
      <c r="B26" s="464"/>
      <c r="C26" s="323">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63">
        <f>'RDB Dienstleistungen'!A27:B27</f>
        <v>0</v>
      </c>
      <c r="B27" s="464"/>
      <c r="C27" s="321">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63">
        <f>'RDB Dienstleistungen'!A28:B28</f>
        <v>0</v>
      </c>
      <c r="B28" s="464"/>
      <c r="C28" s="321">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63">
        <f>'RDB Dienstleistungen'!A29:B29</f>
        <v>0</v>
      </c>
      <c r="B29" s="464"/>
      <c r="C29" s="321">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7"/>
      <c r="B30" s="46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3"/>
      <c r="E32" s="294"/>
      <c r="F32" s="295"/>
      <c r="G32" s="296"/>
      <c r="H32" s="296"/>
      <c r="I32" s="297"/>
      <c r="J32" s="296"/>
      <c r="K32" s="296"/>
      <c r="L32" s="297"/>
      <c r="M32" s="37" t="s">
        <v>295</v>
      </c>
      <c r="N32" s="297"/>
      <c r="O32" s="296"/>
      <c r="P32" s="298">
        <v>0</v>
      </c>
      <c r="Q32" s="15"/>
      <c r="R32" s="15"/>
    </row>
    <row r="33" spans="1:18" s="41" customFormat="1" ht="13.5" thickBot="1">
      <c r="C33" s="293"/>
      <c r="E33" s="294"/>
      <c r="F33" s="295"/>
      <c r="G33" s="296"/>
      <c r="H33" s="296"/>
      <c r="I33" s="297"/>
      <c r="J33" s="296"/>
      <c r="K33" s="296"/>
      <c r="L33" s="297"/>
      <c r="M33" s="41" t="s">
        <v>294</v>
      </c>
      <c r="N33" s="297"/>
      <c r="O33" s="296"/>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469" t="s">
        <v>334</v>
      </c>
      <c r="C36" s="470"/>
      <c r="D36" s="470"/>
      <c r="E36" s="470"/>
      <c r="F36" s="470"/>
      <c r="G36" s="470"/>
      <c r="H36" s="470"/>
      <c r="I36" s="470"/>
      <c r="J36" s="470"/>
      <c r="K36" s="470"/>
      <c r="L36" s="470"/>
      <c r="M36" s="470"/>
      <c r="N36" s="470"/>
      <c r="O36" s="470"/>
      <c r="P36" s="470"/>
    </row>
  </sheetData>
  <mergeCells count="32">
    <mergeCell ref="A29:B29"/>
    <mergeCell ref="A30:B30"/>
    <mergeCell ref="B36:P36"/>
    <mergeCell ref="A23:B23"/>
    <mergeCell ref="A24:B24"/>
    <mergeCell ref="A25:B25"/>
    <mergeCell ref="A26:B26"/>
    <mergeCell ref="A27:B27"/>
    <mergeCell ref="A28:B28"/>
    <mergeCell ref="H15:J15"/>
    <mergeCell ref="A19:P19"/>
    <mergeCell ref="A21:F21"/>
    <mergeCell ref="G21:P21"/>
    <mergeCell ref="A22:B22"/>
    <mergeCell ref="C8:E14"/>
    <mergeCell ref="H8:K8"/>
    <mergeCell ref="H9:K9"/>
    <mergeCell ref="H10:K10"/>
    <mergeCell ref="H11:K11"/>
    <mergeCell ref="H12:J12"/>
    <mergeCell ref="H13:J13"/>
    <mergeCell ref="H14:J14"/>
    <mergeCell ref="C4:E4"/>
    <mergeCell ref="H4:J4"/>
    <mergeCell ref="H5:J5"/>
    <mergeCell ref="C6:E6"/>
    <mergeCell ref="H6:J6"/>
    <mergeCell ref="H1:I1"/>
    <mergeCell ref="C2:E2"/>
    <mergeCell ref="H2:I2"/>
    <mergeCell ref="C3:E3"/>
    <mergeCell ref="H3:K3"/>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topLeftCell="A29" zoomScaleNormal="100" zoomScalePageLayoutView="90" workbookViewId="0">
      <selection activeCell="E24" sqref="E24"/>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491" t="s">
        <v>250</v>
      </c>
      <c r="D2" s="491"/>
      <c r="E2" s="492"/>
      <c r="F2" s="16" t="s">
        <v>327</v>
      </c>
      <c r="H2" s="473">
        <v>43101</v>
      </c>
      <c r="I2" s="473"/>
      <c r="J2" s="67" t="s">
        <v>195</v>
      </c>
      <c r="K2" s="193">
        <v>43830</v>
      </c>
      <c r="L2" s="16" t="s">
        <v>13</v>
      </c>
      <c r="N2" s="159">
        <v>43196</v>
      </c>
      <c r="P2" s="18"/>
    </row>
    <row r="3" spans="1:16" s="14" customFormat="1" ht="15.75">
      <c r="A3" s="16" t="s">
        <v>158</v>
      </c>
      <c r="C3" s="512" t="s">
        <v>218</v>
      </c>
      <c r="D3" s="512"/>
      <c r="E3" s="513"/>
      <c r="F3" s="16" t="s">
        <v>159</v>
      </c>
      <c r="H3" s="461" t="s">
        <v>219</v>
      </c>
      <c r="I3" s="461"/>
      <c r="J3" s="461"/>
      <c r="K3" s="17"/>
      <c r="L3" s="16" t="s">
        <v>166</v>
      </c>
      <c r="N3" s="194" t="s">
        <v>255</v>
      </c>
      <c r="O3" s="194"/>
      <c r="P3" s="94"/>
    </row>
    <row r="4" spans="1:16" s="14" customFormat="1" ht="12.75">
      <c r="A4" s="16" t="s">
        <v>184</v>
      </c>
      <c r="C4" s="474" t="s">
        <v>251</v>
      </c>
      <c r="D4" s="474"/>
      <c r="E4" s="475"/>
      <c r="F4" s="20" t="s">
        <v>165</v>
      </c>
      <c r="H4" s="461" t="s">
        <v>220</v>
      </c>
      <c r="I4" s="461"/>
      <c r="J4" s="461"/>
      <c r="K4" s="17"/>
      <c r="L4" s="16" t="s">
        <v>175</v>
      </c>
      <c r="N4" s="159">
        <v>43132</v>
      </c>
      <c r="O4" s="19" t="s">
        <v>5</v>
      </c>
      <c r="P4" s="161">
        <v>43190</v>
      </c>
    </row>
    <row r="5" spans="1:16" s="14" customFormat="1" ht="12.75">
      <c r="A5" s="25"/>
      <c r="C5" s="191"/>
      <c r="D5" s="169"/>
      <c r="E5" s="169"/>
      <c r="F5" s="25"/>
      <c r="G5" s="15" t="s">
        <v>169</v>
      </c>
      <c r="H5" s="461" t="s">
        <v>221</v>
      </c>
      <c r="I5" s="461"/>
      <c r="J5" s="461"/>
      <c r="K5" s="17"/>
      <c r="L5" s="20" t="s">
        <v>25</v>
      </c>
      <c r="N5" s="160" t="s">
        <v>27</v>
      </c>
      <c r="O5" s="80" t="s">
        <v>179</v>
      </c>
      <c r="P5" s="162" t="s">
        <v>259</v>
      </c>
    </row>
    <row r="6" spans="1:16" s="14" customFormat="1" ht="12.75">
      <c r="A6" s="16" t="s">
        <v>7</v>
      </c>
      <c r="C6" s="461" t="s">
        <v>221</v>
      </c>
      <c r="D6" s="461"/>
      <c r="E6" s="476"/>
      <c r="F6" s="25"/>
      <c r="G6" s="15" t="s">
        <v>161</v>
      </c>
      <c r="H6" s="478" t="s">
        <v>222</v>
      </c>
      <c r="I6" s="478"/>
      <c r="J6" s="478"/>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505" t="s">
        <v>142</v>
      </c>
      <c r="D8" s="505"/>
      <c r="E8" s="506"/>
      <c r="F8" s="21" t="s">
        <v>162</v>
      </c>
      <c r="G8" s="29"/>
      <c r="H8" s="486" t="s">
        <v>274</v>
      </c>
      <c r="I8" s="486"/>
      <c r="J8" s="486"/>
      <c r="K8" s="30"/>
      <c r="L8" s="31" t="s">
        <v>188</v>
      </c>
      <c r="M8" s="32"/>
      <c r="N8" s="32"/>
      <c r="O8" s="32"/>
      <c r="P8" s="30"/>
    </row>
    <row r="9" spans="1:16" s="14" customFormat="1" ht="12.75">
      <c r="A9" s="25"/>
      <c r="C9" s="507"/>
      <c r="D9" s="507"/>
      <c r="E9" s="508"/>
      <c r="F9" s="25"/>
      <c r="H9" s="461" t="s">
        <v>223</v>
      </c>
      <c r="I9" s="461"/>
      <c r="J9" s="461"/>
      <c r="K9" s="18"/>
      <c r="L9" s="315"/>
      <c r="M9" s="316"/>
      <c r="N9" s="66"/>
      <c r="O9" s="66"/>
      <c r="P9" s="99"/>
    </row>
    <row r="10" spans="1:16" s="14" customFormat="1" ht="12.75">
      <c r="A10" s="25"/>
      <c r="C10" s="507"/>
      <c r="D10" s="507"/>
      <c r="E10" s="508"/>
      <c r="F10" s="25"/>
      <c r="H10" s="461" t="s">
        <v>224</v>
      </c>
      <c r="I10" s="461"/>
      <c r="J10" s="461"/>
      <c r="K10" s="18"/>
      <c r="L10" s="317"/>
      <c r="M10" s="316"/>
      <c r="N10" s="66"/>
      <c r="O10" s="66"/>
      <c r="P10" s="99"/>
    </row>
    <row r="11" spans="1:16" s="14" customFormat="1" ht="12.75">
      <c r="A11" s="25"/>
      <c r="C11" s="507"/>
      <c r="D11" s="507"/>
      <c r="E11" s="508"/>
      <c r="F11" s="25"/>
      <c r="H11" s="461" t="s">
        <v>225</v>
      </c>
      <c r="I11" s="461"/>
      <c r="J11" s="461"/>
      <c r="K11" s="18"/>
      <c r="L11" s="315"/>
      <c r="M11" s="318">
        <v>43200</v>
      </c>
      <c r="N11" s="66"/>
      <c r="O11" s="164">
        <v>43208</v>
      </c>
      <c r="P11" s="99"/>
    </row>
    <row r="12" spans="1:16" s="14" customFormat="1" ht="12.75">
      <c r="A12" s="25"/>
      <c r="C12" s="507"/>
      <c r="D12" s="507"/>
      <c r="E12" s="508"/>
      <c r="F12" s="25"/>
      <c r="H12" s="169"/>
      <c r="I12" s="169"/>
      <c r="J12" s="169"/>
      <c r="K12" s="18"/>
      <c r="L12" s="315"/>
      <c r="M12" s="318"/>
      <c r="N12" s="66"/>
      <c r="O12" s="164"/>
      <c r="P12" s="99"/>
    </row>
    <row r="13" spans="1:16" s="14" customFormat="1" ht="12.75">
      <c r="A13" s="25"/>
      <c r="C13" s="507"/>
      <c r="D13" s="507"/>
      <c r="E13" s="508"/>
      <c r="F13" s="16" t="s">
        <v>206</v>
      </c>
      <c r="H13" s="461" t="s">
        <v>261</v>
      </c>
      <c r="I13" s="461"/>
      <c r="J13" s="461"/>
      <c r="K13" s="18"/>
      <c r="L13" s="315"/>
      <c r="M13" s="316"/>
      <c r="N13" s="66"/>
      <c r="O13" s="66"/>
      <c r="P13" s="99"/>
    </row>
    <row r="14" spans="1:16" s="14" customFormat="1" ht="12.75" hidden="1">
      <c r="A14" s="25"/>
      <c r="C14" s="507"/>
      <c r="D14" s="507"/>
      <c r="E14" s="508"/>
      <c r="F14" s="16"/>
      <c r="H14" s="462"/>
      <c r="I14" s="462"/>
      <c r="J14" s="462"/>
      <c r="K14" s="18"/>
      <c r="L14" s="98"/>
      <c r="M14" s="66"/>
      <c r="N14" s="66"/>
      <c r="O14" s="66"/>
      <c r="P14" s="99"/>
    </row>
    <row r="15" spans="1:16" s="14" customFormat="1" ht="12.75" hidden="1">
      <c r="A15" s="25"/>
      <c r="F15" s="16"/>
      <c r="G15" s="24"/>
      <c r="H15" s="462"/>
      <c r="I15" s="462"/>
      <c r="J15" s="462"/>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5" t="s">
        <v>275</v>
      </c>
      <c r="B19" s="405"/>
      <c r="C19" s="405"/>
      <c r="D19" s="405"/>
      <c r="E19" s="405"/>
      <c r="F19" s="405"/>
      <c r="G19" s="405"/>
      <c r="H19" s="405"/>
      <c r="I19" s="405"/>
      <c r="J19" s="405"/>
      <c r="K19" s="405"/>
      <c r="L19" s="405"/>
      <c r="M19" s="405"/>
      <c r="N19" s="405"/>
      <c r="O19" s="405"/>
      <c r="P19" s="405"/>
      <c r="Q19" s="15"/>
      <c r="R19" s="15"/>
    </row>
    <row r="20" spans="1:18" s="35" customFormat="1">
      <c r="Q20" s="15"/>
      <c r="R20" s="15"/>
    </row>
    <row r="21" spans="1:18" s="37" customFormat="1" ht="12.75" thickBot="1">
      <c r="A21" s="493" t="s">
        <v>150</v>
      </c>
      <c r="B21" s="494"/>
      <c r="C21" s="494"/>
      <c r="D21" s="494"/>
      <c r="E21" s="494"/>
      <c r="F21" s="495"/>
      <c r="G21" s="496" t="s">
        <v>276</v>
      </c>
      <c r="H21" s="497"/>
      <c r="I21" s="497"/>
      <c r="J21" s="497"/>
      <c r="K21" s="497"/>
      <c r="L21" s="497"/>
      <c r="M21" s="497"/>
      <c r="N21" s="497"/>
      <c r="O21" s="497"/>
      <c r="P21" s="498"/>
      <c r="Q21" s="15"/>
      <c r="R21" s="15"/>
    </row>
    <row r="22" spans="1:18" s="74" customFormat="1" ht="24">
      <c r="A22" s="499" t="s">
        <v>167</v>
      </c>
      <c r="B22" s="500"/>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1"/>
      <c r="B23" s="502"/>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503"/>
      <c r="B24" s="504"/>
      <c r="C24" s="215"/>
      <c r="D24" s="216"/>
      <c r="E24" s="218"/>
      <c r="F24" s="204"/>
      <c r="G24" s="205"/>
      <c r="H24" s="206"/>
      <c r="I24" s="207"/>
      <c r="J24" s="208"/>
      <c r="K24" s="206"/>
      <c r="L24" s="207"/>
      <c r="M24" s="209"/>
      <c r="N24" s="210"/>
      <c r="O24" s="211"/>
      <c r="P24" s="212"/>
      <c r="Q24" s="75"/>
      <c r="R24" s="75"/>
    </row>
    <row r="25" spans="1:18" s="77" customFormat="1" ht="12.75">
      <c r="A25" s="514" t="s">
        <v>264</v>
      </c>
      <c r="B25" s="515"/>
      <c r="C25" s="300"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4" t="s">
        <v>264</v>
      </c>
      <c r="B26" s="515"/>
      <c r="C26" s="300"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4" t="s">
        <v>265</v>
      </c>
      <c r="B27" s="515"/>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4" t="s">
        <v>266</v>
      </c>
      <c r="B28" s="515"/>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4" t="s">
        <v>267</v>
      </c>
      <c r="B29" s="515"/>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467"/>
      <c r="B30" s="46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3"/>
      <c r="E32" s="294"/>
      <c r="F32" s="295"/>
      <c r="G32" s="296"/>
      <c r="H32" s="296"/>
      <c r="I32" s="297"/>
      <c r="J32" s="296"/>
      <c r="K32" s="296"/>
      <c r="L32" s="297"/>
      <c r="M32" s="37" t="s">
        <v>295</v>
      </c>
      <c r="N32" s="297"/>
      <c r="O32" s="296"/>
      <c r="P32" s="298">
        <v>0.02</v>
      </c>
      <c r="Q32" s="15"/>
      <c r="R32" s="15"/>
    </row>
    <row r="33" spans="1:18" s="41" customFormat="1" ht="13.5" thickBot="1">
      <c r="C33" s="293"/>
      <c r="E33" s="294"/>
      <c r="F33" s="295"/>
      <c r="G33" s="296"/>
      <c r="H33" s="296"/>
      <c r="I33" s="297"/>
      <c r="J33" s="296"/>
      <c r="K33" s="296"/>
      <c r="L33" s="297"/>
      <c r="M33" s="41" t="s">
        <v>294</v>
      </c>
      <c r="N33" s="297"/>
      <c r="O33" s="296"/>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11" t="s">
        <v>216</v>
      </c>
      <c r="C36" s="511"/>
      <c r="D36" s="511"/>
      <c r="E36" s="511"/>
      <c r="F36" s="511"/>
      <c r="G36" s="511"/>
      <c r="H36" s="511"/>
      <c r="I36" s="511"/>
      <c r="J36" s="511"/>
      <c r="K36" s="511"/>
      <c r="L36" s="511"/>
      <c r="M36" s="511"/>
      <c r="N36" s="511"/>
      <c r="O36" s="511"/>
      <c r="P36" s="511"/>
    </row>
    <row r="37" spans="1:18" s="23" customFormat="1">
      <c r="B37" s="57"/>
      <c r="C37" s="57"/>
      <c r="D37" s="57"/>
      <c r="E37" s="57"/>
      <c r="F37" s="57"/>
      <c r="G37" s="57"/>
      <c r="H37" s="57"/>
      <c r="I37" s="57"/>
      <c r="J37" s="57"/>
      <c r="K37" s="57"/>
      <c r="L37" s="57"/>
      <c r="M37" s="57"/>
      <c r="N37" s="57"/>
      <c r="O37" s="57"/>
      <c r="P37" s="57"/>
      <c r="Q37" s="57"/>
    </row>
    <row r="38" spans="1:18" ht="15">
      <c r="A38" s="405" t="s">
        <v>170</v>
      </c>
      <c r="B38" s="405"/>
      <c r="C38" s="405"/>
      <c r="D38" s="405"/>
      <c r="E38" s="405"/>
      <c r="F38" s="405"/>
      <c r="G38" s="405"/>
      <c r="H38" s="405"/>
      <c r="I38" s="405"/>
      <c r="J38" s="405"/>
      <c r="K38" s="405"/>
      <c r="L38" s="405"/>
      <c r="M38" s="405"/>
      <c r="N38" s="405"/>
      <c r="O38" s="405"/>
      <c r="P38" s="405"/>
      <c r="Q38" s="57"/>
    </row>
    <row r="40" spans="1:18" s="43" customFormat="1" ht="15.75">
      <c r="A40" s="43" t="s">
        <v>236</v>
      </c>
      <c r="E40" s="471">
        <f>P33</f>
        <v>2319638.4593336</v>
      </c>
      <c r="F40" s="471"/>
      <c r="J40" s="472"/>
      <c r="K40" s="472"/>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09" t="s">
        <v>226</v>
      </c>
      <c r="B43" s="486"/>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0" t="s">
        <v>227</v>
      </c>
      <c r="B44" s="461"/>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405" t="s">
        <v>211</v>
      </c>
      <c r="B64" s="405"/>
      <c r="C64" s="405"/>
      <c r="D64" s="405"/>
      <c r="E64" s="405"/>
      <c r="F64" s="405"/>
      <c r="G64" s="405"/>
      <c r="H64" s="405"/>
      <c r="I64" s="405"/>
      <c r="J64" s="405"/>
      <c r="K64" s="405"/>
      <c r="L64" s="405"/>
      <c r="M64" s="405"/>
      <c r="N64" s="405"/>
      <c r="O64" s="405"/>
      <c r="P64" s="405"/>
    </row>
    <row r="66" spans="1:16" s="42" customFormat="1" ht="12.75" customHeight="1">
      <c r="A66" s="330" t="s">
        <v>213</v>
      </c>
      <c r="B66" s="331"/>
      <c r="C66" s="331"/>
      <c r="D66" s="406" t="s">
        <v>212</v>
      </c>
      <c r="E66" s="458"/>
      <c r="F66" s="459" t="s">
        <v>155</v>
      </c>
      <c r="G66" s="459"/>
      <c r="H66" s="459" t="s">
        <v>241</v>
      </c>
      <c r="I66" s="459"/>
      <c r="J66" s="459" t="s">
        <v>242</v>
      </c>
      <c r="K66" s="465"/>
      <c r="L66" s="466" t="s">
        <v>146</v>
      </c>
      <c r="M66" s="466"/>
      <c r="N66" s="466"/>
      <c r="O66" s="466"/>
      <c r="P66" s="466"/>
    </row>
    <row r="67" spans="1:16">
      <c r="A67" s="417"/>
      <c r="B67" s="418"/>
      <c r="C67" s="418"/>
      <c r="D67" s="411"/>
      <c r="E67" s="453"/>
      <c r="F67" s="454"/>
      <c r="G67" s="454"/>
      <c r="H67" s="454"/>
      <c r="I67" s="454"/>
      <c r="J67" s="454"/>
      <c r="K67" s="455"/>
      <c r="L67" s="456" t="s">
        <v>208</v>
      </c>
      <c r="M67" s="457"/>
      <c r="N67" s="83" t="s">
        <v>152</v>
      </c>
      <c r="O67" s="460" t="s">
        <v>209</v>
      </c>
      <c r="P67" s="460"/>
    </row>
    <row r="68" spans="1:16" ht="6" customHeight="1">
      <c r="A68" s="443"/>
      <c r="B68" s="444"/>
      <c r="C68" s="444"/>
      <c r="D68" s="445"/>
      <c r="E68" s="446"/>
      <c r="F68" s="447"/>
      <c r="G68" s="447"/>
      <c r="H68" s="448"/>
      <c r="I68" s="448"/>
      <c r="J68" s="448"/>
      <c r="K68" s="449"/>
      <c r="L68" s="450"/>
      <c r="M68" s="451"/>
      <c r="N68" s="84"/>
      <c r="O68" s="452"/>
      <c r="P68" s="452"/>
    </row>
    <row r="69" spans="1:16" s="23" customFormat="1" ht="12.75">
      <c r="A69" s="427" t="s">
        <v>207</v>
      </c>
      <c r="B69" s="428"/>
      <c r="C69" s="428"/>
      <c r="D69" s="437">
        <f>H2</f>
        <v>43101</v>
      </c>
      <c r="E69" s="438"/>
      <c r="F69" s="436">
        <f>H1</f>
        <v>23</v>
      </c>
      <c r="G69" s="436"/>
      <c r="H69" s="437" t="s">
        <v>191</v>
      </c>
      <c r="I69" s="438"/>
      <c r="J69" s="439" t="s">
        <v>191</v>
      </c>
      <c r="K69" s="440"/>
      <c r="L69" s="441">
        <v>4950000</v>
      </c>
      <c r="M69" s="442"/>
      <c r="N69" s="181">
        <v>7.6999999999999999E-2</v>
      </c>
      <c r="O69" s="434">
        <f>IF(L69&lt;&gt;"",ROUND((1*L69*(1+N69))*20,0)/20,"")</f>
        <v>5331150</v>
      </c>
      <c r="P69" s="434"/>
    </row>
    <row r="70" spans="1:16" ht="12.75">
      <c r="A70" s="427" t="s">
        <v>239</v>
      </c>
      <c r="B70" s="428"/>
      <c r="C70" s="428"/>
      <c r="D70" s="429" t="s">
        <v>191</v>
      </c>
      <c r="E70" s="430"/>
      <c r="F70" s="431" t="s">
        <v>191</v>
      </c>
      <c r="G70" s="431"/>
      <c r="H70" s="429">
        <v>43133</v>
      </c>
      <c r="I70" s="430"/>
      <c r="J70" s="432">
        <v>1</v>
      </c>
      <c r="K70" s="433"/>
      <c r="L70" s="395">
        <v>400000</v>
      </c>
      <c r="M70" s="396"/>
      <c r="N70" s="182">
        <v>7.6999999999999999E-2</v>
      </c>
      <c r="O70" s="516">
        <f>IF(L70&lt;&gt;"",ROUND((1*L70*(1+N70))*20,0)/20,"")</f>
        <v>430800</v>
      </c>
      <c r="P70" s="516"/>
    </row>
    <row r="71" spans="1:16" ht="12.75">
      <c r="A71" s="427" t="s">
        <v>240</v>
      </c>
      <c r="B71" s="428"/>
      <c r="C71" s="428"/>
      <c r="D71" s="429" t="s">
        <v>191</v>
      </c>
      <c r="E71" s="430"/>
      <c r="F71" s="431" t="s">
        <v>191</v>
      </c>
      <c r="G71" s="431"/>
      <c r="H71" s="429"/>
      <c r="I71" s="430"/>
      <c r="J71" s="432"/>
      <c r="K71" s="433"/>
      <c r="L71" s="395"/>
      <c r="M71" s="396"/>
      <c r="N71" s="182"/>
      <c r="O71" s="516" t="str">
        <f>IF(L71&lt;&gt;"",ROUND((1*L71*(1+N71))*20,0)/20,"")</f>
        <v/>
      </c>
      <c r="P71" s="516"/>
    </row>
    <row r="72" spans="1:16" ht="6" customHeight="1">
      <c r="A72" s="417"/>
      <c r="B72" s="418"/>
      <c r="C72" s="418"/>
      <c r="D72" s="419"/>
      <c r="E72" s="420"/>
      <c r="F72" s="421"/>
      <c r="G72" s="421"/>
      <c r="H72" s="419"/>
      <c r="I72" s="420"/>
      <c r="J72" s="422"/>
      <c r="K72" s="423"/>
      <c r="L72" s="424"/>
      <c r="M72" s="425"/>
      <c r="N72" s="183"/>
      <c r="O72" s="426" t="str">
        <f>IF(L72&lt;&gt;"",ROUND((1*L72*(1+N72))*20,0)/20,"")</f>
        <v/>
      </c>
      <c r="P72" s="426"/>
    </row>
    <row r="73" spans="1:16" s="42" customFormat="1" ht="12.75">
      <c r="A73" s="62" t="s">
        <v>215</v>
      </c>
      <c r="B73" s="63"/>
      <c r="C73" s="63"/>
      <c r="D73" s="184"/>
      <c r="E73" s="184"/>
      <c r="F73" s="184"/>
      <c r="G73" s="184"/>
      <c r="H73" s="184"/>
      <c r="I73" s="184"/>
      <c r="J73" s="184"/>
      <c r="K73" s="184"/>
      <c r="L73" s="391">
        <f>SUM(L69:M72)</f>
        <v>5350000</v>
      </c>
      <c r="M73" s="392"/>
      <c r="N73" s="185"/>
      <c r="O73" s="391">
        <f>SUM(O69:P72)</f>
        <v>5761950</v>
      </c>
      <c r="P73" s="391"/>
    </row>
    <row r="75" spans="1:16" ht="15">
      <c r="A75" s="405" t="s">
        <v>176</v>
      </c>
      <c r="B75" s="405"/>
      <c r="C75" s="405"/>
      <c r="D75" s="405"/>
      <c r="E75" s="405"/>
      <c r="F75" s="405"/>
      <c r="G75" s="405"/>
      <c r="H75" s="405"/>
      <c r="I75" s="405"/>
      <c r="J75" s="405"/>
      <c r="K75" s="405"/>
      <c r="L75" s="405"/>
      <c r="M75" s="405"/>
      <c r="N75" s="405"/>
      <c r="O75" s="405"/>
      <c r="P75" s="405"/>
    </row>
    <row r="77" spans="1:16" ht="12.75" customHeight="1">
      <c r="A77" s="110" t="s">
        <v>166</v>
      </c>
      <c r="B77" s="61"/>
      <c r="C77" s="278" t="s">
        <v>13</v>
      </c>
      <c r="D77" s="61"/>
      <c r="E77" s="109"/>
      <c r="F77" s="313" t="s">
        <v>25</v>
      </c>
      <c r="G77" s="61"/>
      <c r="H77" s="308" t="s">
        <v>325</v>
      </c>
      <c r="I77" s="282"/>
      <c r="J77" s="406" t="s">
        <v>254</v>
      </c>
      <c r="K77" s="407"/>
      <c r="L77" s="408" t="s">
        <v>180</v>
      </c>
      <c r="M77" s="409"/>
      <c r="N77" s="409"/>
      <c r="O77" s="409"/>
      <c r="P77" s="410"/>
    </row>
    <row r="78" spans="1:16" s="42" customFormat="1" ht="12.75" customHeight="1">
      <c r="A78" s="266"/>
      <c r="B78" s="264"/>
      <c r="C78" s="280"/>
      <c r="D78" s="276"/>
      <c r="E78" s="268"/>
      <c r="F78" s="314" t="s">
        <v>260</v>
      </c>
      <c r="G78" s="97" t="s">
        <v>179</v>
      </c>
      <c r="H78" s="277" t="s">
        <v>326</v>
      </c>
      <c r="I78" s="309" t="s">
        <v>5</v>
      </c>
      <c r="J78" s="411"/>
      <c r="K78" s="412"/>
      <c r="L78" s="413" t="s">
        <v>208</v>
      </c>
      <c r="M78" s="414"/>
      <c r="N78" s="83" t="s">
        <v>152</v>
      </c>
      <c r="O78" s="415" t="s">
        <v>209</v>
      </c>
      <c r="P78" s="416"/>
    </row>
    <row r="79" spans="1:16" ht="6" customHeight="1">
      <c r="A79" s="44"/>
      <c r="C79" s="281"/>
      <c r="D79" s="398"/>
      <c r="E79" s="399"/>
      <c r="F79" s="400"/>
      <c r="G79" s="401"/>
      <c r="H79" s="301"/>
      <c r="I79" s="238"/>
      <c r="J79" s="402"/>
      <c r="K79" s="403"/>
      <c r="L79" s="239"/>
      <c r="M79" s="240"/>
      <c r="N79" s="183"/>
      <c r="O79" s="258"/>
      <c r="P79" s="259"/>
    </row>
    <row r="80" spans="1:16" ht="12.75" customHeight="1">
      <c r="A80" s="272">
        <v>3400988878</v>
      </c>
      <c r="B80" s="265"/>
      <c r="C80" s="279">
        <v>43141</v>
      </c>
      <c r="D80" s="265"/>
      <c r="E80" s="270"/>
      <c r="F80" s="306" t="s">
        <v>27</v>
      </c>
      <c r="G80" s="307" t="s">
        <v>256</v>
      </c>
      <c r="H80" s="310">
        <v>43101</v>
      </c>
      <c r="I80" s="311">
        <v>43131</v>
      </c>
      <c r="J80" s="517" t="s">
        <v>135</v>
      </c>
      <c r="K80" s="518"/>
      <c r="L80" s="395">
        <v>1545642.6</v>
      </c>
      <c r="M80" s="396"/>
      <c r="N80" s="182">
        <v>7.6999999999999999E-2</v>
      </c>
      <c r="O80" s="516">
        <f>IF(L80&lt;&gt;"",L80*(1+N80),"")</f>
        <v>1664657.0802</v>
      </c>
      <c r="P80" s="516"/>
    </row>
    <row r="81" spans="1:16" ht="12.75">
      <c r="A81" s="272">
        <v>3400988879</v>
      </c>
      <c r="B81" s="265"/>
      <c r="C81" s="279">
        <v>43141</v>
      </c>
      <c r="D81" s="265"/>
      <c r="E81" s="270"/>
      <c r="F81" s="306" t="s">
        <v>27</v>
      </c>
      <c r="G81" s="307" t="s">
        <v>217</v>
      </c>
      <c r="H81" s="310">
        <v>43101</v>
      </c>
      <c r="I81" s="311">
        <v>43131</v>
      </c>
      <c r="J81" s="517" t="s">
        <v>14</v>
      </c>
      <c r="K81" s="518"/>
      <c r="L81" s="395">
        <v>10000</v>
      </c>
      <c r="M81" s="396"/>
      <c r="N81" s="182">
        <v>7.6999999999999999E-2</v>
      </c>
      <c r="O81" s="516">
        <f>IF(L81&lt;&gt;"",L81*(1+N81),"")</f>
        <v>10770</v>
      </c>
      <c r="P81" s="516"/>
    </row>
    <row r="82" spans="1:16" ht="12.75">
      <c r="A82" s="272">
        <v>3400988880</v>
      </c>
      <c r="B82" s="265"/>
      <c r="C82" s="279">
        <v>43141</v>
      </c>
      <c r="D82" s="265"/>
      <c r="E82" s="270"/>
      <c r="F82" s="306" t="s">
        <v>27</v>
      </c>
      <c r="G82" s="307" t="s">
        <v>257</v>
      </c>
      <c r="H82" s="310">
        <v>43101</v>
      </c>
      <c r="I82" s="311">
        <v>43131</v>
      </c>
      <c r="J82" s="517" t="s">
        <v>147</v>
      </c>
      <c r="K82" s="518"/>
      <c r="L82" s="395">
        <v>20000</v>
      </c>
      <c r="M82" s="396"/>
      <c r="N82" s="182">
        <v>7.6999999999999999E-2</v>
      </c>
      <c r="O82" s="516">
        <f>IF(L82&lt;&gt;"",L82*(1+N82),"")</f>
        <v>21540</v>
      </c>
      <c r="P82" s="516"/>
    </row>
    <row r="83" spans="1:16" ht="12.75">
      <c r="A83" s="272">
        <v>3400988881</v>
      </c>
      <c r="B83" s="265"/>
      <c r="C83" s="279">
        <v>43141</v>
      </c>
      <c r="D83" s="265"/>
      <c r="E83" s="270"/>
      <c r="F83" s="306" t="s">
        <v>27</v>
      </c>
      <c r="G83" s="307" t="s">
        <v>258</v>
      </c>
      <c r="H83" s="310">
        <v>43101</v>
      </c>
      <c r="I83" s="311">
        <v>43131</v>
      </c>
      <c r="J83" s="517" t="s">
        <v>134</v>
      </c>
      <c r="K83" s="518"/>
      <c r="L83" s="395">
        <v>-10000</v>
      </c>
      <c r="M83" s="396"/>
      <c r="N83" s="182">
        <v>7.6999999999999999E-2</v>
      </c>
      <c r="O83" s="516">
        <f>IF(L83&lt;&gt;"",L83*(1+N83),"")</f>
        <v>-10770</v>
      </c>
      <c r="P83" s="516"/>
    </row>
    <row r="84" spans="1:16" ht="12.75">
      <c r="A84" s="272">
        <v>3400988882</v>
      </c>
      <c r="B84" s="265"/>
      <c r="C84" s="279">
        <v>43196</v>
      </c>
      <c r="D84" s="265"/>
      <c r="E84" s="270"/>
      <c r="F84" s="306" t="s">
        <v>27</v>
      </c>
      <c r="G84" s="307" t="s">
        <v>259</v>
      </c>
      <c r="H84" s="310">
        <v>43132</v>
      </c>
      <c r="I84" s="311">
        <v>43190</v>
      </c>
      <c r="J84" s="517" t="s">
        <v>135</v>
      </c>
      <c r="K84" s="518"/>
      <c r="L84" s="395">
        <v>2153796.1368</v>
      </c>
      <c r="M84" s="396"/>
      <c r="N84" s="182">
        <v>7.6999999999999999E-2</v>
      </c>
      <c r="O84" s="516">
        <f>IF(L84&lt;&gt;"",L84*(1+N84),"")</f>
        <v>2319638.4393336</v>
      </c>
      <c r="P84" s="516"/>
    </row>
    <row r="85" spans="1:16" ht="12.75">
      <c r="A85" s="272"/>
      <c r="B85" s="265"/>
      <c r="C85" s="279"/>
      <c r="D85" s="265"/>
      <c r="E85" s="270"/>
      <c r="F85" s="302"/>
      <c r="G85" s="307"/>
      <c r="H85" s="310"/>
      <c r="I85" s="311"/>
      <c r="J85" s="517"/>
      <c r="K85" s="518"/>
      <c r="L85" s="395"/>
      <c r="M85" s="396"/>
      <c r="N85" s="182">
        <v>7.6999999999999999E-2</v>
      </c>
      <c r="O85" s="516" t="str">
        <f t="shared" ref="O85:O93" si="1">IF(L85&lt;&gt;"",L85*(1+N85),"")</f>
        <v/>
      </c>
      <c r="P85" s="516"/>
    </row>
    <row r="86" spans="1:16" ht="12.75">
      <c r="A86" s="272"/>
      <c r="B86" s="265"/>
      <c r="C86" s="279"/>
      <c r="D86" s="265"/>
      <c r="E86" s="270"/>
      <c r="F86" s="302"/>
      <c r="G86" s="307"/>
      <c r="H86" s="310"/>
      <c r="I86" s="311"/>
      <c r="J86" s="517"/>
      <c r="K86" s="518"/>
      <c r="L86" s="395"/>
      <c r="M86" s="396"/>
      <c r="N86" s="182">
        <v>7.6999999999999999E-2</v>
      </c>
      <c r="O86" s="516" t="str">
        <f t="shared" si="1"/>
        <v/>
      </c>
      <c r="P86" s="516"/>
    </row>
    <row r="87" spans="1:16" ht="12.75">
      <c r="A87" s="272"/>
      <c r="B87" s="265"/>
      <c r="C87" s="279"/>
      <c r="D87" s="265"/>
      <c r="E87" s="270"/>
      <c r="F87" s="302"/>
      <c r="G87" s="307"/>
      <c r="H87" s="310"/>
      <c r="I87" s="311"/>
      <c r="J87" s="517"/>
      <c r="K87" s="518"/>
      <c r="L87" s="395"/>
      <c r="M87" s="396"/>
      <c r="N87" s="182">
        <v>7.6999999999999999E-2</v>
      </c>
      <c r="O87" s="516" t="str">
        <f t="shared" si="1"/>
        <v/>
      </c>
      <c r="P87" s="516"/>
    </row>
    <row r="88" spans="1:16" ht="12.75">
      <c r="A88" s="272"/>
      <c r="B88" s="265"/>
      <c r="C88" s="279"/>
      <c r="D88" s="265"/>
      <c r="E88" s="270"/>
      <c r="F88" s="302"/>
      <c r="G88" s="307"/>
      <c r="H88" s="310"/>
      <c r="I88" s="311"/>
      <c r="J88" s="517"/>
      <c r="K88" s="518"/>
      <c r="L88" s="395"/>
      <c r="M88" s="396"/>
      <c r="N88" s="182">
        <v>7.6999999999999999E-2</v>
      </c>
      <c r="O88" s="516" t="str">
        <f t="shared" si="1"/>
        <v/>
      </c>
      <c r="P88" s="516"/>
    </row>
    <row r="89" spans="1:16" ht="12.75">
      <c r="A89" s="272"/>
      <c r="B89" s="265"/>
      <c r="C89" s="279"/>
      <c r="D89" s="265"/>
      <c r="E89" s="270"/>
      <c r="F89" s="302"/>
      <c r="G89" s="307"/>
      <c r="H89" s="310"/>
      <c r="I89" s="311"/>
      <c r="J89" s="517"/>
      <c r="K89" s="518"/>
      <c r="L89" s="395"/>
      <c r="M89" s="396"/>
      <c r="N89" s="182">
        <v>7.6999999999999999E-2</v>
      </c>
      <c r="O89" s="516" t="str">
        <f t="shared" si="1"/>
        <v/>
      </c>
      <c r="P89" s="516"/>
    </row>
    <row r="90" spans="1:16" ht="12.75">
      <c r="A90" s="272"/>
      <c r="B90" s="265"/>
      <c r="C90" s="279"/>
      <c r="D90" s="265"/>
      <c r="E90" s="270"/>
      <c r="F90" s="302"/>
      <c r="G90" s="307"/>
      <c r="H90" s="310"/>
      <c r="I90" s="311"/>
      <c r="J90" s="517"/>
      <c r="K90" s="518"/>
      <c r="L90" s="395"/>
      <c r="M90" s="396"/>
      <c r="N90" s="182">
        <v>7.6999999999999999E-2</v>
      </c>
      <c r="O90" s="516" t="str">
        <f t="shared" si="1"/>
        <v/>
      </c>
      <c r="P90" s="516"/>
    </row>
    <row r="91" spans="1:16" ht="12.75">
      <c r="A91" s="272"/>
      <c r="B91" s="265"/>
      <c r="C91" s="279"/>
      <c r="D91" s="265"/>
      <c r="E91" s="270"/>
      <c r="F91" s="302"/>
      <c r="G91" s="307"/>
      <c r="H91" s="310"/>
      <c r="I91" s="311"/>
      <c r="J91" s="517"/>
      <c r="K91" s="518"/>
      <c r="L91" s="395"/>
      <c r="M91" s="396"/>
      <c r="N91" s="182">
        <v>7.6999999999999999E-2</v>
      </c>
      <c r="O91" s="516" t="str">
        <f t="shared" si="1"/>
        <v/>
      </c>
      <c r="P91" s="516"/>
    </row>
    <row r="92" spans="1:16" ht="12.75">
      <c r="A92" s="272"/>
      <c r="B92" s="265"/>
      <c r="C92" s="279"/>
      <c r="D92" s="265"/>
      <c r="E92" s="270"/>
      <c r="F92" s="302"/>
      <c r="G92" s="307"/>
      <c r="H92" s="310"/>
      <c r="I92" s="311"/>
      <c r="J92" s="517"/>
      <c r="K92" s="518"/>
      <c r="L92" s="395"/>
      <c r="M92" s="396"/>
      <c r="N92" s="182">
        <v>7.6999999999999999E-2</v>
      </c>
      <c r="O92" s="516" t="str">
        <f t="shared" si="1"/>
        <v/>
      </c>
      <c r="P92" s="516"/>
    </row>
    <row r="93" spans="1:16" ht="12.75">
      <c r="A93" s="272"/>
      <c r="B93" s="265"/>
      <c r="C93" s="279"/>
      <c r="D93" s="265"/>
      <c r="E93" s="270"/>
      <c r="F93" s="302"/>
      <c r="G93" s="307"/>
      <c r="H93" s="310"/>
      <c r="I93" s="311"/>
      <c r="J93" s="517"/>
      <c r="K93" s="518"/>
      <c r="L93" s="395"/>
      <c r="M93" s="396"/>
      <c r="N93" s="182">
        <v>7.6999999999999999E-2</v>
      </c>
      <c r="O93" s="516" t="str">
        <f t="shared" si="1"/>
        <v/>
      </c>
      <c r="P93" s="516"/>
    </row>
    <row r="94" spans="1:16" ht="12.75">
      <c r="A94" s="273"/>
      <c r="B94" s="265"/>
      <c r="C94" s="275"/>
      <c r="D94" s="265"/>
      <c r="E94" s="269"/>
      <c r="F94" s="306" t="s">
        <v>2</v>
      </c>
      <c r="G94" s="307"/>
      <c r="H94" s="310"/>
      <c r="I94" s="312"/>
      <c r="J94" s="517"/>
      <c r="K94" s="518"/>
      <c r="L94" s="395"/>
      <c r="M94" s="396"/>
      <c r="N94" s="182">
        <v>7.6999999999999999E-2</v>
      </c>
      <c r="O94" s="516" t="str">
        <f>IF(L94&lt;&gt;"",L94*(1+N94),"")</f>
        <v/>
      </c>
      <c r="P94" s="516"/>
    </row>
    <row r="95" spans="1:16" ht="6" customHeight="1">
      <c r="A95" s="81"/>
      <c r="C95" s="277"/>
      <c r="D95" s="387"/>
      <c r="E95" s="388"/>
      <c r="F95" s="389"/>
      <c r="G95" s="390"/>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1">
        <f>-SUMIF(J80:K95,'Dropdowns Bau'!B9,L80:M95)+L97</f>
        <v>3719438.7368000001</v>
      </c>
      <c r="M96" s="392"/>
      <c r="N96" s="185"/>
      <c r="O96" s="391">
        <f>-SUMIF(J80:K95,'Dropdowns Bau'!B9,O80:P95)+O97</f>
        <v>4005835.5195335997</v>
      </c>
      <c r="P96" s="391"/>
    </row>
    <row r="97" spans="1:16" s="42" customFormat="1" ht="12.75">
      <c r="A97" s="26" t="s">
        <v>182</v>
      </c>
      <c r="B97" s="63"/>
      <c r="C97" s="63"/>
      <c r="D97" s="236"/>
      <c r="E97" s="236"/>
      <c r="F97" s="236"/>
      <c r="G97" s="236"/>
      <c r="H97" s="236"/>
      <c r="I97" s="236"/>
      <c r="J97" s="236"/>
      <c r="K97" s="237"/>
      <c r="L97" s="361">
        <f>SUM(L80:M95)</f>
        <v>3719438.7368000001</v>
      </c>
      <c r="M97" s="362"/>
      <c r="N97" s="186"/>
      <c r="O97" s="361">
        <f>SUM(O80:P95)</f>
        <v>4005835.5195335997</v>
      </c>
      <c r="P97" s="363"/>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1">
        <f>SUMIF(J80:K95,'Dropdowns DL'!B4,L80:M95)</f>
        <v>3699438.7368000001</v>
      </c>
      <c r="M99" s="362"/>
      <c r="N99" s="183"/>
      <c r="O99" s="361">
        <f>SUMIF(J80:K95,'Dropdowns DL'!B4,O80:P95)</f>
        <v>3984295.5195335997</v>
      </c>
      <c r="P99" s="363"/>
    </row>
    <row r="100" spans="1:16" ht="12.75">
      <c r="A100" s="44"/>
      <c r="J100" s="42" t="s">
        <v>278</v>
      </c>
      <c r="K100" s="17"/>
      <c r="L100" s="361">
        <f>SUMIF(J80:K95,'Dropdowns DL'!B6,L80:M95)</f>
        <v>20000</v>
      </c>
      <c r="M100" s="362"/>
      <c r="N100" s="183"/>
      <c r="O100" s="361">
        <f>SUMIF(J80:K95,'Dropdowns DL'!B6,O80:P95)</f>
        <v>21540</v>
      </c>
      <c r="P100" s="363"/>
    </row>
    <row r="101" spans="1:16" ht="12.75">
      <c r="A101" s="44"/>
      <c r="J101" s="42" t="s">
        <v>193</v>
      </c>
      <c r="K101" s="17"/>
      <c r="L101" s="361">
        <f>SUMIF(J80:K95,'Dropdowns DL'!B5,L80:M95)</f>
        <v>10000</v>
      </c>
      <c r="M101" s="362"/>
      <c r="N101" s="183"/>
      <c r="O101" s="361">
        <f>SUMIF(J80:K95,'Dropdowns DL'!B5,O80:P95)</f>
        <v>10770</v>
      </c>
      <c r="P101" s="363"/>
    </row>
    <row r="102" spans="1:16" ht="12.75" hidden="1">
      <c r="A102" s="44"/>
      <c r="J102" s="42" t="s">
        <v>194</v>
      </c>
      <c r="K102" s="17"/>
      <c r="L102" s="361">
        <f>SUMIF(J80:K95,'Dropdowns Bau'!B5,L80:M95)</f>
        <v>0</v>
      </c>
      <c r="M102" s="362"/>
      <c r="N102" s="183"/>
      <c r="O102" s="361">
        <f>SUMIF(J80:K95,'Dropdowns Bau'!B5,O80:P95)</f>
        <v>0</v>
      </c>
      <c r="P102" s="363"/>
    </row>
    <row r="103" spans="1:16" ht="6" customHeight="1">
      <c r="A103" s="81"/>
      <c r="B103" s="87"/>
      <c r="C103" s="87"/>
      <c r="D103" s="87"/>
      <c r="E103" s="87"/>
      <c r="F103" s="87"/>
      <c r="G103" s="87"/>
      <c r="H103" s="87"/>
      <c r="I103" s="87"/>
      <c r="J103" s="87"/>
      <c r="K103" s="82"/>
      <c r="L103" s="364"/>
      <c r="M103" s="365"/>
      <c r="N103" s="188"/>
      <c r="O103" s="366"/>
      <c r="P103" s="366"/>
    </row>
    <row r="104" spans="1:16" ht="6" customHeight="1"/>
    <row r="106" spans="1:16" ht="15">
      <c r="A106" s="167" t="s">
        <v>183</v>
      </c>
      <c r="B106" s="156"/>
      <c r="C106" s="156"/>
      <c r="D106" s="156"/>
      <c r="E106" s="156"/>
      <c r="F106" s="156"/>
      <c r="G106" s="156"/>
      <c r="H106" s="157"/>
      <c r="I106" s="367" t="s">
        <v>210</v>
      </c>
      <c r="J106" s="367"/>
      <c r="K106" s="367"/>
      <c r="L106" s="367"/>
      <c r="M106" s="367"/>
      <c r="N106" s="367"/>
      <c r="O106" s="367"/>
      <c r="P106" s="367"/>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68" t="s">
        <v>208</v>
      </c>
      <c r="E108" s="369"/>
      <c r="F108" s="370" t="s">
        <v>209</v>
      </c>
      <c r="G108" s="371"/>
      <c r="H108" s="23"/>
      <c r="I108" s="372" t="s">
        <v>253</v>
      </c>
      <c r="J108" s="373"/>
      <c r="K108" s="378" t="s">
        <v>277</v>
      </c>
      <c r="L108" s="379"/>
      <c r="M108" s="379"/>
      <c r="N108" s="379"/>
      <c r="O108" s="379"/>
      <c r="P108" s="380"/>
    </row>
    <row r="109" spans="1:16" ht="12.75">
      <c r="A109" s="330" t="s">
        <v>215</v>
      </c>
      <c r="B109" s="331"/>
      <c r="C109" s="332"/>
      <c r="D109" s="350">
        <f>L73</f>
        <v>5350000</v>
      </c>
      <c r="E109" s="351"/>
      <c r="F109" s="352">
        <f>O73</f>
        <v>5761950</v>
      </c>
      <c r="G109" s="353"/>
      <c r="H109" s="91"/>
      <c r="I109" s="374"/>
      <c r="J109" s="375"/>
      <c r="K109" s="381"/>
      <c r="L109" s="382"/>
      <c r="M109" s="382"/>
      <c r="N109" s="382"/>
      <c r="O109" s="382"/>
      <c r="P109" s="383"/>
    </row>
    <row r="110" spans="1:16" ht="12.75">
      <c r="A110" s="354" t="s">
        <v>181</v>
      </c>
      <c r="B110" s="355"/>
      <c r="C110" s="356"/>
      <c r="D110" s="357">
        <f>L96</f>
        <v>3719438.7368000001</v>
      </c>
      <c r="E110" s="358"/>
      <c r="F110" s="359">
        <f>O96</f>
        <v>4005835.5195335997</v>
      </c>
      <c r="G110" s="360"/>
      <c r="H110" s="91"/>
      <c r="I110" s="374"/>
      <c r="J110" s="375"/>
      <c r="K110" s="381"/>
      <c r="L110" s="382"/>
      <c r="M110" s="382"/>
      <c r="N110" s="382"/>
      <c r="O110" s="382"/>
      <c r="P110" s="383"/>
    </row>
    <row r="111" spans="1:16" ht="12" customHeight="1">
      <c r="A111" s="330" t="s">
        <v>178</v>
      </c>
      <c r="B111" s="331"/>
      <c r="C111" s="332"/>
      <c r="D111" s="336">
        <f>D109-D110</f>
        <v>1630561.2631999999</v>
      </c>
      <c r="E111" s="337"/>
      <c r="F111" s="340">
        <f>F109-F110</f>
        <v>1756114.4804664003</v>
      </c>
      <c r="G111" s="341"/>
      <c r="H111" s="92"/>
      <c r="I111" s="374"/>
      <c r="J111" s="375"/>
      <c r="K111" s="381"/>
      <c r="L111" s="382"/>
      <c r="M111" s="382"/>
      <c r="N111" s="382"/>
      <c r="O111" s="382"/>
      <c r="P111" s="383"/>
    </row>
    <row r="112" spans="1:16" ht="12" customHeight="1">
      <c r="A112" s="333"/>
      <c r="B112" s="334"/>
      <c r="C112" s="335"/>
      <c r="D112" s="338"/>
      <c r="E112" s="339"/>
      <c r="F112" s="342"/>
      <c r="G112" s="343"/>
      <c r="H112" s="92"/>
      <c r="I112" s="374"/>
      <c r="J112" s="375"/>
      <c r="K112" s="381"/>
      <c r="L112" s="382"/>
      <c r="M112" s="382"/>
      <c r="N112" s="382"/>
      <c r="O112" s="382"/>
      <c r="P112" s="383"/>
    </row>
    <row r="113" spans="1:16" ht="12.75">
      <c r="A113" s="344" t="s">
        <v>177</v>
      </c>
      <c r="B113" s="345"/>
      <c r="C113" s="346"/>
      <c r="D113" s="347">
        <f>IF(D110&lt;&gt;0,D110/D109,0)</f>
        <v>0.69522219379439254</v>
      </c>
      <c r="E113" s="348"/>
      <c r="F113" s="347">
        <f>IF(D110&lt;&gt;0,F110/F109,0)</f>
        <v>0.69522219379439243</v>
      </c>
      <c r="G113" s="349"/>
      <c r="H113" s="93"/>
      <c r="I113" s="376"/>
      <c r="J113" s="377"/>
      <c r="K113" s="384"/>
      <c r="L113" s="385"/>
      <c r="M113" s="385"/>
      <c r="N113" s="385"/>
      <c r="O113" s="385"/>
      <c r="P113" s="386"/>
    </row>
  </sheetData>
  <mergeCells count="173">
    <mergeCell ref="O92:P92"/>
    <mergeCell ref="O93:P93"/>
    <mergeCell ref="O94:P94"/>
    <mergeCell ref="L96:M96"/>
    <mergeCell ref="O96:P96"/>
    <mergeCell ref="O97:P97"/>
    <mergeCell ref="O99:P99"/>
    <mergeCell ref="O100:P100"/>
    <mergeCell ref="O101:P101"/>
    <mergeCell ref="O83:P83"/>
    <mergeCell ref="O84:P84"/>
    <mergeCell ref="O85:P85"/>
    <mergeCell ref="O86:P86"/>
    <mergeCell ref="O87:P87"/>
    <mergeCell ref="O88:P88"/>
    <mergeCell ref="O89:P89"/>
    <mergeCell ref="O90:P90"/>
    <mergeCell ref="O91:P91"/>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4" t="s">
        <v>313</v>
      </c>
    </row>
    <row r="3" spans="2:25" ht="18">
      <c r="B3" s="1" t="s">
        <v>6</v>
      </c>
      <c r="C3" s="2"/>
      <c r="D3" s="1" t="s">
        <v>21</v>
      </c>
      <c r="F3" s="1" t="s">
        <v>246</v>
      </c>
      <c r="G3" s="1" t="s">
        <v>22</v>
      </c>
      <c r="V3" s="3" t="s">
        <v>317</v>
      </c>
      <c r="W3" s="304" t="s">
        <v>314</v>
      </c>
    </row>
    <row r="4" spans="2:25" ht="45.75" customHeight="1">
      <c r="B4" s="319" t="s">
        <v>329</v>
      </c>
      <c r="C4" s="2"/>
      <c r="D4" s="319" t="s">
        <v>329</v>
      </c>
      <c r="F4" s="319" t="s">
        <v>329</v>
      </c>
      <c r="G4" s="319" t="s">
        <v>329</v>
      </c>
      <c r="H4" s="4" t="s">
        <v>140</v>
      </c>
      <c r="I4" s="4" t="s">
        <v>141</v>
      </c>
      <c r="J4" s="4" t="s">
        <v>142</v>
      </c>
      <c r="K4" s="4" t="s">
        <v>143</v>
      </c>
      <c r="L4" s="4" t="s">
        <v>144</v>
      </c>
      <c r="V4" s="305" t="s">
        <v>318</v>
      </c>
      <c r="W4" s="304"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19" t="s">
        <v>329</v>
      </c>
      <c r="V7" s="3" t="s">
        <v>320</v>
      </c>
      <c r="W7" s="3" t="s">
        <v>321</v>
      </c>
      <c r="Y7" s="304" t="s">
        <v>324</v>
      </c>
    </row>
    <row r="8" spans="2:25">
      <c r="B8" s="2"/>
      <c r="C8" s="2"/>
      <c r="D8" s="5" t="s">
        <v>28</v>
      </c>
      <c r="F8" s="2" t="str">
        <f t="shared" si="0"/>
        <v>1.2400</v>
      </c>
      <c r="H8" s="4" t="s">
        <v>27</v>
      </c>
      <c r="W8" s="3" t="s">
        <v>322</v>
      </c>
      <c r="Y8" s="304"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19" t="s">
        <v>329</v>
      </c>
    </row>
    <row r="14" spans="2:25" ht="18">
      <c r="B14" s="1" t="s">
        <v>32</v>
      </c>
      <c r="C14" s="2"/>
      <c r="D14" s="5" t="s">
        <v>35</v>
      </c>
      <c r="F14" s="2" t="str">
        <f t="shared" si="0"/>
        <v>1.2950</v>
      </c>
      <c r="H14" s="319" t="s">
        <v>329</v>
      </c>
      <c r="I14" s="284">
        <v>0</v>
      </c>
    </row>
    <row r="15" spans="2:25">
      <c r="B15" s="319"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19" t="s">
        <v>329</v>
      </c>
      <c r="C23" s="2"/>
      <c r="D23" s="5" t="s">
        <v>42</v>
      </c>
      <c r="F23" s="2" t="str">
        <f t="shared" si="1"/>
        <v>1.7200</v>
      </c>
      <c r="H23" s="319" t="s">
        <v>329</v>
      </c>
      <c r="I23" s="319"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299">
        <v>1000000</v>
      </c>
      <c r="I24" s="3" t="s">
        <v>299</v>
      </c>
      <c r="J24" s="3">
        <v>0</v>
      </c>
      <c r="K24" s="299">
        <v>1000000</v>
      </c>
      <c r="N24" s="3">
        <v>0</v>
      </c>
      <c r="O24" s="299">
        <v>20000000</v>
      </c>
    </row>
    <row r="25" spans="2:17">
      <c r="B25" s="2" t="s">
        <v>20</v>
      </c>
      <c r="C25" s="2"/>
      <c r="D25" s="5" t="s">
        <v>44</v>
      </c>
      <c r="F25" s="2" t="str">
        <f t="shared" si="1"/>
        <v>1.7800</v>
      </c>
      <c r="H25" s="299">
        <v>2000000</v>
      </c>
      <c r="I25" s="3" t="s">
        <v>303</v>
      </c>
      <c r="J25" s="3">
        <v>0</v>
      </c>
      <c r="K25" s="299">
        <v>2000000</v>
      </c>
      <c r="N25" s="3">
        <v>0</v>
      </c>
      <c r="O25" s="299">
        <v>40000000</v>
      </c>
    </row>
    <row r="26" spans="2:17" ht="18">
      <c r="B26" s="2" t="s">
        <v>133</v>
      </c>
      <c r="C26" s="2"/>
      <c r="D26" s="5" t="s">
        <v>45</v>
      </c>
      <c r="F26" s="2" t="str">
        <f t="shared" si="1"/>
        <v>1.9100</v>
      </c>
      <c r="H26" s="1"/>
      <c r="I26" s="3" t="s">
        <v>300</v>
      </c>
      <c r="J26" s="3">
        <v>0</v>
      </c>
      <c r="K26" s="299">
        <v>30000</v>
      </c>
      <c r="L26" s="299">
        <v>30000</v>
      </c>
      <c r="M26" s="299">
        <v>1000000</v>
      </c>
      <c r="N26" s="3">
        <v>0</v>
      </c>
      <c r="O26" s="299">
        <v>300000</v>
      </c>
      <c r="P26" s="299">
        <v>600000</v>
      </c>
      <c r="Q26" s="299">
        <v>20000000</v>
      </c>
    </row>
    <row r="27" spans="2:17">
      <c r="B27" s="2"/>
      <c r="C27" s="2"/>
      <c r="D27" s="5" t="s">
        <v>46</v>
      </c>
      <c r="F27" s="2" t="str">
        <f t="shared" si="1"/>
        <v>1.9200</v>
      </c>
      <c r="H27" s="2"/>
      <c r="I27" s="3" t="s">
        <v>301</v>
      </c>
      <c r="J27" s="3">
        <v>0</v>
      </c>
      <c r="K27" s="299">
        <v>50000</v>
      </c>
      <c r="L27" s="299">
        <v>50000</v>
      </c>
      <c r="M27" s="299">
        <v>2000000</v>
      </c>
      <c r="N27" s="3">
        <v>0</v>
      </c>
      <c r="O27" s="299">
        <v>500000</v>
      </c>
      <c r="P27" s="299">
        <v>1000000</v>
      </c>
      <c r="Q27" s="299">
        <v>40000000</v>
      </c>
    </row>
    <row r="28" spans="2:17">
      <c r="B28" s="2"/>
      <c r="C28" s="2"/>
      <c r="D28" s="5" t="s">
        <v>47</v>
      </c>
      <c r="F28" s="2" t="str">
        <f t="shared" si="1"/>
        <v>1.9300</v>
      </c>
      <c r="H28" s="2"/>
      <c r="I28" s="3" t="s">
        <v>302</v>
      </c>
      <c r="J28" s="3">
        <v>0</v>
      </c>
      <c r="K28" s="299">
        <v>23000</v>
      </c>
      <c r="L28" s="299">
        <v>23000</v>
      </c>
      <c r="M28" s="299">
        <v>2000000</v>
      </c>
      <c r="N28" s="3">
        <v>0</v>
      </c>
      <c r="O28" s="299">
        <v>230000</v>
      </c>
      <c r="P28" s="299">
        <v>460000</v>
      </c>
      <c r="Q28" s="299">
        <v>40000000</v>
      </c>
    </row>
    <row r="29" spans="2:17" ht="18">
      <c r="B29" s="1" t="s">
        <v>199</v>
      </c>
      <c r="C29" s="2"/>
      <c r="D29" s="5" t="s">
        <v>48</v>
      </c>
      <c r="F29" s="2" t="str">
        <f t="shared" si="1"/>
        <v>1.9350</v>
      </c>
      <c r="H29" s="2"/>
    </row>
    <row r="30" spans="2:17">
      <c r="B30" s="319"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19" t="s">
        <v>329</v>
      </c>
      <c r="D3" s="319" t="s">
        <v>329</v>
      </c>
    </row>
    <row r="4" spans="2:4">
      <c r="B4" s="2" t="s">
        <v>135</v>
      </c>
      <c r="D4" s="4" t="s">
        <v>27</v>
      </c>
    </row>
    <row r="5" spans="2:4">
      <c r="B5" s="2" t="s">
        <v>14</v>
      </c>
      <c r="D5" s="4" t="s">
        <v>288</v>
      </c>
    </row>
    <row r="6" spans="2:4">
      <c r="B6" s="320"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8" t="s">
        <v>287</v>
      </c>
      <c r="G1" s="288" t="s">
        <v>245</v>
      </c>
      <c r="H1" s="288" t="s">
        <v>32</v>
      </c>
      <c r="I1" s="288" t="s">
        <v>21</v>
      </c>
    </row>
    <row r="2" spans="2:9" ht="15" customHeight="1">
      <c r="B2" s="285"/>
      <c r="C2" s="285"/>
      <c r="D2" s="285"/>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6"/>
      <c r="C6" s="287"/>
      <c r="D6" s="287"/>
      <c r="F6" t="str">
        <f t="shared" si="0"/>
        <v/>
      </c>
      <c r="G6" t="str">
        <f t="shared" si="1"/>
        <v/>
      </c>
      <c r="H6">
        <f t="shared" si="2"/>
        <v>0</v>
      </c>
      <c r="I6">
        <f t="shared" si="3"/>
        <v>0</v>
      </c>
    </row>
    <row r="7" spans="2:9">
      <c r="D7" s="287"/>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89" t="s">
        <v>279</v>
      </c>
      <c r="C2" s="290"/>
    </row>
    <row r="3" spans="2:3">
      <c r="B3" s="289" t="s">
        <v>280</v>
      </c>
      <c r="C3" s="290"/>
    </row>
    <row r="4" spans="2:3">
      <c r="B4" s="289" t="s">
        <v>281</v>
      </c>
      <c r="C4" s="290"/>
    </row>
    <row r="5" spans="2:3">
      <c r="B5" s="289" t="s">
        <v>282</v>
      </c>
      <c r="C5" s="290"/>
    </row>
    <row r="6" spans="2:3">
      <c r="B6" s="289" t="s">
        <v>283</v>
      </c>
      <c r="C6" s="290"/>
    </row>
    <row r="7" spans="2:3">
      <c r="B7" s="289" t="s">
        <v>284</v>
      </c>
      <c r="C7" s="290"/>
    </row>
    <row r="8" spans="2:3">
      <c r="B8" s="289" t="s">
        <v>285</v>
      </c>
      <c r="C8" s="291"/>
    </row>
    <row r="9" spans="2:3">
      <c r="B9" s="289" t="s">
        <v>286</v>
      </c>
      <c r="C9" s="291"/>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Noëlle Weider</cp:lastModifiedBy>
  <cp:lastPrinted>2020-05-26T08:49:38Z</cp:lastPrinted>
  <dcterms:created xsi:type="dcterms:W3CDTF">1996-10-14T23:33:28Z</dcterms:created>
  <dcterms:modified xsi:type="dcterms:W3CDTF">2020-05-26T08:50:03Z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