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88" i="20" l="1"/>
  <c r="O25" i="20"/>
  <c r="O87" i="20" l="1"/>
  <c r="O86" i="20" l="1"/>
  <c r="O84" i="20" l="1"/>
  <c r="L84" i="20"/>
  <c r="O85" i="20" l="1"/>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s="1"/>
  <c r="O27" i="14" l="1"/>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<sst xmlns="http://schemas.openxmlformats.org/spreadsheetml/2006/main" count="687" uniqueCount="366">
  <si>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</si>
  <si>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</si>
  <si>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</si>
  <si>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</si>
  <si>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</si>
  <si>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</si>
  <si>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</si>
  <si>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</si>
  <si>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</si>
  <si>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</si>
  <si>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</si>
  <si>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</si>
  <si>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</si>
  <si>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</si>
  <si>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</si>
  <si>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</si>
  <si>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</si>
  <si>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</si>
  <si>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</si>
  <si>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</si>
  <si>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</si>
  <si>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</si>
  <si>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</si>
  <si>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</si>
  <si>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</si>
  <si>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</si>
  <si>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</si>
  <si>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</si>
  <si>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</si>
  <si>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</si>
  <si>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</si>
  <si>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</si>
  <si>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</si>
  <si>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</si>
  <si>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</si>
  <si>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</si>
  <si>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</si>
  <si>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</si>
  <si>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</si>
  <si>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</si>
  <si>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</si>
  <si>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</si>
  <si>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</si>
  <si>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</si>
  <si>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</si>
  <si>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</si>
  <si>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</si>
  <si>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</si>
  <si>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</si>
  <si>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</si>
  <si>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</si>
  <si>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</si>
  <si>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</si>
  <si>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</si>
  <si>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</si>
  <si>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</si>
  <si>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</si>
  <si>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</si>
  <si>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</si>
  <si>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</si>
  <si>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</si>
  <si>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</si>
  <si>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</si>
  <si>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</si>
  <si>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</si>
  <si>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</si>
  <si>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</si>
  <si>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</si>
  <si>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</si>
  <si>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</si>
  <si>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</si>
  <si>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</si>
  <si>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</si>
  <si>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</si>
  <si>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</si>
  <si>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</si>
  <si>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</si>
  <si>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</si>
  <si>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</si>
  <si>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</si>
  <si>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</si>
  <si>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</si>
  <si>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</si>
  <si>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</si>
  <si>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</si>
  <si>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</si>
  <si>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</si>
  <si>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</si>
  <si>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</si>
  <si>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</si>
  <si>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</si>
  <si>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</si>
  <si>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</si>
  <si>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</si>
  <si>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</si>
  <si>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</si>
  <si>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</si>
  <si>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</si>
  <si>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</si>
  <si>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</si>
  <si>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</si>
  <si>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</si>
  <si>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</si>
  <si>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</si>
  <si>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</si>
  <si>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</si>
  <si>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</si>
  <si>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</si>
  <si>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</si>
  <si>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</si>
  <si>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</si>
  <si>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</si>
  <si>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</si>
  <si>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</si>
  <si>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</si>
  <si>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</si>
  <si>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</si>
  <si>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</si>
  <si>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</si>
  <si>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</si>
  <si>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</si>
  <si>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</si>
  <si>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</si>
  <si>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</si>
  <si>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</si>
  <si>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</si>
  <si>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</si>
  <si>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</si>
  <si>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</si>
  <si>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</si>
  <si>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</si>
  <si>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</si>
  <si>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</si>
  <si>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</si>
  <si>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</si>
  <si>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</si>
  <si>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</si>
  <si>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</si>
  <si>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</si>
  <si>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</si>
  <si>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</si>
  <si>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</si>
  <si>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</si>
  <si>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</si>
  <si>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</si>
  <si>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</si>
  <si>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</si>
  <si>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</si>
  <si>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</si>
  <si>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</si>
  <si>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</si>
  <si>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</si>
  <si>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</si>
  <si>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</si>
  <si>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</si>
  <si>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</si>
  <si>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</si>
  <si>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</si>
  <si>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</si>
  <si>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</si>
  <si>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</si>
  <si>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</si>
  <si>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</si>
  <si>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</si>
  <si>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</si>
  <si>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</si>
  <si>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</si>
  <si>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</si>
  <si>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</si>
  <si>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</si>
  <si>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</si>
  <si>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</si>
  <si>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</si>
  <si>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</si>
  <si>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</si>
  <si>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</si>
  <si>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</si>
  <si>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</si>
  <si>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</si>
  <si>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</si>
  <si>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</si>
  <si>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</si>
  <si>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</si>
  <si>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</si>
  <si>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</si>
  <si>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</si>
  <si>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</si>
  <si>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</si>
  <si>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</si>
  <si>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</si>
  <si>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</si>
  <si>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</si>
  <si>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</si>
  <si>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</si>
  <si>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</si>
  <si>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</si>
  <si>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</si>
  <si>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</si>
  <si>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</si>
  <si>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</si>
  <si>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</si>
  <si>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</si>
  <si>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</si>
  <si>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</si>
  <si>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</si>
  <si>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</si>
  <si>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</si>
  <si>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</si>
  <si>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</si>
  <si>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</si>
  <si>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</si>
  <si>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</si>
  <si>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</si>
  <si>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</si>
  <si>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</si>
  <si>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</si>
  <si>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</si>
  <si>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</si>
  <si>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</si>
  <si>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</si>
  <si>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</si>
  <si>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</si>
  <si>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</si>
  <si>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</si>
  <si>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</si>
  <si>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</si>
  <si>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</si>
  <si>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</si>
  <si>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</si>
  <si>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</si>
  <si>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</si>
  <si>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</si>
  <si>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</si>
  <si>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</si>
  <si>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</si>
  <si>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</si>
  <si>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</si>
  <si>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</si>
  <si>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</si>
  <si>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</si>
  <si>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</si>
  <si>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</si>
  <si>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</si>
  <si>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</si>
  <si>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</si>
  <si>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</si>
  <si>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</si>
  <si>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</si>
  <si>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</si>
  <si>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</si>
  <si>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</si>
  <si>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</si>
  <si>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</si>
  <si>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</si>
  <si>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</si>
  <si>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</si>
  <si>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</si>
  <si>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</si>
  <si>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</si>
  <si>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</si>
  <si>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</si>
  <si>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</si>
  <si>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</si>
  <si>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</si>
  <si>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</si>
  <si>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</si>
  <si>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</si>
  <si>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</si>
  <si>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</si>
  <si>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</si>
  <si>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</si>
  <si>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</si>
  <si>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</si>
  <si>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</si>
  <si>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</si>
  <si>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</si>
  <si>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</si>
  <si>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</si>
  <si>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</si>
  <si>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</si>
  <si>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</si>
  <si>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</si>
  <si>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</si>
  <si>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</si>
  <si>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</si>
  <si>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</si>
  <si>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</si>
  <si>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</si>
  <si>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</si>
  <si>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</si>
  <si>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</si>
  <si>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</si>
  <si>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</si>
  <si>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</si>
  <si>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</si>
  <si>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</si>
  <si>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</si>
  <si>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</si>
  <si>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</si>
  <si>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</si>
  <si>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</si>
  <si>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</si>
  <si>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</si>
  <si>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</si>
  <si>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</si>
  <si>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</si>
  <si>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</si>
  <si>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</si>
  <si>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</si>
  <si>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</si>
  <si>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</si>
  <si>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</si>
  <si>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</si>
  <si>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</si>
  <si>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</si>
  <si>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</si>
  <si>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</si>
  <si>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</si>
  <si>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</si>
  <si>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</si>
  <si>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</si>
  <si>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</si>
  <si>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</si>
  <si>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</si>
  <si>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</si>
  <si>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</si>
  <si>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</si>
  <si>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</si>
  <si>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</si>
  <si>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</si>
  <si>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</si>
  <si>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</si>
  <si>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</si>
  <si>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</si>
  <si>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</si>
  <si>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</si>
  <si>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</si>
  <si>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</si>
  <si>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</si>
  <si>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</si>
  <si>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</si>
  <si>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</si>
  <si>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</si>
  <si>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</si>
  <si>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</si>
  <si>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</si>
  <si>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</si>
  <si>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</si>
  <si>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</si>
  <si>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</si>
  <si>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</si>
  <si>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</si>
  <si>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</si>
  <si>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</si>
  <si>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01 - 02</t>
  </si>
  <si>
    <t>diverse</t>
  </si>
  <si>
    <t>01-02</t>
  </si>
  <si>
    <t>15</t>
  </si>
  <si>
    <t>16</t>
  </si>
  <si>
    <t>17</t>
  </si>
  <si>
    <t>03 - 14</t>
  </si>
  <si>
    <t>03-14</t>
  </si>
  <si>
    <t>18</t>
  </si>
  <si>
    <t>19</t>
  </si>
  <si>
    <t>20</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</si>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</sst>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58" zoomScaleNormal="100" zoomScalePageLayoutView="90" workbookViewId="0">
      <selection activeCell="R80" sqref="R8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44049</v>
      </c>
      <c r="P2" s="18"/>
    </row>
    <row r="3" spans="1:16" s="14" customFormat="1" ht="12.75">
      <c r="A3" s="16" t="s">
        <v>158</v>
      </c>
      <c r="C3" s="474" t="s">
        <v>336</v>
      </c>
      <c r="D3" s="474"/>
      <c r="E3" s="475"/>
      <c r="F3" s="16" t="s">
        <v>159</v>
      </c>
      <c r="H3" s="461" t="s">
        <v>346</v>
      </c>
      <c r="I3" s="461"/>
      <c r="J3" s="461"/>
      <c r="K3" s="476"/>
      <c r="L3" s="16" t="s">
        <v>166</v>
      </c>
      <c r="N3" s="324" t="s">
        <v>365</v>
      </c>
      <c r="O3" s="194"/>
      <c r="P3" s="94"/>
    </row>
    <row r="4" spans="1:16" s="14" customFormat="1" ht="12.75">
      <c r="A4" s="16" t="s">
        <v>184</v>
      </c>
      <c r="C4" s="474" t="s">
        <v>337</v>
      </c>
      <c r="D4" s="474"/>
      <c r="E4" s="475"/>
      <c r="F4" s="20" t="s">
        <v>165</v>
      </c>
      <c r="H4" s="461" t="s">
        <v>347</v>
      </c>
      <c r="I4" s="461"/>
      <c r="J4" s="461"/>
      <c r="K4" s="17"/>
      <c r="L4" s="16" t="s">
        <v>175</v>
      </c>
      <c r="N4" s="159">
        <v>43983</v>
      </c>
      <c r="O4" s="19" t="s">
        <v>5</v>
      </c>
      <c r="P4" s="161">
        <v>44012</v>
      </c>
    </row>
    <row r="5" spans="1:16" s="14" customFormat="1" ht="12.75">
      <c r="A5" s="25"/>
      <c r="C5" s="191"/>
      <c r="D5" s="169"/>
      <c r="E5" s="169"/>
      <c r="F5" s="25"/>
      <c r="G5" s="15" t="s">
        <v>169</v>
      </c>
      <c r="H5" s="490" t="s">
        <v>348</v>
      </c>
      <c r="I5" s="490"/>
      <c r="J5" s="490"/>
      <c r="K5" s="17"/>
      <c r="L5" s="20" t="s">
        <v>25</v>
      </c>
      <c r="N5" s="160" t="s">
        <v>27</v>
      </c>
      <c r="O5" s="80" t="s">
        <v>179</v>
      </c>
      <c r="P5" s="325" t="s">
        <v>365</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3" t="s">
        <v>340</v>
      </c>
      <c r="D25" s="113" t="s">
        <v>201</v>
      </c>
      <c r="E25" s="219" t="s">
        <v>272</v>
      </c>
      <c r="F25" s="114" t="s">
        <v>191</v>
      </c>
      <c r="G25" s="115">
        <v>64016.25</v>
      </c>
      <c r="H25" s="116">
        <v>0</v>
      </c>
      <c r="I25" s="117">
        <f>SUM(G25:H25)</f>
        <v>64016.25</v>
      </c>
      <c r="J25" s="118">
        <f>-($J$23*I25)</f>
        <v>0</v>
      </c>
      <c r="K25" s="116"/>
      <c r="L25" s="117">
        <f>SUM(I25:K25)</f>
        <v>64016.25</v>
      </c>
      <c r="M25" s="119">
        <f>-$M$23*L25</f>
        <v>0</v>
      </c>
      <c r="N25" s="121">
        <f>SUM(L25:M25)</f>
        <v>64016.25</v>
      </c>
      <c r="O25" s="141">
        <f>$O$23*N25</f>
        <v>4929.2512500000003</v>
      </c>
      <c r="P25" s="120">
        <f>SUM(N25:O25)</f>
        <v>68945.501250000001</v>
      </c>
      <c r="Q25" s="75"/>
      <c r="R25" s="75"/>
    </row>
    <row r="26" spans="1:18" s="77" customFormat="1" ht="12.75">
      <c r="A26" s="463"/>
      <c r="B26" s="464"/>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64016.25</v>
      </c>
      <c r="H31" s="132">
        <f t="shared" si="0"/>
        <v>0</v>
      </c>
      <c r="I31" s="133">
        <f t="shared" si="0"/>
        <v>64016.25</v>
      </c>
      <c r="J31" s="134">
        <f t="shared" si="0"/>
        <v>0</v>
      </c>
      <c r="K31" s="132">
        <f t="shared" si="0"/>
        <v>0</v>
      </c>
      <c r="L31" s="133">
        <f t="shared" si="0"/>
        <v>64016.25</v>
      </c>
      <c r="M31" s="135">
        <f t="shared" si="0"/>
        <v>0</v>
      </c>
      <c r="N31" s="139">
        <f t="shared" si="0"/>
        <v>64016.25</v>
      </c>
      <c r="O31" s="136">
        <f>SUM(O25:O30)</f>
        <v>4929.2512500000003</v>
      </c>
      <c r="P31" s="137">
        <f>SUM(P25:P30)</f>
        <v>68945.501250000001</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68945.501250000001</v>
      </c>
      <c r="Q33" s="15"/>
      <c r="R33" s="15"/>
    </row>
    <row r="34" spans="1:18" s="144" customFormat="1" ht="18.75" customHeight="1">
      <c r="C34" s="151"/>
      <c r="E34" s="152"/>
      <c r="F34" s="153"/>
      <c r="G34" s="154"/>
      <c r="H34" s="154"/>
      <c r="I34" s="154"/>
      <c r="J34" s="154"/>
      <c r="K34" s="154"/>
      <c r="L34" s="154"/>
      <c r="M34" s="155" t="s">
        <v>247</v>
      </c>
      <c r="N34" s="154"/>
      <c r="O34" s="154"/>
      <c r="P34" s="154">
        <f>L31*(1+$O$23)</f>
        <v>68945.501250000001</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68945.501250000001</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44049</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21</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21</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IF(L69&lt;&gt;"",ROUND((1*L69*(1+N69))*20,0)/20,"")+0.05</f>
        <v>3779750.65</v>
      </c>
      <c r="P69" s="434"/>
    </row>
    <row r="70" spans="1:16" ht="12.75">
      <c r="A70" s="427" t="s">
        <v>239</v>
      </c>
      <c r="B70" s="428"/>
      <c r="C70" s="428"/>
      <c r="D70" s="429"/>
      <c r="E70" s="430"/>
      <c r="F70" s="431"/>
      <c r="G70" s="431"/>
      <c r="H70" s="429">
        <v>43836</v>
      </c>
      <c r="I70" s="430"/>
      <c r="J70" s="432">
        <v>2</v>
      </c>
      <c r="K70" s="433"/>
      <c r="L70" s="395">
        <f>168793+69900</f>
        <v>238693</v>
      </c>
      <c r="M70" s="396"/>
      <c r="N70" s="182">
        <v>7.6999999999999999E-2</v>
      </c>
      <c r="O70" s="397">
        <f>IF(L70&lt;&gt;"",ROUND((1*L70*(1+N70))*20,0)/20,"")</f>
        <v>257072.35</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3748210.75</v>
      </c>
      <c r="M73" s="392"/>
      <c r="N73" s="185"/>
      <c r="O73" s="391">
        <f>SUM(O69:P72)</f>
        <v>4036823</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3" t="s">
        <v>25</v>
      </c>
      <c r="G77" s="61"/>
      <c r="H77" s="308" t="s">
        <v>325</v>
      </c>
      <c r="I77" s="282"/>
      <c r="J77" s="406" t="s">
        <v>254</v>
      </c>
      <c r="K77" s="407"/>
      <c r="L77" s="408" t="s">
        <v>180</v>
      </c>
      <c r="M77" s="409"/>
      <c r="N77" s="409"/>
      <c r="O77" s="409"/>
      <c r="P77" s="410"/>
    </row>
    <row r="78" spans="1:16" s="42" customFormat="1" ht="12.75" customHeight="1">
      <c r="A78" s="266"/>
      <c r="B78" s="264"/>
      <c r="C78" s="280"/>
      <c r="D78" s="276"/>
      <c r="E78" s="268"/>
      <c r="F78" s="314" t="s">
        <v>260</v>
      </c>
      <c r="G78" s="97" t="s">
        <v>179</v>
      </c>
      <c r="H78" s="277" t="s">
        <v>326</v>
      </c>
      <c r="I78" s="309" t="s">
        <v>5</v>
      </c>
      <c r="J78" s="411"/>
      <c r="K78" s="412"/>
      <c r="L78" s="413" t="s">
        <v>208</v>
      </c>
      <c r="M78" s="414"/>
      <c r="N78" s="83" t="s">
        <v>152</v>
      </c>
      <c r="O78" s="415" t="s">
        <v>209</v>
      </c>
      <c r="P78" s="416"/>
    </row>
    <row r="79" spans="1:16" ht="6" customHeight="1">
      <c r="A79" s="44"/>
      <c r="C79" s="281"/>
      <c r="D79" s="398"/>
      <c r="E79" s="399"/>
      <c r="F79" s="400"/>
      <c r="G79" s="401"/>
      <c r="H79" s="301"/>
      <c r="I79" s="238"/>
      <c r="J79" s="402"/>
      <c r="K79" s="403"/>
      <c r="L79" s="239"/>
      <c r="M79" s="240"/>
      <c r="N79" s="183"/>
      <c r="O79" s="258"/>
      <c r="P79" s="259"/>
    </row>
    <row r="80" spans="1:16" ht="12.75" customHeight="1">
      <c r="A80" s="326" t="s">
        <v>354</v>
      </c>
      <c r="B80" s="265"/>
      <c r="C80" s="329" t="s">
        <v>355</v>
      </c>
      <c r="D80" s="265"/>
      <c r="E80" s="270"/>
      <c r="F80" s="306" t="s">
        <v>27</v>
      </c>
      <c r="G80" s="327" t="s">
        <v>356</v>
      </c>
      <c r="H80" s="310">
        <v>43344</v>
      </c>
      <c r="I80" s="311">
        <v>43465</v>
      </c>
      <c r="J80" s="404" t="s">
        <v>135</v>
      </c>
      <c r="K80" s="394"/>
      <c r="L80" s="395">
        <v>53622.25</v>
      </c>
      <c r="M80" s="396"/>
      <c r="N80" s="182">
        <v>7.6999999999999999E-2</v>
      </c>
      <c r="O80" s="397">
        <f>IF(L80&lt;&gt;"",L80*(1+N80),"")-0.01</f>
        <v>57751.153249999996</v>
      </c>
      <c r="P80" s="397"/>
    </row>
    <row r="81" spans="1:16" ht="12.75">
      <c r="A81" s="326" t="s">
        <v>360</v>
      </c>
      <c r="B81" s="265"/>
      <c r="C81" s="279">
        <v>43578</v>
      </c>
      <c r="D81" s="265"/>
      <c r="E81" s="270"/>
      <c r="F81" s="328" t="s">
        <v>27</v>
      </c>
      <c r="G81" s="327" t="s">
        <v>361</v>
      </c>
      <c r="H81" s="310">
        <v>43466</v>
      </c>
      <c r="I81" s="311">
        <v>43830</v>
      </c>
      <c r="J81" s="393" t="s">
        <v>135</v>
      </c>
      <c r="K81" s="394"/>
      <c r="L81" s="395">
        <v>734770.25</v>
      </c>
      <c r="M81" s="396"/>
      <c r="N81" s="182">
        <v>7.6999999999999999E-2</v>
      </c>
      <c r="O81" s="397">
        <f>IF(L81&lt;&gt;"",L81*(1+N81),"")+0.03</f>
        <v>791347.58924999996</v>
      </c>
      <c r="P81" s="397"/>
    </row>
    <row r="82" spans="1:16" ht="12.75">
      <c r="A82" s="326" t="s">
        <v>357</v>
      </c>
      <c r="B82" s="265"/>
      <c r="C82" s="279">
        <v>43913</v>
      </c>
      <c r="D82" s="265"/>
      <c r="E82" s="270"/>
      <c r="F82" s="328" t="s">
        <v>27</v>
      </c>
      <c r="G82" s="327" t="s">
        <v>357</v>
      </c>
      <c r="H82" s="310">
        <v>43831</v>
      </c>
      <c r="I82" s="311">
        <v>43861</v>
      </c>
      <c r="J82" s="393" t="s">
        <v>135</v>
      </c>
      <c r="K82" s="394"/>
      <c r="L82" s="395">
        <v>67833.25</v>
      </c>
      <c r="M82" s="396"/>
      <c r="N82" s="182">
        <v>7.6999999999999999E-2</v>
      </c>
      <c r="O82" s="397">
        <f>IF(L82&lt;&gt;"",L82*(1+N82),"")-0.01</f>
        <v>73056.400250000006</v>
      </c>
      <c r="P82" s="397"/>
    </row>
    <row r="83" spans="1:16" ht="12.75">
      <c r="A83" s="326" t="s">
        <v>358</v>
      </c>
      <c r="B83" s="265"/>
      <c r="C83" s="279">
        <v>43914</v>
      </c>
      <c r="D83" s="265"/>
      <c r="E83" s="270"/>
      <c r="F83" s="328" t="s">
        <v>27</v>
      </c>
      <c r="G83" s="327" t="s">
        <v>358</v>
      </c>
      <c r="H83" s="310">
        <v>43862</v>
      </c>
      <c r="I83" s="311">
        <v>43890</v>
      </c>
      <c r="J83" s="393" t="s">
        <v>135</v>
      </c>
      <c r="K83" s="394"/>
      <c r="L83" s="395">
        <v>69192.5</v>
      </c>
      <c r="M83" s="396"/>
      <c r="N83" s="182">
        <v>7.6999999999999999E-2</v>
      </c>
      <c r="O83" s="397">
        <f>IF(L83&lt;&gt;"",L83*(1+N83),"")-0.02</f>
        <v>74520.302499999991</v>
      </c>
      <c r="P83" s="397"/>
    </row>
    <row r="84" spans="1:16" ht="12.75">
      <c r="A84" s="326" t="s">
        <v>359</v>
      </c>
      <c r="B84" s="265"/>
      <c r="C84" s="279">
        <v>43951</v>
      </c>
      <c r="D84" s="265"/>
      <c r="E84" s="270"/>
      <c r="F84" s="328" t="s">
        <v>27</v>
      </c>
      <c r="G84" s="327" t="s">
        <v>359</v>
      </c>
      <c r="H84" s="310">
        <v>43891</v>
      </c>
      <c r="I84" s="311">
        <v>43921</v>
      </c>
      <c r="J84" s="393" t="s">
        <v>135</v>
      </c>
      <c r="K84" s="394"/>
      <c r="L84" s="395">
        <f>76213.5</f>
        <v>76213.5</v>
      </c>
      <c r="M84" s="396"/>
      <c r="N84" s="182">
        <v>7.6999999999999999E-2</v>
      </c>
      <c r="O84" s="397">
        <f>IF(L84&lt;&gt;"",L84*(1+N84),"")+0.01</f>
        <v>82081.949499999988</v>
      </c>
      <c r="P84" s="397"/>
    </row>
    <row r="85" spans="1:16" ht="12.75">
      <c r="A85" s="326" t="s">
        <v>362</v>
      </c>
      <c r="B85" s="265"/>
      <c r="C85" s="279">
        <v>43951</v>
      </c>
      <c r="D85" s="265"/>
      <c r="E85" s="270"/>
      <c r="F85" s="328" t="s">
        <v>27</v>
      </c>
      <c r="G85" s="327" t="s">
        <v>362</v>
      </c>
      <c r="H85" s="310">
        <v>43466</v>
      </c>
      <c r="I85" s="311">
        <v>43830</v>
      </c>
      <c r="J85" s="393" t="s">
        <v>14</v>
      </c>
      <c r="K85" s="394"/>
      <c r="L85" s="395">
        <v>2889.4</v>
      </c>
      <c r="M85" s="396"/>
      <c r="N85" s="182">
        <v>7.6999999999999999E-2</v>
      </c>
      <c r="O85" s="397">
        <f>IF(L85&lt;&gt;"",L85*(1+N85),"")+0.02</f>
        <v>3111.9038</v>
      </c>
      <c r="P85" s="397"/>
    </row>
    <row r="86" spans="1:16" ht="12.75">
      <c r="A86" s="326" t="s">
        <v>363</v>
      </c>
      <c r="B86" s="265"/>
      <c r="C86" s="279">
        <v>43977</v>
      </c>
      <c r="D86" s="265"/>
      <c r="E86" s="270"/>
      <c r="F86" s="328" t="s">
        <v>27</v>
      </c>
      <c r="G86" s="327" t="s">
        <v>363</v>
      </c>
      <c r="H86" s="310">
        <v>43922</v>
      </c>
      <c r="I86" s="311">
        <v>43951</v>
      </c>
      <c r="J86" s="393" t="s">
        <v>135</v>
      </c>
      <c r="K86" s="394"/>
      <c r="L86" s="395">
        <v>86597</v>
      </c>
      <c r="M86" s="396"/>
      <c r="N86" s="182">
        <v>7.6999999999999999E-2</v>
      </c>
      <c r="O86" s="397">
        <f>IF(L86&lt;&gt;"",L86*(1+N86),"")-0.02</f>
        <v>93264.948999999993</v>
      </c>
      <c r="P86" s="397"/>
    </row>
    <row r="87" spans="1:16" ht="12.75">
      <c r="A87" s="326" t="s">
        <v>364</v>
      </c>
      <c r="B87" s="265"/>
      <c r="C87" s="279">
        <v>44008</v>
      </c>
      <c r="D87" s="265"/>
      <c r="E87" s="270"/>
      <c r="F87" s="328" t="s">
        <v>27</v>
      </c>
      <c r="G87" s="327" t="s">
        <v>364</v>
      </c>
      <c r="H87" s="310">
        <v>43952</v>
      </c>
      <c r="I87" s="311">
        <v>43982</v>
      </c>
      <c r="J87" s="393" t="s">
        <v>135</v>
      </c>
      <c r="K87" s="394"/>
      <c r="L87" s="395">
        <v>98953.75</v>
      </c>
      <c r="M87" s="396"/>
      <c r="N87" s="182">
        <v>7.6999999999999999E-2</v>
      </c>
      <c r="O87" s="397">
        <f>IF(L87&lt;&gt;"",L87*(1+N87),"")+0.01</f>
        <v>106573.19875</v>
      </c>
      <c r="P87" s="397"/>
    </row>
    <row r="88" spans="1:16" ht="12.75">
      <c r="A88" s="326" t="s">
        <v>365</v>
      </c>
      <c r="B88" s="265"/>
      <c r="C88" s="279">
        <v>44049</v>
      </c>
      <c r="D88" s="265"/>
      <c r="E88" s="270"/>
      <c r="F88" s="328" t="s">
        <v>27</v>
      </c>
      <c r="G88" s="327" t="s">
        <v>365</v>
      </c>
      <c r="H88" s="310">
        <v>43983</v>
      </c>
      <c r="I88" s="311">
        <v>44012</v>
      </c>
      <c r="J88" s="393" t="s">
        <v>135</v>
      </c>
      <c r="K88" s="394"/>
      <c r="L88" s="395">
        <v>64016.25</v>
      </c>
      <c r="M88" s="396"/>
      <c r="N88" s="182">
        <v>7.6999999999999999E-2</v>
      </c>
      <c r="O88" s="397">
        <f>IF(L88&lt;&gt;"",L88*(1+N88),"")</f>
        <v>68945.501250000001</v>
      </c>
      <c r="P88" s="397"/>
    </row>
    <row r="89" spans="1:16" ht="12.75">
      <c r="A89" s="326"/>
      <c r="B89" s="265"/>
      <c r="C89" s="279"/>
      <c r="D89" s="265"/>
      <c r="E89" s="270"/>
      <c r="F89" s="328"/>
      <c r="G89" s="327"/>
      <c r="H89" s="310"/>
      <c r="I89" s="311"/>
      <c r="J89" s="393"/>
      <c r="K89" s="394"/>
      <c r="L89" s="395"/>
      <c r="M89" s="396"/>
      <c r="N89" s="182"/>
      <c r="O89" s="397"/>
      <c r="P89" s="397"/>
    </row>
    <row r="90" spans="1:16" ht="12.75">
      <c r="A90" s="326"/>
      <c r="B90" s="265"/>
      <c r="C90" s="279"/>
      <c r="D90" s="265"/>
      <c r="E90" s="270"/>
      <c r="F90" s="328"/>
      <c r="G90" s="327"/>
      <c r="H90" s="310"/>
      <c r="I90" s="311"/>
      <c r="J90" s="393"/>
      <c r="K90" s="394"/>
      <c r="L90" s="395"/>
      <c r="M90" s="396"/>
      <c r="N90" s="182"/>
      <c r="O90" s="397"/>
      <c r="P90" s="397"/>
    </row>
    <row r="91" spans="1:16" ht="12.75">
      <c r="A91" s="326"/>
      <c r="B91" s="265"/>
      <c r="C91" s="279"/>
      <c r="D91" s="265"/>
      <c r="E91" s="270"/>
      <c r="F91" s="328"/>
      <c r="G91" s="327"/>
      <c r="H91" s="310"/>
      <c r="I91" s="311"/>
      <c r="J91" s="393"/>
      <c r="K91" s="394"/>
      <c r="L91" s="395"/>
      <c r="M91" s="396"/>
      <c r="N91" s="182"/>
      <c r="O91" s="397"/>
      <c r="P91" s="397"/>
    </row>
    <row r="92" spans="1:16" ht="12.75">
      <c r="A92" s="326"/>
      <c r="B92" s="265"/>
      <c r="C92" s="279"/>
      <c r="D92" s="265"/>
      <c r="E92" s="270"/>
      <c r="F92" s="328"/>
      <c r="G92" s="327"/>
      <c r="H92" s="310"/>
      <c r="I92" s="311"/>
      <c r="J92" s="393"/>
      <c r="K92" s="394"/>
      <c r="L92" s="395"/>
      <c r="M92" s="396"/>
      <c r="N92" s="182"/>
      <c r="O92" s="397"/>
      <c r="P92" s="397"/>
    </row>
    <row r="93" spans="1:16" ht="12.75">
      <c r="A93" s="326"/>
      <c r="B93" s="265"/>
      <c r="C93" s="279"/>
      <c r="D93" s="265"/>
      <c r="E93" s="270"/>
      <c r="F93" s="328"/>
      <c r="G93" s="327"/>
      <c r="H93" s="310"/>
      <c r="I93" s="311"/>
      <c r="J93" s="393"/>
      <c r="K93" s="394"/>
      <c r="L93" s="395"/>
      <c r="M93" s="396"/>
      <c r="N93" s="182"/>
      <c r="O93" s="397"/>
      <c r="P93" s="397"/>
    </row>
    <row r="94" spans="1:16" ht="12.75">
      <c r="A94" s="326"/>
      <c r="B94" s="265"/>
      <c r="C94" s="279"/>
      <c r="D94" s="265"/>
      <c r="E94" s="270"/>
      <c r="F94" s="328"/>
      <c r="G94" s="327"/>
      <c r="H94" s="310"/>
      <c r="I94" s="311"/>
      <c r="J94" s="393"/>
      <c r="K94" s="394"/>
      <c r="L94" s="395"/>
      <c r="M94" s="396"/>
      <c r="N94" s="182"/>
      <c r="O94" s="397"/>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1251198.75</v>
      </c>
      <c r="M96" s="392"/>
      <c r="N96" s="185"/>
      <c r="O96" s="391">
        <f>-SUMIF(J80:K95,'Dropdowns DL'!B5,O80:P95)+O97</f>
        <v>1347541.04375</v>
      </c>
      <c r="P96" s="391"/>
    </row>
    <row r="97" spans="1:16" s="42" customFormat="1" ht="12.75">
      <c r="A97" s="26" t="s">
        <v>182</v>
      </c>
      <c r="B97" s="63"/>
      <c r="C97" s="63"/>
      <c r="D97" s="236"/>
      <c r="E97" s="236"/>
      <c r="F97" s="236"/>
      <c r="G97" s="236"/>
      <c r="H97" s="236"/>
      <c r="I97" s="236"/>
      <c r="J97" s="236"/>
      <c r="K97" s="237"/>
      <c r="L97" s="361">
        <f>SUM(L80:M95)</f>
        <v>1254088.1499999999</v>
      </c>
      <c r="M97" s="362"/>
      <c r="N97" s="186"/>
      <c r="O97" s="361">
        <f>SUM(O80:P95)</f>
        <v>1350652.9475499999</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1251198.75</v>
      </c>
      <c r="M99" s="362"/>
      <c r="N99" s="183"/>
      <c r="O99" s="361">
        <f>SUMIF(J80:K95,'Dropdowns DL'!B4,O80:P95)</f>
        <v>1347541.04375</v>
      </c>
      <c r="P99" s="363"/>
    </row>
    <row r="100" spans="1:16" ht="12.75">
      <c r="A100" s="44"/>
      <c r="J100" s="42" t="s">
        <v>278</v>
      </c>
      <c r="K100" s="17"/>
      <c r="L100" s="361">
        <f>SUMIF(J80:K95,'Dropdowns DL'!B6,L80:M95)</f>
        <v>0</v>
      </c>
      <c r="M100" s="362"/>
      <c r="N100" s="183"/>
      <c r="O100" s="361">
        <f>SUMIF(J80:K95,'Dropdowns DL'!B6,O80:P95)</f>
        <v>0</v>
      </c>
      <c r="P100" s="363"/>
    </row>
    <row r="101" spans="1:16" ht="12.75">
      <c r="A101" s="44"/>
      <c r="J101" s="42" t="s">
        <v>193</v>
      </c>
      <c r="K101" s="17"/>
      <c r="L101" s="361">
        <f>SUMIF(J80:K95,'Dropdowns DL'!B5,L80:M95)</f>
        <v>2889.4</v>
      </c>
      <c r="M101" s="362"/>
      <c r="N101" s="183"/>
      <c r="O101" s="361">
        <f>SUMIF(J80:K95,'Dropdowns DL'!B5,O80:P95)</f>
        <v>3111.9038</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3748210.75</v>
      </c>
      <c r="E109" s="351"/>
      <c r="F109" s="352">
        <f>O73</f>
        <v>4036823</v>
      </c>
      <c r="G109" s="353"/>
      <c r="H109" s="91"/>
      <c r="I109" s="374"/>
      <c r="J109" s="375"/>
      <c r="K109" s="381"/>
      <c r="L109" s="382"/>
      <c r="M109" s="382"/>
      <c r="N109" s="382"/>
      <c r="O109" s="382"/>
      <c r="P109" s="383"/>
    </row>
    <row r="110" spans="1:16" ht="12.75">
      <c r="A110" s="354" t="s">
        <v>181</v>
      </c>
      <c r="B110" s="355"/>
      <c r="C110" s="356"/>
      <c r="D110" s="357">
        <f>L96</f>
        <v>1251198.75</v>
      </c>
      <c r="E110" s="358"/>
      <c r="F110" s="359">
        <f>O96</f>
        <v>1347541.04375</v>
      </c>
      <c r="G110" s="360"/>
      <c r="H110" s="91"/>
      <c r="I110" s="374"/>
      <c r="J110" s="375"/>
      <c r="K110" s="381"/>
      <c r="L110" s="382"/>
      <c r="M110" s="382"/>
      <c r="N110" s="382"/>
      <c r="O110" s="382"/>
      <c r="P110" s="383"/>
    </row>
    <row r="111" spans="1:16" ht="12" customHeight="1">
      <c r="A111" s="330" t="s">
        <v>178</v>
      </c>
      <c r="B111" s="331"/>
      <c r="C111" s="332"/>
      <c r="D111" s="336">
        <f>D109-D110</f>
        <v>2497012</v>
      </c>
      <c r="E111" s="337"/>
      <c r="F111" s="340">
        <f>F109-F110</f>
        <v>2689281.9562499998</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0.33381227296250615</v>
      </c>
      <c r="E113" s="348"/>
      <c r="F113" s="347">
        <f>IF(D110&lt;&gt;0,F110/F109,0)</f>
        <v>0.33381226864541741</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3"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5"/>
      <c r="M9" s="316"/>
      <c r="N9" s="66"/>
      <c r="O9" s="66"/>
      <c r="P9" s="99"/>
    </row>
    <row r="10" spans="1:16" s="14" customFormat="1" ht="12.75">
      <c r="A10" s="25"/>
      <c r="C10" s="507"/>
      <c r="D10" s="507"/>
      <c r="E10" s="508"/>
      <c r="F10" s="25"/>
      <c r="H10" s="461" t="s">
        <v>224</v>
      </c>
      <c r="I10" s="461"/>
      <c r="J10" s="461"/>
      <c r="K10" s="18"/>
      <c r="L10" s="317"/>
      <c r="M10" s="316"/>
      <c r="N10" s="66"/>
      <c r="O10" s="66"/>
      <c r="P10" s="99"/>
    </row>
    <row r="11" spans="1:16" s="14" customFormat="1" ht="12.75">
      <c r="A11" s="25"/>
      <c r="C11" s="507"/>
      <c r="D11" s="507"/>
      <c r="E11" s="508"/>
      <c r="F11" s="25"/>
      <c r="H11" s="461" t="s">
        <v>225</v>
      </c>
      <c r="I11" s="461"/>
      <c r="J11" s="461"/>
      <c r="K11" s="18"/>
      <c r="L11" s="315"/>
      <c r="M11" s="318">
        <v>43200</v>
      </c>
      <c r="N11" s="66"/>
      <c r="O11" s="164">
        <v>43208</v>
      </c>
      <c r="P11" s="99"/>
    </row>
    <row r="12" spans="1:16" s="14" customFormat="1" ht="12.75">
      <c r="A12" s="25"/>
      <c r="C12" s="507"/>
      <c r="D12" s="507"/>
      <c r="E12" s="508"/>
      <c r="F12" s="25"/>
      <c r="H12" s="169"/>
      <c r="I12" s="169"/>
      <c r="J12" s="169"/>
      <c r="K12" s="18"/>
      <c r="L12" s="315"/>
      <c r="M12" s="318"/>
      <c r="N12" s="66"/>
      <c r="O12" s="164"/>
      <c r="P12" s="99"/>
    </row>
    <row r="13" spans="1:16" s="14" customFormat="1" ht="12.75">
      <c r="A13" s="25"/>
      <c r="C13" s="507"/>
      <c r="D13" s="507"/>
      <c r="E13" s="508"/>
      <c r="F13" s="16" t="s">
        <v>206</v>
      </c>
      <c r="H13" s="461" t="s">
        <v>261</v>
      </c>
      <c r="I13" s="461"/>
      <c r="J13" s="461"/>
      <c r="K13" s="18"/>
      <c r="L13" s="315"/>
      <c r="M13" s="316"/>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3" t="s">
        <v>25</v>
      </c>
      <c r="G77" s="61"/>
      <c r="H77" s="308" t="s">
        <v>325</v>
      </c>
      <c r="I77" s="282"/>
      <c r="J77" s="406" t="s">
        <v>254</v>
      </c>
      <c r="K77" s="407"/>
      <c r="L77" s="408" t="s">
        <v>180</v>
      </c>
      <c r="M77" s="409"/>
      <c r="N77" s="409"/>
      <c r="O77" s="409"/>
      <c r="P77" s="410"/>
    </row>
    <row r="78" spans="1:16" s="42" customFormat="1" ht="12.75" customHeight="1">
      <c r="A78" s="266"/>
      <c r="B78" s="264"/>
      <c r="C78" s="280"/>
      <c r="D78" s="276"/>
      <c r="E78" s="268"/>
      <c r="F78" s="314" t="s">
        <v>260</v>
      </c>
      <c r="G78" s="97" t="s">
        <v>179</v>
      </c>
      <c r="H78" s="277" t="s">
        <v>326</v>
      </c>
      <c r="I78" s="309" t="s">
        <v>5</v>
      </c>
      <c r="J78" s="411"/>
      <c r="K78" s="412"/>
      <c r="L78" s="413" t="s">
        <v>208</v>
      </c>
      <c r="M78" s="414"/>
      <c r="N78" s="83" t="s">
        <v>152</v>
      </c>
      <c r="O78" s="415" t="s">
        <v>209</v>
      </c>
      <c r="P78" s="416"/>
    </row>
    <row r="79" spans="1:16" ht="6" customHeight="1">
      <c r="A79" s="44"/>
      <c r="C79" s="281"/>
      <c r="D79" s="398"/>
      <c r="E79" s="399"/>
      <c r="F79" s="400"/>
      <c r="G79" s="401"/>
      <c r="H79" s="301"/>
      <c r="I79" s="238"/>
      <c r="J79" s="402"/>
      <c r="K79" s="403"/>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6" t="s">
        <v>27</v>
      </c>
      <c r="G81" s="307" t="s">
        <v>217</v>
      </c>
      <c r="H81" s="310">
        <v>43101</v>
      </c>
      <c r="I81" s="311">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6" t="s">
        <v>27</v>
      </c>
      <c r="G82" s="307" t="s">
        <v>257</v>
      </c>
      <c r="H82" s="310">
        <v>43101</v>
      </c>
      <c r="I82" s="311">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6" t="s">
        <v>27</v>
      </c>
      <c r="G83" s="307" t="s">
        <v>258</v>
      </c>
      <c r="H83" s="310">
        <v>43101</v>
      </c>
      <c r="I83" s="311">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6" t="s">
        <v>27</v>
      </c>
      <c r="G84" s="307" t="s">
        <v>259</v>
      </c>
      <c r="H84" s="310">
        <v>43132</v>
      </c>
      <c r="I84" s="311">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2"/>
      <c r="G85" s="307"/>
      <c r="H85" s="310"/>
      <c r="I85" s="311"/>
      <c r="J85" s="517"/>
      <c r="K85" s="518"/>
      <c r="L85" s="395"/>
      <c r="M85" s="396"/>
      <c r="N85" s="182">
        <v>7.6999999999999999E-2</v>
      </c>
      <c r="O85" s="516" t="str">
        <f t="shared" ref="O85:O93" si="1">IF(L85&lt;&gt;"",L85*(1+N85),"")</f>
        <v/>
      </c>
      <c r="P85" s="516"/>
    </row>
    <row r="86" spans="1:16" ht="12.75">
      <c r="A86" s="272"/>
      <c r="B86" s="265"/>
      <c r="C86" s="279"/>
      <c r="D86" s="265"/>
      <c r="E86" s="270"/>
      <c r="F86" s="302"/>
      <c r="G86" s="307"/>
      <c r="H86" s="310"/>
      <c r="I86" s="311"/>
      <c r="J86" s="517"/>
      <c r="K86" s="518"/>
      <c r="L86" s="395"/>
      <c r="M86" s="396"/>
      <c r="N86" s="182">
        <v>7.6999999999999999E-2</v>
      </c>
      <c r="O86" s="516" t="str">
        <f t="shared" si="1"/>
        <v/>
      </c>
      <c r="P86" s="516"/>
    </row>
    <row r="87" spans="1:16" ht="12.75">
      <c r="A87" s="272"/>
      <c r="B87" s="265"/>
      <c r="C87" s="279"/>
      <c r="D87" s="265"/>
      <c r="E87" s="270"/>
      <c r="F87" s="302"/>
      <c r="G87" s="307"/>
      <c r="H87" s="310"/>
      <c r="I87" s="311"/>
      <c r="J87" s="517"/>
      <c r="K87" s="518"/>
      <c r="L87" s="395"/>
      <c r="M87" s="396"/>
      <c r="N87" s="182">
        <v>7.6999999999999999E-2</v>
      </c>
      <c r="O87" s="516" t="str">
        <f t="shared" si="1"/>
        <v/>
      </c>
      <c r="P87" s="516"/>
    </row>
    <row r="88" spans="1:16" ht="12.75">
      <c r="A88" s="272"/>
      <c r="B88" s="265"/>
      <c r="C88" s="279"/>
      <c r="D88" s="265"/>
      <c r="E88" s="270"/>
      <c r="F88" s="302"/>
      <c r="G88" s="307"/>
      <c r="H88" s="310"/>
      <c r="I88" s="311"/>
      <c r="J88" s="517"/>
      <c r="K88" s="518"/>
      <c r="L88" s="395"/>
      <c r="M88" s="396"/>
      <c r="N88" s="182">
        <v>7.6999999999999999E-2</v>
      </c>
      <c r="O88" s="516" t="str">
        <f t="shared" si="1"/>
        <v/>
      </c>
      <c r="P88" s="516"/>
    </row>
    <row r="89" spans="1:16" ht="12.75">
      <c r="A89" s="272"/>
      <c r="B89" s="265"/>
      <c r="C89" s="279"/>
      <c r="D89" s="265"/>
      <c r="E89" s="270"/>
      <c r="F89" s="302"/>
      <c r="G89" s="307"/>
      <c r="H89" s="310"/>
      <c r="I89" s="311"/>
      <c r="J89" s="517"/>
      <c r="K89" s="518"/>
      <c r="L89" s="395"/>
      <c r="M89" s="396"/>
      <c r="N89" s="182">
        <v>7.6999999999999999E-2</v>
      </c>
      <c r="O89" s="516" t="str">
        <f t="shared" si="1"/>
        <v/>
      </c>
      <c r="P89" s="516"/>
    </row>
    <row r="90" spans="1:16" ht="12.75">
      <c r="A90" s="272"/>
      <c r="B90" s="265"/>
      <c r="C90" s="279"/>
      <c r="D90" s="265"/>
      <c r="E90" s="270"/>
      <c r="F90" s="302"/>
      <c r="G90" s="307"/>
      <c r="H90" s="310"/>
      <c r="I90" s="311"/>
      <c r="J90" s="517"/>
      <c r="K90" s="518"/>
      <c r="L90" s="395"/>
      <c r="M90" s="396"/>
      <c r="N90" s="182">
        <v>7.6999999999999999E-2</v>
      </c>
      <c r="O90" s="516" t="str">
        <f t="shared" si="1"/>
        <v/>
      </c>
      <c r="P90" s="516"/>
    </row>
    <row r="91" spans="1:16" ht="12.75">
      <c r="A91" s="272"/>
      <c r="B91" s="265"/>
      <c r="C91" s="279"/>
      <c r="D91" s="265"/>
      <c r="E91" s="270"/>
      <c r="F91" s="302"/>
      <c r="G91" s="307"/>
      <c r="H91" s="310"/>
      <c r="I91" s="311"/>
      <c r="J91" s="517"/>
      <c r="K91" s="518"/>
      <c r="L91" s="395"/>
      <c r="M91" s="396"/>
      <c r="N91" s="182">
        <v>7.6999999999999999E-2</v>
      </c>
      <c r="O91" s="516" t="str">
        <f t="shared" si="1"/>
        <v/>
      </c>
      <c r="P91" s="516"/>
    </row>
    <row r="92" spans="1:16" ht="12.75">
      <c r="A92" s="272"/>
      <c r="B92" s="265"/>
      <c r="C92" s="279"/>
      <c r="D92" s="265"/>
      <c r="E92" s="270"/>
      <c r="F92" s="302"/>
      <c r="G92" s="307"/>
      <c r="H92" s="310"/>
      <c r="I92" s="311"/>
      <c r="J92" s="517"/>
      <c r="K92" s="518"/>
      <c r="L92" s="395"/>
      <c r="M92" s="396"/>
      <c r="N92" s="182">
        <v>7.6999999999999999E-2</v>
      </c>
      <c r="O92" s="516" t="str">
        <f t="shared" si="1"/>
        <v/>
      </c>
      <c r="P92" s="516"/>
    </row>
    <row r="93" spans="1:16" ht="12.75">
      <c r="A93" s="272"/>
      <c r="B93" s="265"/>
      <c r="C93" s="279"/>
      <c r="D93" s="265"/>
      <c r="E93" s="270"/>
      <c r="F93" s="302"/>
      <c r="G93" s="307"/>
      <c r="H93" s="310"/>
      <c r="I93" s="311"/>
      <c r="J93" s="517"/>
      <c r="K93" s="518"/>
      <c r="L93" s="395"/>
      <c r="M93" s="396"/>
      <c r="N93" s="182">
        <v>7.6999999999999999E-2</v>
      </c>
      <c r="O93" s="516" t="str">
        <f t="shared" si="1"/>
        <v/>
      </c>
      <c r="P93" s="516"/>
    </row>
    <row r="94" spans="1:16" ht="12.75">
      <c r="A94" s="273"/>
      <c r="B94" s="265"/>
      <c r="C94" s="275"/>
      <c r="D94" s="265"/>
      <c r="E94" s="269"/>
      <c r="F94" s="306" t="s">
        <v>2</v>
      </c>
      <c r="G94" s="307"/>
      <c r="H94" s="310"/>
      <c r="I94" s="312"/>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2020-08-06T08:30:33Z</cp:lastPrinted>
  <dcterms:created xsi:type="dcterms:W3CDTF">1996-10-14T23:33:28Z</dcterms:created>
  <dcterms:modified xsi:type="dcterms:W3CDTF">2020-08-06T08:45:07Z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