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6" i="20" l="1"/>
  <c r="O25" i="20"/>
  <c r="O95" i="20"/>
  <c r="O94"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3" i="20"/>
  <c r="L102" i="20"/>
  <c r="L101"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2"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4" i="20"/>
  <c r="L104" i="20"/>
  <c r="L99" i="20"/>
  <c r="L98" i="20" s="1"/>
  <c r="D112" i="20" s="1"/>
  <c r="O103" i="20"/>
  <c r="L73" i="20"/>
  <c r="D111"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1" i="20" s="1"/>
  <c r="O99" i="20"/>
  <c r="O98" i="20" s="1"/>
  <c r="F112" i="20" s="1"/>
  <c r="L25" i="28"/>
  <c r="M25" i="28" s="1"/>
  <c r="J31" i="28"/>
  <c r="D26" i="28"/>
  <c r="L26" i="14"/>
  <c r="M26" i="14" s="1"/>
  <c r="O73" i="14"/>
  <c r="F109" i="14" s="1"/>
  <c r="D27" i="28"/>
  <c r="L29" i="28"/>
  <c r="M29" i="28" s="1"/>
  <c r="N29" i="28" s="1"/>
  <c r="O29" i="28" s="1"/>
  <c r="J31" i="14"/>
  <c r="D28" i="20"/>
  <c r="O99" i="14"/>
  <c r="L29" i="20"/>
  <c r="M29" i="20" s="1"/>
  <c r="O101" i="20"/>
  <c r="D115" i="20"/>
  <c r="D113" i="14"/>
  <c r="D111" i="14"/>
  <c r="N26" i="28"/>
  <c r="M28" i="20"/>
  <c r="N28" i="20"/>
  <c r="N25" i="28"/>
  <c r="N25" i="14"/>
  <c r="L27" i="14"/>
  <c r="I31" i="14"/>
  <c r="J31" i="20"/>
  <c r="E26" i="20"/>
  <c r="E28" i="20"/>
  <c r="E27" i="28"/>
  <c r="O97" i="14"/>
  <c r="O96" i="14" s="1"/>
  <c r="F110" i="14" s="1"/>
  <c r="F113" i="14" s="1"/>
  <c r="L28" i="28"/>
  <c r="N26" i="14"/>
  <c r="L27" i="20"/>
  <c r="L28" i="14"/>
  <c r="L29" i="14"/>
  <c r="D113" i="20"/>
  <c r="I31" i="28"/>
  <c r="L27" i="28"/>
  <c r="E29" i="28"/>
  <c r="L25" i="20"/>
  <c r="I31" i="20"/>
  <c r="M26" i="20" l="1"/>
  <c r="N26" i="20"/>
  <c r="N29" i="20"/>
  <c r="O29" i="20" s="1"/>
  <c r="P29" i="20" s="1"/>
  <c r="F115" i="20"/>
  <c r="F113"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<sst xmlns="http://schemas.openxmlformats.org/spreadsheetml/2006/main" count="717" uniqueCount="375">
  <si>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</si>
  <si>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</si>
  <si>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</si>
  <si>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</si>
  <si>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</si>
  <si>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</si>
  <si>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</si>
  <si>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</si>
  <si>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</si>
  <si>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</si>
  <si>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</si>
  <si>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</si>
  <si>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</si>
  <si>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</si>
  <si>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</si>
  <si>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</si>
  <si>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</si>
  <si>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</si>
  <si>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</si>
  <si>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</si>
  <si>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</si>
  <si>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</si>
  <si>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</si>
  <si>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</si>
  <si>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</si>
  <si>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</si>
  <si>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</si>
  <si>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</si>
  <si>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</si>
  <si>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</si>
  <si>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</si>
  <si>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</si>
  <si>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</si>
  <si>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</si>
  <si>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</si>
  <si>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</si>
  <si>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</si>
  <si>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</si>
  <si>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</si>
  <si>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</si>
  <si>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</si>
  <si>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</si>
  <si>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</si>
  <si>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</si>
  <si>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</si>
  <si>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</si>
  <si>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</si>
  <si>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</si>
  <si>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</si>
  <si>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</si>
  <si>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</si>
  <si>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</si>
  <si>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</si>
  <si>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</si>
  <si>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</si>
  <si>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</si>
  <si>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</si>
  <si>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</si>
  <si>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</si>
  <si>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</si>
  <si>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</si>
  <si>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</si>
  <si>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</si>
  <si>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</si>
  <si>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</si>
  <si>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</si>
  <si>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</si>
  <si>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</si>
  <si>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</si>
  <si>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</si>
  <si>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</si>
  <si>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</si>
  <si>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</si>
  <si>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</si>
  <si>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</si>
  <si>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</si>
  <si>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</si>
  <si>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</si>
  <si>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</si>
  <si>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</si>
  <si>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</si>
  <si>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</si>
  <si>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</si>
  <si>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</si>
  <si>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</si>
  <si>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</si>
  <si>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</si>
  <si>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</si>
  <si>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</si>
  <si>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</si>
  <si>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</si>
  <si>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</si>
  <si>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</si>
  <si>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</si>
  <si>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</si>
  <si>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</si>
  <si>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</si>
  <si>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</si>
  <si>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</si>
  <si>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</si>
  <si>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</si>
  <si>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</si>
  <si>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</si>
  <si>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</si>
  <si>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</si>
  <si>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</si>
  <si>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</si>
  <si>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</si>
  <si>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</si>
  <si>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</si>
  <si>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</si>
  <si>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</si>
  <si>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</si>
  <si>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</si>
  <si>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</si>
  <si>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</si>
  <si>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</si>
  <si>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</si>
  <si>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</si>
  <si>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</si>
  <si>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</si>
  <si>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</si>
  <si>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</si>
  <si>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</si>
  <si>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</si>
  <si>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</si>
  <si>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</si>
  <si>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</si>
  <si>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</si>
  <si>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</si>
  <si>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</si>
  <si>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</si>
  <si>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</si>
  <si>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</si>
  <si>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</si>
  <si>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</si>
  <si>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</si>
  <si>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</si>
  <si>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</si>
  <si>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</si>
  <si>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</si>
  <si>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</si>
  <si>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</si>
  <si>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</si>
  <si>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</si>
  <si>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</si>
  <si>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</si>
  <si>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</si>
  <si>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</si>
  <si>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</si>
  <si>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</si>
  <si>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</si>
  <si>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</si>
  <si>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</si>
  <si>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</si>
  <si>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</si>
  <si>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</si>
  <si>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</si>
  <si>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</si>
  <si>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</si>
  <si>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</si>
  <si>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</si>
  <si>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</si>
  <si>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</si>
  <si>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</si>
  <si>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</si>
  <si>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</si>
  <si>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</si>
  <si>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</si>
  <si>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</si>
  <si>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</si>
  <si>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</si>
  <si>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</si>
  <si>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</si>
  <si>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</si>
  <si>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</si>
  <si>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</si>
  <si>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</si>
  <si>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</si>
  <si>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</si>
  <si>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</si>
  <si>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</si>
  <si>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</si>
  <si>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</si>
  <si>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</si>
  <si>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</si>
  <si>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</si>
  <si>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</si>
  <si>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</si>
  <si>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</si>
  <si>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</si>
  <si>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</si>
  <si>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</si>
  <si>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</si>
  <si>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</si>
  <si>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</si>
  <si>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</si>
  <si>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</si>
  <si>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</si>
  <si>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</si>
  <si>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</si>
  <si>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</si>
  <si>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</si>
  <si>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</si>
  <si>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</si>
  <si>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</si>
  <si>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</si>
  <si>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</si>
  <si>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</si>
  <si>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</si>
  <si>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</si>
  <si>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</si>
  <si>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</si>
  <si>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</si>
  <si>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</si>
  <si>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</si>
  <si>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</si>
  <si>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</si>
  <si>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</si>
  <si>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</si>
  <si>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</si>
  <si>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</si>
  <si>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</si>
  <si>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</si>
  <si>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</si>
  <si>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</si>
  <si>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</si>
  <si>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</si>
  <si>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</si>
  <si>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</si>
  <si>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</si>
  <si>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</si>
  <si>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</si>
  <si>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</si>
  <si>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</si>
  <si>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</si>
  <si>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</si>
  <si>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</si>
  <si>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</si>
  <si>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</si>
  <si>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</si>
  <si>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</si>
  <si>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</si>
  <si>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</si>
  <si>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</si>
  <si>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</si>
  <si>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</si>
  <si>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</si>
  <si>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</si>
  <si>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</si>
  <si>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</si>
  <si>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</si>
  <si>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</si>
  <si>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</si>
  <si>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</si>
  <si>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</si>
  <si>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</si>
  <si>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</si>
  <si>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</si>
  <si>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</si>
  <si>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</si>
  <si>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</si>
  <si>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</si>
  <si>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</si>
  <si>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</si>
  <si>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</si>
  <si>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</si>
  <si>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</si>
  <si>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</si>
  <si>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</si>
  <si>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</si>
  <si>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</si>
  <si>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</si>
  <si>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</si>
  <si>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</si>
  <si>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</si>
  <si>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</si>
  <si>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</si>
  <si>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</si>
  <si>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</si>
  <si>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</si>
  <si>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</si>
  <si>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</si>
  <si>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</si>
  <si>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</si>
  <si>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</si>
  <si>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</si>
  <si>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</si>
  <si>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</si>
  <si>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</si>
  <si>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</si>
  <si>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</si>
  <si>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</si>
  <si>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</si>
  <si>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</si>
  <si>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</si>
  <si>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</si>
  <si>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</si>
  <si>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</si>
  <si>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</si>
  <si>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</si>
  <si>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</si>
  <si>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</si>
  <si>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</si>
  <si>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</si>
  <si>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</si>
  <si>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</si>
  <si>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</si>
  <si>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</si>
  <si>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</si>
  <si>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</si>
  <si>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</si>
  <si>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</si>
  <si>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</si>
  <si>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</si>
  <si>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</si>
  <si>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</si>
  <si>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</si>
  <si>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</si>
  <si>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</si>
  <si>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</si>
  <si>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</si>
  <si>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</si>
  <si>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</si>
  <si>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</si>
  <si>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</si>
  <si>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</si>
  <si>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</si>
  <si>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</si>
  <si>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</si>
  <si>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</si>
  <si>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</si>
  <si>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</si>
  <si>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</si>
  <si>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</si>
  <si>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</si>
  <si>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</si>
  <si>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</si>
  <si>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</si>
  <si>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</si>
  <si>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</si>
  <si>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</si>
  <si>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</si>
  <si>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</si>
  <si>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</si>
  <si>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</si>
  <si>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</si>
  <si>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</si>
  <si>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</si>
  <si>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</si>
  <si>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</si>
  <si>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</si>
  <si>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</si>
  <si>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</si>
  <si>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</si>
  <si>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</si>
  <si>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</si>
  <si>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</si>
  <si>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</si>
  <si>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</si>
  <si>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</si>
  <si>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</si>
  <si>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</si>
  <si>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</si>
  <si>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</si>
  <si>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</si>
  <si>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</si>
  <si>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</si>
  <si>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</si>
  <si>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</si>
  <si>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</si>
  <si>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</si>
  <si>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</si>
  <si>
    <t>28</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</si>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</sst>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5"/>
  <sheetViews>
    <sheetView tabSelected="1" zoomScaleNormal="100" zoomScalePageLayoutView="90" workbookViewId="0">
      <selection activeCell="C8" sqref="C8:E1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40" t="s">
        <v>343</v>
      </c>
      <c r="I1" s="340"/>
      <c r="J1" s="149"/>
      <c r="K1" s="189"/>
      <c r="L1" s="166" t="s">
        <v>154</v>
      </c>
      <c r="M1" s="190"/>
      <c r="N1" s="105"/>
      <c r="O1" s="148"/>
      <c r="P1" s="150"/>
    </row>
    <row r="2" spans="1:16" s="14" customFormat="1" ht="12.75">
      <c r="A2" s="16" t="s">
        <v>12</v>
      </c>
      <c r="C2" s="352" t="s">
        <v>335</v>
      </c>
      <c r="D2" s="352"/>
      <c r="E2" s="353"/>
      <c r="F2" s="16" t="s">
        <v>327</v>
      </c>
      <c r="H2" s="332">
        <v>43282</v>
      </c>
      <c r="I2" s="332"/>
      <c r="J2" s="67" t="s">
        <v>195</v>
      </c>
      <c r="K2" s="193">
        <v>44926</v>
      </c>
      <c r="L2" s="16" t="s">
        <v>13</v>
      </c>
      <c r="N2" s="159">
        <v>44319</v>
      </c>
      <c r="P2" s="18"/>
    </row>
    <row r="3" spans="1:16" s="14" customFormat="1" ht="12.75">
      <c r="A3" s="16" t="s">
        <v>158</v>
      </c>
      <c r="C3" s="333" t="s">
        <v>336</v>
      </c>
      <c r="D3" s="333"/>
      <c r="E3" s="334"/>
      <c r="F3" s="16" t="s">
        <v>159</v>
      </c>
      <c r="H3" s="336" t="s">
        <v>344</v>
      </c>
      <c r="I3" s="336"/>
      <c r="J3" s="336"/>
      <c r="K3" s="337"/>
      <c r="L3" s="16" t="s">
        <v>166</v>
      </c>
      <c r="N3" s="324" t="s">
        <v>374</v>
      </c>
      <c r="O3" s="194"/>
      <c r="P3" s="94"/>
    </row>
    <row r="4" spans="1:16" s="14" customFormat="1" ht="12.75">
      <c r="A4" s="16" t="s">
        <v>184</v>
      </c>
      <c r="C4" s="333" t="s">
        <v>337</v>
      </c>
      <c r="D4" s="333"/>
      <c r="E4" s="334"/>
      <c r="F4" s="20" t="s">
        <v>165</v>
      </c>
      <c r="H4" s="335" t="s">
        <v>367</v>
      </c>
      <c r="I4" s="336"/>
      <c r="J4" s="336"/>
      <c r="K4" s="17"/>
      <c r="L4" s="16" t="s">
        <v>175</v>
      </c>
      <c r="N4" s="159">
        <v>44228</v>
      </c>
      <c r="O4" s="19" t="s">
        <v>5</v>
      </c>
      <c r="P4" s="161">
        <v>44255</v>
      </c>
    </row>
    <row r="5" spans="1:16" s="14" customFormat="1" ht="12.75">
      <c r="A5" s="25"/>
      <c r="C5" s="191"/>
      <c r="D5" s="169"/>
      <c r="E5" s="169"/>
      <c r="F5" s="25"/>
      <c r="G5" s="15" t="s">
        <v>169</v>
      </c>
      <c r="H5" s="351" t="s">
        <v>345</v>
      </c>
      <c r="I5" s="351"/>
      <c r="J5" s="351"/>
      <c r="K5" s="17"/>
      <c r="L5" s="20" t="s">
        <v>25</v>
      </c>
      <c r="N5" s="160" t="s">
        <v>27</v>
      </c>
      <c r="O5" s="80" t="s">
        <v>179</v>
      </c>
      <c r="P5" s="325" t="s">
        <v>374</v>
      </c>
    </row>
    <row r="6" spans="1:16" s="14" customFormat="1" ht="12.75">
      <c r="A6" s="16" t="s">
        <v>338</v>
      </c>
      <c r="C6" s="336" t="s">
        <v>339</v>
      </c>
      <c r="D6" s="336"/>
      <c r="E6" s="337"/>
      <c r="F6" s="25"/>
      <c r="G6" s="15" t="s">
        <v>161</v>
      </c>
      <c r="H6" s="338" t="s">
        <v>368</v>
      </c>
      <c r="I6" s="339"/>
      <c r="J6" s="33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8" t="s">
        <v>142</v>
      </c>
      <c r="D8" s="368"/>
      <c r="E8" s="369"/>
      <c r="F8" s="21" t="s">
        <v>162</v>
      </c>
      <c r="G8" s="29"/>
      <c r="H8" s="347" t="s">
        <v>346</v>
      </c>
      <c r="I8" s="347"/>
      <c r="J8" s="347"/>
      <c r="K8" s="348"/>
      <c r="L8" s="31" t="s">
        <v>188</v>
      </c>
      <c r="M8" s="32"/>
      <c r="N8" s="32"/>
      <c r="O8" s="32"/>
      <c r="P8" s="30"/>
    </row>
    <row r="9" spans="1:16" s="14" customFormat="1" ht="12.75">
      <c r="A9" s="25"/>
      <c r="C9" s="370"/>
      <c r="D9" s="370"/>
      <c r="E9" s="371"/>
      <c r="F9" s="25"/>
      <c r="H9" s="336" t="s">
        <v>347</v>
      </c>
      <c r="I9" s="336"/>
      <c r="J9" s="336"/>
      <c r="K9" s="337"/>
      <c r="L9" s="159"/>
      <c r="M9" s="159"/>
      <c r="N9" s="66"/>
      <c r="O9" s="66"/>
      <c r="P9" s="99"/>
    </row>
    <row r="10" spans="1:16" s="14" customFormat="1" ht="12.75">
      <c r="A10" s="25"/>
      <c r="C10" s="370"/>
      <c r="D10" s="370"/>
      <c r="E10" s="371"/>
      <c r="F10" s="25"/>
      <c r="H10" s="336" t="s">
        <v>348</v>
      </c>
      <c r="I10" s="336"/>
      <c r="J10" s="336"/>
      <c r="K10" s="337"/>
      <c r="L10" s="159"/>
      <c r="M10" s="159"/>
      <c r="N10" s="66"/>
      <c r="O10" s="66"/>
      <c r="P10" s="99"/>
    </row>
    <row r="11" spans="1:16" s="14" customFormat="1" ht="12.75" customHeight="1">
      <c r="A11" s="25"/>
      <c r="C11" s="370"/>
      <c r="D11" s="370"/>
      <c r="E11" s="371"/>
      <c r="F11" s="25"/>
      <c r="H11" s="349"/>
      <c r="I11" s="349"/>
      <c r="J11" s="349"/>
      <c r="K11" s="350"/>
      <c r="L11" s="159"/>
      <c r="M11" s="159"/>
      <c r="N11" s="66"/>
      <c r="O11" s="66"/>
      <c r="P11" s="99"/>
    </row>
    <row r="12" spans="1:16" s="14" customFormat="1" ht="12.75">
      <c r="A12" s="25"/>
      <c r="C12" s="370"/>
      <c r="D12" s="370"/>
      <c r="E12" s="371"/>
      <c r="F12" s="25"/>
      <c r="H12" s="349"/>
      <c r="I12" s="349"/>
      <c r="J12" s="349"/>
      <c r="K12" s="18"/>
      <c r="L12" s="159"/>
      <c r="M12" s="159"/>
      <c r="N12" s="66"/>
      <c r="O12" s="164"/>
      <c r="P12" s="99"/>
    </row>
    <row r="13" spans="1:16" s="14" customFormat="1" ht="12.75">
      <c r="A13" s="25"/>
      <c r="C13" s="370"/>
      <c r="D13" s="370"/>
      <c r="E13" s="371"/>
      <c r="F13" s="16" t="s">
        <v>206</v>
      </c>
      <c r="H13" s="336" t="s">
        <v>349</v>
      </c>
      <c r="I13" s="336"/>
      <c r="J13" s="336"/>
      <c r="K13" s="18"/>
      <c r="L13" s="159"/>
      <c r="M13" s="159"/>
      <c r="N13" s="66"/>
      <c r="O13" s="66"/>
      <c r="P13" s="99"/>
    </row>
    <row r="14" spans="1:16" s="14" customFormat="1" ht="12.75" hidden="1">
      <c r="A14" s="25"/>
      <c r="C14" s="370"/>
      <c r="D14" s="370"/>
      <c r="E14" s="371"/>
      <c r="F14" s="16"/>
      <c r="H14" s="379"/>
      <c r="I14" s="379"/>
      <c r="J14" s="379"/>
      <c r="K14" s="18"/>
      <c r="L14" s="98"/>
      <c r="M14" s="66"/>
      <c r="N14" s="66"/>
      <c r="O14" s="66"/>
      <c r="P14" s="99"/>
    </row>
    <row r="15" spans="1:16" s="14" customFormat="1" ht="12.75" hidden="1">
      <c r="A15" s="25"/>
      <c r="F15" s="16"/>
      <c r="G15" s="24"/>
      <c r="H15" s="379"/>
      <c r="I15" s="379"/>
      <c r="J15" s="379"/>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2" t="s">
        <v>275</v>
      </c>
      <c r="B19" s="372"/>
      <c r="C19" s="372"/>
      <c r="D19" s="372"/>
      <c r="E19" s="372"/>
      <c r="F19" s="372"/>
      <c r="G19" s="372"/>
      <c r="H19" s="372"/>
      <c r="I19" s="372"/>
      <c r="J19" s="372"/>
      <c r="K19" s="372"/>
      <c r="L19" s="372"/>
      <c r="M19" s="372"/>
      <c r="N19" s="372"/>
      <c r="O19" s="372"/>
      <c r="P19" s="372"/>
      <c r="Q19" s="15"/>
      <c r="R19" s="15"/>
    </row>
    <row r="20" spans="1:18" s="35" customFormat="1">
      <c r="Q20" s="15"/>
      <c r="R20" s="15"/>
    </row>
    <row r="21" spans="1:18" s="37" customFormat="1" ht="12.75" thickBot="1">
      <c r="A21" s="354" t="s">
        <v>150</v>
      </c>
      <c r="B21" s="355"/>
      <c r="C21" s="355"/>
      <c r="D21" s="355"/>
      <c r="E21" s="355"/>
      <c r="F21" s="356"/>
      <c r="G21" s="357" t="s">
        <v>276</v>
      </c>
      <c r="H21" s="358"/>
      <c r="I21" s="358"/>
      <c r="J21" s="358"/>
      <c r="K21" s="358"/>
      <c r="L21" s="358"/>
      <c r="M21" s="358"/>
      <c r="N21" s="358"/>
      <c r="O21" s="358"/>
      <c r="P21" s="359"/>
      <c r="Q21" s="15"/>
      <c r="R21" s="15"/>
    </row>
    <row r="22" spans="1:18" s="74" customFormat="1" ht="24">
      <c r="A22" s="360" t="s">
        <v>167</v>
      </c>
      <c r="B22" s="36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2"/>
      <c r="B23" s="36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4"/>
      <c r="B24" s="365"/>
      <c r="C24" s="215"/>
      <c r="D24" s="216"/>
      <c r="E24" s="218"/>
      <c r="F24" s="204"/>
      <c r="G24" s="205"/>
      <c r="H24" s="206"/>
      <c r="I24" s="207"/>
      <c r="J24" s="208"/>
      <c r="K24" s="206"/>
      <c r="L24" s="207"/>
      <c r="M24" s="209"/>
      <c r="N24" s="210"/>
      <c r="O24" s="211"/>
      <c r="P24" s="212"/>
      <c r="Q24" s="75"/>
      <c r="R24" s="75"/>
    </row>
    <row r="25" spans="1:18" s="77" customFormat="1" ht="12.75">
      <c r="A25" s="366" t="s">
        <v>363</v>
      </c>
      <c r="B25" s="367"/>
      <c r="C25" s="330" t="s">
        <v>364</v>
      </c>
      <c r="D25" s="113" t="s">
        <v>201</v>
      </c>
      <c r="E25" s="219" t="s">
        <v>272</v>
      </c>
      <c r="F25" s="114" t="s">
        <v>191</v>
      </c>
      <c r="G25" s="115">
        <v>91222</v>
      </c>
      <c r="H25" s="116">
        <v>0</v>
      </c>
      <c r="I25" s="117">
        <f>SUM(G25:H25)</f>
        <v>91222</v>
      </c>
      <c r="J25" s="118">
        <f>-($J$23*I25)</f>
        <v>0</v>
      </c>
      <c r="K25" s="116"/>
      <c r="L25" s="117">
        <f>SUM(I25:K25)</f>
        <v>91222</v>
      </c>
      <c r="M25" s="119">
        <f>-$M$23*L25</f>
        <v>0</v>
      </c>
      <c r="N25" s="121">
        <f>SUM(L25:M25)</f>
        <v>91222</v>
      </c>
      <c r="O25" s="141">
        <f>$O$23*N25+0.01</f>
        <v>7024.1040000000003</v>
      </c>
      <c r="P25" s="120">
        <f>SUM(N25:O25)</f>
        <v>98246.104000000007</v>
      </c>
      <c r="Q25" s="75"/>
      <c r="R25" s="75"/>
    </row>
    <row r="26" spans="1:18" s="77" customFormat="1" ht="12.75">
      <c r="A26" s="380"/>
      <c r="B26" s="367"/>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80"/>
      <c r="B27" s="367"/>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80"/>
      <c r="B28" s="367"/>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80"/>
      <c r="B29" s="367"/>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83"/>
      <c r="B30" s="38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91222</v>
      </c>
      <c r="H31" s="132">
        <f t="shared" si="0"/>
        <v>0</v>
      </c>
      <c r="I31" s="133">
        <f t="shared" si="0"/>
        <v>91222</v>
      </c>
      <c r="J31" s="134">
        <f t="shared" si="0"/>
        <v>0</v>
      </c>
      <c r="K31" s="132">
        <f t="shared" si="0"/>
        <v>0</v>
      </c>
      <c r="L31" s="133">
        <f t="shared" si="0"/>
        <v>91222</v>
      </c>
      <c r="M31" s="135">
        <f t="shared" si="0"/>
        <v>0</v>
      </c>
      <c r="N31" s="139">
        <f t="shared" si="0"/>
        <v>91222</v>
      </c>
      <c r="O31" s="136">
        <f>SUM(O25:O30)</f>
        <v>7024.1040000000003</v>
      </c>
      <c r="P31" s="137">
        <f>SUM(P25:P30)</f>
        <v>98246.104000000007</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98246.104000000007</v>
      </c>
      <c r="Q33" s="15"/>
      <c r="R33" s="15"/>
    </row>
    <row r="34" spans="1:18" s="144" customFormat="1" ht="18.75" customHeight="1">
      <c r="C34" s="151"/>
      <c r="E34" s="152"/>
      <c r="F34" s="153"/>
      <c r="G34" s="154"/>
      <c r="H34" s="154"/>
      <c r="I34" s="154"/>
      <c r="J34" s="154"/>
      <c r="K34" s="154"/>
      <c r="L34" s="154"/>
      <c r="M34" s="155" t="s">
        <v>247</v>
      </c>
      <c r="N34" s="154"/>
      <c r="O34" s="154"/>
      <c r="P34" s="154">
        <f>L31*(1+$O$23)</f>
        <v>98246.093999999997</v>
      </c>
    </row>
    <row r="35" spans="1:18" ht="10.5" customHeight="1">
      <c r="M35" s="108"/>
    </row>
    <row r="36" spans="1:18" ht="28.5" customHeight="1">
      <c r="A36" s="145" t="s">
        <v>149</v>
      </c>
      <c r="B36" s="385"/>
      <c r="C36" s="386"/>
      <c r="D36" s="386"/>
      <c r="E36" s="386"/>
      <c r="F36" s="386"/>
      <c r="G36" s="386"/>
      <c r="H36" s="386"/>
      <c r="I36" s="386"/>
      <c r="J36" s="386"/>
      <c r="K36" s="386"/>
      <c r="L36" s="386"/>
      <c r="M36" s="386"/>
      <c r="N36" s="386"/>
      <c r="O36" s="386"/>
      <c r="P36" s="386"/>
    </row>
    <row r="37" spans="1:18" s="23" customFormat="1">
      <c r="B37" s="57"/>
      <c r="C37" s="57"/>
      <c r="D37" s="57"/>
      <c r="E37" s="57"/>
      <c r="F37" s="57"/>
      <c r="G37" s="57"/>
      <c r="H37" s="57"/>
      <c r="I37" s="57"/>
      <c r="J37" s="57"/>
      <c r="K37" s="57"/>
      <c r="L37" s="57"/>
      <c r="M37" s="57"/>
      <c r="N37" s="57"/>
      <c r="O37" s="57"/>
      <c r="P37" s="57"/>
      <c r="Q37" s="57"/>
    </row>
    <row r="38" spans="1:18" ht="15">
      <c r="A38" s="372" t="s">
        <v>170</v>
      </c>
      <c r="B38" s="372"/>
      <c r="C38" s="372"/>
      <c r="D38" s="372"/>
      <c r="E38" s="372"/>
      <c r="F38" s="372"/>
      <c r="G38" s="372"/>
      <c r="H38" s="372"/>
      <c r="I38" s="372"/>
      <c r="J38" s="372"/>
      <c r="K38" s="372"/>
      <c r="L38" s="372"/>
      <c r="M38" s="372"/>
      <c r="N38" s="372"/>
      <c r="O38" s="372"/>
      <c r="P38" s="372"/>
      <c r="Q38" s="57"/>
    </row>
    <row r="40" spans="1:18" s="43" customFormat="1" ht="15.75">
      <c r="A40" s="43" t="s">
        <v>236</v>
      </c>
      <c r="E40" s="387">
        <f>P33</f>
        <v>98246.104000000007</v>
      </c>
      <c r="F40" s="387"/>
      <c r="J40" s="388"/>
      <c r="K40" s="388"/>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41" t="s">
        <v>342</v>
      </c>
      <c r="B43" s="342"/>
      <c r="C43" s="343"/>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44" t="s">
        <v>365</v>
      </c>
      <c r="B44" s="345"/>
      <c r="C44" s="346"/>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44319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29</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29</v>
      </c>
      <c r="P62" s="232"/>
    </row>
    <row r="64" spans="1:18" ht="15">
      <c r="A64" s="372" t="s">
        <v>211</v>
      </c>
      <c r="B64" s="372"/>
      <c r="C64" s="372"/>
      <c r="D64" s="372"/>
      <c r="E64" s="372"/>
      <c r="F64" s="372"/>
      <c r="G64" s="372"/>
      <c r="H64" s="372"/>
      <c r="I64" s="372"/>
      <c r="J64" s="372"/>
      <c r="K64" s="372"/>
      <c r="L64" s="372"/>
      <c r="M64" s="372"/>
      <c r="N64" s="372"/>
      <c r="O64" s="372"/>
      <c r="P64" s="372"/>
    </row>
    <row r="66" spans="1:16" s="42" customFormat="1" ht="12.75" customHeight="1">
      <c r="A66" s="373" t="s">
        <v>213</v>
      </c>
      <c r="B66" s="374"/>
      <c r="C66" s="374"/>
      <c r="D66" s="375" t="s">
        <v>212</v>
      </c>
      <c r="E66" s="376"/>
      <c r="F66" s="377" t="s">
        <v>155</v>
      </c>
      <c r="G66" s="377"/>
      <c r="H66" s="377" t="s">
        <v>241</v>
      </c>
      <c r="I66" s="377"/>
      <c r="J66" s="377" t="s">
        <v>242</v>
      </c>
      <c r="K66" s="381"/>
      <c r="L66" s="382" t="s">
        <v>146</v>
      </c>
      <c r="M66" s="382"/>
      <c r="N66" s="382"/>
      <c r="O66" s="382"/>
      <c r="P66" s="382"/>
    </row>
    <row r="67" spans="1:16">
      <c r="A67" s="399"/>
      <c r="B67" s="400"/>
      <c r="C67" s="400"/>
      <c r="D67" s="401"/>
      <c r="E67" s="402"/>
      <c r="F67" s="403"/>
      <c r="G67" s="403"/>
      <c r="H67" s="403"/>
      <c r="I67" s="403"/>
      <c r="J67" s="403"/>
      <c r="K67" s="404"/>
      <c r="L67" s="405" t="s">
        <v>208</v>
      </c>
      <c r="M67" s="406"/>
      <c r="N67" s="83" t="s">
        <v>152</v>
      </c>
      <c r="O67" s="378" t="s">
        <v>209</v>
      </c>
      <c r="P67" s="378"/>
    </row>
    <row r="68" spans="1:16" ht="6" customHeight="1">
      <c r="A68" s="389"/>
      <c r="B68" s="390"/>
      <c r="C68" s="390"/>
      <c r="D68" s="391"/>
      <c r="E68" s="392"/>
      <c r="F68" s="393"/>
      <c r="G68" s="393"/>
      <c r="H68" s="394"/>
      <c r="I68" s="394"/>
      <c r="J68" s="394"/>
      <c r="K68" s="395"/>
      <c r="L68" s="396"/>
      <c r="M68" s="397"/>
      <c r="N68" s="84"/>
      <c r="O68" s="398"/>
      <c r="P68" s="398"/>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9"/>
      <c r="B72" s="400"/>
      <c r="C72" s="400"/>
      <c r="D72" s="437"/>
      <c r="E72" s="438"/>
      <c r="F72" s="439"/>
      <c r="G72" s="439"/>
      <c r="H72" s="437"/>
      <c r="I72" s="438"/>
      <c r="J72" s="440"/>
      <c r="K72" s="441"/>
      <c r="L72" s="442"/>
      <c r="M72" s="443"/>
      <c r="N72" s="183"/>
      <c r="O72" s="444" t="str">
        <f>IF(L72&lt;&gt;"",ROUND((1*L72*(1+N72))*20,0)/20,"")</f>
        <v/>
      </c>
      <c r="P72" s="444"/>
    </row>
    <row r="73" spans="1:16" s="42" customFormat="1" ht="12.75">
      <c r="A73" s="62" t="s">
        <v>215</v>
      </c>
      <c r="B73" s="63"/>
      <c r="C73" s="63"/>
      <c r="D73" s="184"/>
      <c r="E73" s="184"/>
      <c r="F73" s="184"/>
      <c r="G73" s="184"/>
      <c r="H73" s="184"/>
      <c r="I73" s="184"/>
      <c r="J73" s="184"/>
      <c r="K73" s="184"/>
      <c r="L73" s="426">
        <f>SUM(L69:M72)</f>
        <v>3923054.1</v>
      </c>
      <c r="M73" s="427"/>
      <c r="N73" s="185"/>
      <c r="O73" s="426">
        <f>SUM(O69:P72)</f>
        <v>4225129.3</v>
      </c>
      <c r="P73" s="426"/>
    </row>
    <row r="75" spans="1:16" ht="15">
      <c r="A75" s="372" t="s">
        <v>176</v>
      </c>
      <c r="B75" s="372"/>
      <c r="C75" s="372"/>
      <c r="D75" s="372"/>
      <c r="E75" s="372"/>
      <c r="F75" s="372"/>
      <c r="G75" s="372"/>
      <c r="H75" s="372"/>
      <c r="I75" s="372"/>
      <c r="J75" s="372"/>
      <c r="K75" s="372"/>
      <c r="L75" s="372"/>
      <c r="M75" s="372"/>
      <c r="N75" s="372"/>
      <c r="O75" s="372"/>
      <c r="P75" s="372"/>
    </row>
    <row r="77" spans="1:16" ht="12.75" customHeight="1">
      <c r="A77" s="110" t="s">
        <v>166</v>
      </c>
      <c r="B77" s="61"/>
      <c r="C77" s="278" t="s">
        <v>13</v>
      </c>
      <c r="D77" s="61"/>
      <c r="E77" s="109"/>
      <c r="F77" s="313" t="s">
        <v>25</v>
      </c>
      <c r="G77" s="61"/>
      <c r="H77" s="308" t="s">
        <v>325</v>
      </c>
      <c r="I77" s="282"/>
      <c r="J77" s="375" t="s">
        <v>254</v>
      </c>
      <c r="K77" s="428"/>
      <c r="L77" s="429" t="s">
        <v>180</v>
      </c>
      <c r="M77" s="430"/>
      <c r="N77" s="430"/>
      <c r="O77" s="430"/>
      <c r="P77" s="431"/>
    </row>
    <row r="78" spans="1:16" s="42" customFormat="1" ht="12.75" customHeight="1">
      <c r="A78" s="266"/>
      <c r="B78" s="264"/>
      <c r="C78" s="280"/>
      <c r="D78" s="276"/>
      <c r="E78" s="268"/>
      <c r="F78" s="314" t="s">
        <v>260</v>
      </c>
      <c r="G78" s="97" t="s">
        <v>179</v>
      </c>
      <c r="H78" s="277" t="s">
        <v>326</v>
      </c>
      <c r="I78" s="309" t="s">
        <v>5</v>
      </c>
      <c r="J78" s="401"/>
      <c r="K78" s="432"/>
      <c r="L78" s="433" t="s">
        <v>208</v>
      </c>
      <c r="M78" s="434"/>
      <c r="N78" s="83" t="s">
        <v>152</v>
      </c>
      <c r="O78" s="435" t="s">
        <v>209</v>
      </c>
      <c r="P78" s="436"/>
    </row>
    <row r="79" spans="1:16" ht="6" customHeight="1">
      <c r="A79" s="44"/>
      <c r="C79" s="281"/>
      <c r="D79" s="445"/>
      <c r="E79" s="446"/>
      <c r="F79" s="447"/>
      <c r="G79" s="448"/>
      <c r="H79" s="301"/>
      <c r="I79" s="238"/>
      <c r="J79" s="449"/>
      <c r="K79" s="450"/>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51" t="s">
        <v>135</v>
      </c>
      <c r="K80" s="452"/>
      <c r="L80" s="415">
        <v>53622.25</v>
      </c>
      <c r="M80" s="416"/>
      <c r="N80" s="182">
        <v>7.6999999999999999E-2</v>
      </c>
      <c r="O80" s="417">
        <f>IF(L80&lt;&gt;"",L80*(1+N80),"")-0.01</f>
        <v>57751.153249999996</v>
      </c>
      <c r="P80" s="417"/>
    </row>
    <row r="81" spans="1:16" ht="12.75">
      <c r="A81" s="326" t="s">
        <v>356</v>
      </c>
      <c r="B81" s="265"/>
      <c r="C81" s="279">
        <v>43578</v>
      </c>
      <c r="D81" s="265"/>
      <c r="E81" s="270"/>
      <c r="F81" s="328" t="s">
        <v>27</v>
      </c>
      <c r="G81" s="327" t="s">
        <v>357</v>
      </c>
      <c r="H81" s="310">
        <v>43466</v>
      </c>
      <c r="I81" s="311">
        <v>43830</v>
      </c>
      <c r="J81" s="453" t="s">
        <v>135</v>
      </c>
      <c r="K81" s="452"/>
      <c r="L81" s="415">
        <v>734770.25</v>
      </c>
      <c r="M81" s="416"/>
      <c r="N81" s="182">
        <v>7.6999999999999999E-2</v>
      </c>
      <c r="O81" s="417">
        <f>IF(L81&lt;&gt;"",L81*(1+N81),"")+0.03</f>
        <v>791347.58924999996</v>
      </c>
      <c r="P81" s="417"/>
    </row>
    <row r="82" spans="1:16" ht="12.75">
      <c r="A82" s="326" t="s">
        <v>353</v>
      </c>
      <c r="B82" s="265"/>
      <c r="C82" s="279">
        <v>43913</v>
      </c>
      <c r="D82" s="265"/>
      <c r="E82" s="270"/>
      <c r="F82" s="328" t="s">
        <v>27</v>
      </c>
      <c r="G82" s="327" t="s">
        <v>353</v>
      </c>
      <c r="H82" s="310">
        <v>43831</v>
      </c>
      <c r="I82" s="311">
        <v>43861</v>
      </c>
      <c r="J82" s="453" t="s">
        <v>135</v>
      </c>
      <c r="K82" s="452"/>
      <c r="L82" s="415">
        <v>67833.25</v>
      </c>
      <c r="M82" s="416"/>
      <c r="N82" s="182">
        <v>7.6999999999999999E-2</v>
      </c>
      <c r="O82" s="417">
        <f>IF(L82&lt;&gt;"",L82*(1+N82),"")-0.01</f>
        <v>73056.400250000006</v>
      </c>
      <c r="P82" s="417"/>
    </row>
    <row r="83" spans="1:16" ht="12.75">
      <c r="A83" s="326" t="s">
        <v>354</v>
      </c>
      <c r="B83" s="265"/>
      <c r="C83" s="279">
        <v>43914</v>
      </c>
      <c r="D83" s="265"/>
      <c r="E83" s="270"/>
      <c r="F83" s="328" t="s">
        <v>27</v>
      </c>
      <c r="G83" s="327" t="s">
        <v>354</v>
      </c>
      <c r="H83" s="310">
        <v>43862</v>
      </c>
      <c r="I83" s="311">
        <v>43890</v>
      </c>
      <c r="J83" s="453" t="s">
        <v>135</v>
      </c>
      <c r="K83" s="452"/>
      <c r="L83" s="415">
        <v>69192.5</v>
      </c>
      <c r="M83" s="416"/>
      <c r="N83" s="182">
        <v>7.6999999999999999E-2</v>
      </c>
      <c r="O83" s="417">
        <f>IF(L83&lt;&gt;"",L83*(1+N83),"")-0.02</f>
        <v>74520.302499999991</v>
      </c>
      <c r="P83" s="417"/>
    </row>
    <row r="84" spans="1:16" ht="12.75">
      <c r="A84" s="326" t="s">
        <v>355</v>
      </c>
      <c r="B84" s="265"/>
      <c r="C84" s="279">
        <v>43951</v>
      </c>
      <c r="D84" s="265"/>
      <c r="E84" s="270"/>
      <c r="F84" s="328" t="s">
        <v>27</v>
      </c>
      <c r="G84" s="327" t="s">
        <v>355</v>
      </c>
      <c r="H84" s="310">
        <v>43891</v>
      </c>
      <c r="I84" s="311">
        <v>43921</v>
      </c>
      <c r="J84" s="453" t="s">
        <v>135</v>
      </c>
      <c r="K84" s="452"/>
      <c r="L84" s="415">
        <f>76213.5</f>
        <v>76213.5</v>
      </c>
      <c r="M84" s="416"/>
      <c r="N84" s="182">
        <v>7.6999999999999999E-2</v>
      </c>
      <c r="O84" s="417">
        <f>IF(L84&lt;&gt;"",L84*(1+N84),"")+0.01</f>
        <v>82081.949499999988</v>
      </c>
      <c r="P84" s="417"/>
    </row>
    <row r="85" spans="1:16" ht="12.75">
      <c r="A85" s="326" t="s">
        <v>358</v>
      </c>
      <c r="B85" s="265"/>
      <c r="C85" s="279">
        <v>43951</v>
      </c>
      <c r="D85" s="265"/>
      <c r="E85" s="270"/>
      <c r="F85" s="328" t="s">
        <v>27</v>
      </c>
      <c r="G85" s="327" t="s">
        <v>358</v>
      </c>
      <c r="H85" s="310">
        <v>43466</v>
      </c>
      <c r="I85" s="311">
        <v>43830</v>
      </c>
      <c r="J85" s="453" t="s">
        <v>14</v>
      </c>
      <c r="K85" s="452"/>
      <c r="L85" s="415">
        <v>2889.4</v>
      </c>
      <c r="M85" s="416"/>
      <c r="N85" s="182">
        <v>7.6999999999999999E-2</v>
      </c>
      <c r="O85" s="417">
        <f>IF(L85&lt;&gt;"",L85*(1+N85),"")+0.02</f>
        <v>3111.9038</v>
      </c>
      <c r="P85" s="417"/>
    </row>
    <row r="86" spans="1:16" ht="12.75">
      <c r="A86" s="326" t="s">
        <v>359</v>
      </c>
      <c r="B86" s="265"/>
      <c r="C86" s="279">
        <v>43977</v>
      </c>
      <c r="D86" s="265"/>
      <c r="E86" s="270"/>
      <c r="F86" s="328" t="s">
        <v>27</v>
      </c>
      <c r="G86" s="327" t="s">
        <v>359</v>
      </c>
      <c r="H86" s="310">
        <v>43922</v>
      </c>
      <c r="I86" s="311">
        <v>43951</v>
      </c>
      <c r="J86" s="453" t="s">
        <v>135</v>
      </c>
      <c r="K86" s="452"/>
      <c r="L86" s="415">
        <v>86597</v>
      </c>
      <c r="M86" s="416"/>
      <c r="N86" s="182">
        <v>7.6999999999999999E-2</v>
      </c>
      <c r="O86" s="417">
        <f>IF(L86&lt;&gt;"",L86*(1+N86),"")-0.02</f>
        <v>93264.948999999993</v>
      </c>
      <c r="P86" s="417"/>
    </row>
    <row r="87" spans="1:16" ht="12.75">
      <c r="A87" s="326" t="s">
        <v>360</v>
      </c>
      <c r="B87" s="265"/>
      <c r="C87" s="279">
        <v>44008</v>
      </c>
      <c r="D87" s="265"/>
      <c r="E87" s="270"/>
      <c r="F87" s="328" t="s">
        <v>27</v>
      </c>
      <c r="G87" s="327" t="s">
        <v>360</v>
      </c>
      <c r="H87" s="310">
        <v>43952</v>
      </c>
      <c r="I87" s="311">
        <v>43982</v>
      </c>
      <c r="J87" s="453" t="s">
        <v>135</v>
      </c>
      <c r="K87" s="452"/>
      <c r="L87" s="415">
        <v>98953.75</v>
      </c>
      <c r="M87" s="416"/>
      <c r="N87" s="182">
        <v>7.6999999999999999E-2</v>
      </c>
      <c r="O87" s="417">
        <f>IF(L87&lt;&gt;"",L87*(1+N87),"")+0.01</f>
        <v>106573.19875</v>
      </c>
      <c r="P87" s="417"/>
    </row>
    <row r="88" spans="1:16" ht="12.75">
      <c r="A88" s="326" t="s">
        <v>361</v>
      </c>
      <c r="B88" s="265"/>
      <c r="C88" s="279">
        <v>44049</v>
      </c>
      <c r="D88" s="265"/>
      <c r="E88" s="270"/>
      <c r="F88" s="328" t="s">
        <v>27</v>
      </c>
      <c r="G88" s="327" t="s">
        <v>361</v>
      </c>
      <c r="H88" s="310">
        <v>43983</v>
      </c>
      <c r="I88" s="311">
        <v>44012</v>
      </c>
      <c r="J88" s="453" t="s">
        <v>135</v>
      </c>
      <c r="K88" s="452"/>
      <c r="L88" s="415">
        <v>64016.25</v>
      </c>
      <c r="M88" s="416"/>
      <c r="N88" s="182">
        <v>7.6999999999999999E-2</v>
      </c>
      <c r="O88" s="417">
        <f>IF(L88&lt;&gt;"",L88*(1+N88),"")</f>
        <v>68945.501250000001</v>
      </c>
      <c r="P88" s="417"/>
    </row>
    <row r="89" spans="1:16" ht="12.75">
      <c r="A89" s="326" t="s">
        <v>362</v>
      </c>
      <c r="B89" s="265"/>
      <c r="C89" s="279">
        <v>44103</v>
      </c>
      <c r="D89" s="265"/>
      <c r="E89" s="270"/>
      <c r="F89" s="328" t="s">
        <v>27</v>
      </c>
      <c r="G89" s="327" t="s">
        <v>362</v>
      </c>
      <c r="H89" s="310">
        <v>44013</v>
      </c>
      <c r="I89" s="311">
        <v>44043</v>
      </c>
      <c r="J89" s="453" t="s">
        <v>135</v>
      </c>
      <c r="K89" s="452"/>
      <c r="L89" s="415">
        <v>77619.5</v>
      </c>
      <c r="M89" s="416"/>
      <c r="N89" s="182">
        <v>7.6999999999999999E-2</v>
      </c>
      <c r="O89" s="417">
        <f>IF(L89&lt;&gt;"",L89*(1+N89),"")</f>
        <v>83596.201499999996</v>
      </c>
      <c r="P89" s="417"/>
    </row>
    <row r="90" spans="1:16" ht="12.75">
      <c r="A90" s="331">
        <v>23</v>
      </c>
      <c r="B90" s="265"/>
      <c r="C90" s="279">
        <v>44145</v>
      </c>
      <c r="D90" s="265"/>
      <c r="E90" s="270"/>
      <c r="F90" s="328" t="s">
        <v>27</v>
      </c>
      <c r="G90" s="327" t="s">
        <v>366</v>
      </c>
      <c r="H90" s="310">
        <v>44044</v>
      </c>
      <c r="I90" s="311">
        <v>44074</v>
      </c>
      <c r="J90" s="453" t="s">
        <v>135</v>
      </c>
      <c r="K90" s="452"/>
      <c r="L90" s="415">
        <v>90464.75</v>
      </c>
      <c r="M90" s="416"/>
      <c r="N90" s="182">
        <v>7.6999999999999999E-2</v>
      </c>
      <c r="O90" s="417">
        <f>IF(L90&lt;&gt;"",L90*(1+N90),"")+0.01</f>
        <v>97430.54574999999</v>
      </c>
      <c r="P90" s="417"/>
    </row>
    <row r="91" spans="1:16" ht="12.75">
      <c r="A91" s="326" t="s">
        <v>369</v>
      </c>
      <c r="B91" s="265"/>
      <c r="C91" s="279">
        <v>44159</v>
      </c>
      <c r="D91" s="265"/>
      <c r="E91" s="270"/>
      <c r="F91" s="328" t="s">
        <v>27</v>
      </c>
      <c r="G91" s="327" t="s">
        <v>369</v>
      </c>
      <c r="H91" s="310">
        <v>44075</v>
      </c>
      <c r="I91" s="311">
        <v>44104</v>
      </c>
      <c r="J91" s="453" t="s">
        <v>135</v>
      </c>
      <c r="K91" s="452"/>
      <c r="L91" s="415">
        <v>113996.75</v>
      </c>
      <c r="M91" s="416"/>
      <c r="N91" s="182">
        <v>7.6999999999999999E-2</v>
      </c>
      <c r="O91" s="417">
        <f>IF(L91&lt;&gt;"",L91*(1+N91),"")</f>
        <v>122774.49974999999</v>
      </c>
      <c r="P91" s="417"/>
    </row>
    <row r="92" spans="1:16" ht="12.75">
      <c r="A92" s="326" t="s">
        <v>370</v>
      </c>
      <c r="B92" s="265"/>
      <c r="C92" s="279">
        <v>44169</v>
      </c>
      <c r="D92" s="265"/>
      <c r="E92" s="270"/>
      <c r="F92" s="328" t="s">
        <v>27</v>
      </c>
      <c r="G92" s="327" t="s">
        <v>370</v>
      </c>
      <c r="H92" s="310">
        <v>44105</v>
      </c>
      <c r="I92" s="311">
        <v>44135</v>
      </c>
      <c r="J92" s="453" t="s">
        <v>135</v>
      </c>
      <c r="K92" s="452"/>
      <c r="L92" s="415">
        <v>113268.25</v>
      </c>
      <c r="M92" s="416"/>
      <c r="N92" s="182">
        <v>7.6999999999999999E-2</v>
      </c>
      <c r="O92" s="417">
        <f>IF(L92&lt;&gt;"",L92*(1+N92),"")-0.01</f>
        <v>121989.89525</v>
      </c>
      <c r="P92" s="417"/>
    </row>
    <row r="93" spans="1:16" ht="12.75">
      <c r="A93" s="326" t="s">
        <v>371</v>
      </c>
      <c r="B93" s="265"/>
      <c r="C93" s="279">
        <v>44239</v>
      </c>
      <c r="D93" s="265"/>
      <c r="E93" s="270"/>
      <c r="F93" s="328" t="s">
        <v>27</v>
      </c>
      <c r="G93" s="327" t="s">
        <v>371</v>
      </c>
      <c r="H93" s="310">
        <v>44136</v>
      </c>
      <c r="I93" s="311">
        <v>44165</v>
      </c>
      <c r="J93" s="453" t="s">
        <v>135</v>
      </c>
      <c r="K93" s="452"/>
      <c r="L93" s="415">
        <v>76748</v>
      </c>
      <c r="M93" s="416"/>
      <c r="N93" s="182">
        <v>7.6999999999999999E-2</v>
      </c>
      <c r="O93" s="417">
        <f>IF(L93&lt;&gt;"",L93*(1+N93),"")</f>
        <v>82657.59599999999</v>
      </c>
      <c r="P93" s="417"/>
    </row>
    <row r="94" spans="1:16" ht="12.75">
      <c r="A94" s="326" t="s">
        <v>372</v>
      </c>
      <c r="B94" s="265"/>
      <c r="C94" s="279">
        <v>44250</v>
      </c>
      <c r="D94" s="265"/>
      <c r="E94" s="270"/>
      <c r="F94" s="328" t="s">
        <v>27</v>
      </c>
      <c r="G94" s="327" t="s">
        <v>372</v>
      </c>
      <c r="H94" s="310">
        <v>44166</v>
      </c>
      <c r="I94" s="311">
        <v>44196</v>
      </c>
      <c r="J94" s="453" t="s">
        <v>135</v>
      </c>
      <c r="K94" s="452"/>
      <c r="L94" s="415">
        <v>58043</v>
      </c>
      <c r="M94" s="416"/>
      <c r="N94" s="182">
        <v>7.6999999999999999E-2</v>
      </c>
      <c r="O94" s="417">
        <f>IF(L94&lt;&gt;"",L94*(1+N94),"")-0.01</f>
        <v>62512.300999999992</v>
      </c>
      <c r="P94" s="417"/>
    </row>
    <row r="95" spans="1:16" ht="12.75">
      <c r="A95" s="326" t="s">
        <v>373</v>
      </c>
      <c r="B95" s="265"/>
      <c r="C95" s="279">
        <v>44312</v>
      </c>
      <c r="D95" s="265"/>
      <c r="E95" s="270"/>
      <c r="F95" s="328" t="s">
        <v>27</v>
      </c>
      <c r="G95" s="327" t="s">
        <v>373</v>
      </c>
      <c r="H95" s="310">
        <v>44197</v>
      </c>
      <c r="I95" s="311">
        <v>44227</v>
      </c>
      <c r="J95" s="453" t="s">
        <v>135</v>
      </c>
      <c r="K95" s="452"/>
      <c r="L95" s="415">
        <v>90520.25</v>
      </c>
      <c r="M95" s="416"/>
      <c r="N95" s="182">
        <v>7.6999999999999999E-2</v>
      </c>
      <c r="O95" s="417">
        <f>IF(L95&lt;&gt;"",L95*(1+N95),"")-0.01</f>
        <v>97490.299249999996</v>
      </c>
      <c r="P95" s="417"/>
    </row>
    <row r="96" spans="1:16" ht="12.75">
      <c r="A96" s="331">
        <v>29</v>
      </c>
      <c r="B96" s="265"/>
      <c r="C96" s="279">
        <v>44319</v>
      </c>
      <c r="D96" s="265"/>
      <c r="E96" s="270"/>
      <c r="F96" s="328" t="s">
        <v>27</v>
      </c>
      <c r="G96" s="327" t="s">
        <v>374</v>
      </c>
      <c r="H96" s="310">
        <v>44228</v>
      </c>
      <c r="I96" s="311">
        <v>44255</v>
      </c>
      <c r="J96" s="453" t="s">
        <v>135</v>
      </c>
      <c r="K96" s="452"/>
      <c r="L96" s="415">
        <v>91222</v>
      </c>
      <c r="M96" s="416"/>
      <c r="N96" s="182">
        <v>7.6999999999999999E-2</v>
      </c>
      <c r="O96" s="417">
        <f>IF(L96&lt;&gt;"",L96*(1+N96),"")+0.01</f>
        <v>98246.103999999992</v>
      </c>
      <c r="P96" s="417"/>
    </row>
    <row r="97" spans="1:16" ht="6" customHeight="1">
      <c r="A97" s="81"/>
      <c r="C97" s="277"/>
      <c r="D97" s="457"/>
      <c r="E97" s="458"/>
      <c r="F97" s="459"/>
      <c r="G97" s="460"/>
      <c r="H97" s="274"/>
      <c r="I97" s="241"/>
      <c r="J97" s="262"/>
      <c r="K97" s="263"/>
      <c r="L97" s="242"/>
      <c r="M97" s="243"/>
      <c r="N97" s="183"/>
      <c r="O97" s="242"/>
      <c r="P97" s="260"/>
    </row>
    <row r="98" spans="1:16" ht="12.75" customHeight="1">
      <c r="A98" s="233" t="s">
        <v>181</v>
      </c>
      <c r="B98" s="89"/>
      <c r="C98" s="89"/>
      <c r="D98" s="234"/>
      <c r="E98" s="234"/>
      <c r="F98" s="234"/>
      <c r="G98" s="234"/>
      <c r="H98" s="234"/>
      <c r="I98" s="234"/>
      <c r="J98" s="234"/>
      <c r="K98" s="235"/>
      <c r="L98" s="426">
        <f>-SUMIF(J80:K97,'Dropdowns DL'!B5,L80:M97)+L99</f>
        <v>1963081.25</v>
      </c>
      <c r="M98" s="427"/>
      <c r="N98" s="185"/>
      <c r="O98" s="426">
        <f>-SUMIF(J80:K97,'Dropdowns DL'!B5,O80:P97)+O99</f>
        <v>2114238.4862499996</v>
      </c>
      <c r="P98" s="426"/>
    </row>
    <row r="99" spans="1:16" s="42" customFormat="1" ht="12.75">
      <c r="A99" s="26" t="s">
        <v>182</v>
      </c>
      <c r="B99" s="63"/>
      <c r="C99" s="63"/>
      <c r="D99" s="236"/>
      <c r="E99" s="236"/>
      <c r="F99" s="236"/>
      <c r="G99" s="236"/>
      <c r="H99" s="236"/>
      <c r="I99" s="236"/>
      <c r="J99" s="236"/>
      <c r="K99" s="237"/>
      <c r="L99" s="454">
        <f>SUM(L80:M97)</f>
        <v>1965970.65</v>
      </c>
      <c r="M99" s="455"/>
      <c r="N99" s="186"/>
      <c r="O99" s="454">
        <f>SUM(O80:P97)</f>
        <v>2117350.3900499996</v>
      </c>
      <c r="P99" s="456"/>
    </row>
    <row r="100" spans="1:16" ht="6" customHeight="1">
      <c r="A100" s="85"/>
      <c r="D100" s="86"/>
      <c r="E100" s="86"/>
      <c r="F100" s="86"/>
      <c r="G100" s="86"/>
      <c r="H100" s="86"/>
      <c r="I100" s="86"/>
      <c r="J100" s="86"/>
      <c r="K100" s="64"/>
      <c r="L100" s="244"/>
      <c r="M100" s="245"/>
      <c r="N100" s="187"/>
      <c r="O100" s="244"/>
      <c r="P100" s="261"/>
    </row>
    <row r="101" spans="1:16" ht="12.75" customHeight="1">
      <c r="A101" s="88" t="s">
        <v>214</v>
      </c>
      <c r="D101" s="267"/>
      <c r="J101" s="42" t="s">
        <v>192</v>
      </c>
      <c r="K101" s="17"/>
      <c r="L101" s="454">
        <f>SUMIF(J80:K97,'Dropdowns DL'!B4,L80:M97)</f>
        <v>1963081.25</v>
      </c>
      <c r="M101" s="455"/>
      <c r="N101" s="183"/>
      <c r="O101" s="454">
        <f>SUMIF(J80:K97,'Dropdowns DL'!B4,O80:P97)</f>
        <v>2114238.4862499996</v>
      </c>
      <c r="P101" s="456"/>
    </row>
    <row r="102" spans="1:16" ht="12.75">
      <c r="A102" s="44"/>
      <c r="J102" s="42" t="s">
        <v>278</v>
      </c>
      <c r="K102" s="17"/>
      <c r="L102" s="454">
        <f>SUMIF(J80:K97,'Dropdowns DL'!B6,L80:M97)</f>
        <v>0</v>
      </c>
      <c r="M102" s="455"/>
      <c r="N102" s="183"/>
      <c r="O102" s="454">
        <f>SUMIF(J80:K97,'Dropdowns DL'!B6,O80:P97)</f>
        <v>0</v>
      </c>
      <c r="P102" s="456"/>
    </row>
    <row r="103" spans="1:16" ht="12.75">
      <c r="A103" s="44"/>
      <c r="J103" s="42" t="s">
        <v>193</v>
      </c>
      <c r="K103" s="17"/>
      <c r="L103" s="454">
        <f>SUMIF(J80:K97,'Dropdowns DL'!B5,L80:M97)</f>
        <v>2889.4</v>
      </c>
      <c r="M103" s="455"/>
      <c r="N103" s="183"/>
      <c r="O103" s="454">
        <f>SUMIF(J80:K97,'Dropdowns DL'!B5,O80:P97)</f>
        <v>3111.9038</v>
      </c>
      <c r="P103" s="456"/>
    </row>
    <row r="104" spans="1:16" ht="12.75" hidden="1">
      <c r="A104" s="44"/>
      <c r="J104" s="42" t="s">
        <v>194</v>
      </c>
      <c r="K104" s="17"/>
      <c r="L104" s="454">
        <f>SUMIF(J80:K97,'Dropdowns Bau'!B5,L80:M97)</f>
        <v>0</v>
      </c>
      <c r="M104" s="455"/>
      <c r="N104" s="183"/>
      <c r="O104" s="454">
        <f>SUMIF(J80:K97,'Dropdowns Bau'!B5,O80:P97)</f>
        <v>0</v>
      </c>
      <c r="P104" s="456"/>
    </row>
    <row r="105" spans="1:16" ht="6" customHeight="1">
      <c r="A105" s="81"/>
      <c r="B105" s="87"/>
      <c r="C105" s="87"/>
      <c r="D105" s="87"/>
      <c r="E105" s="87"/>
      <c r="F105" s="87"/>
      <c r="G105" s="87"/>
      <c r="H105" s="87"/>
      <c r="I105" s="87"/>
      <c r="J105" s="87"/>
      <c r="K105" s="82"/>
      <c r="L105" s="461"/>
      <c r="M105" s="462"/>
      <c r="N105" s="188"/>
      <c r="O105" s="463"/>
      <c r="P105" s="463"/>
    </row>
    <row r="106" spans="1:16" ht="6" customHeight="1"/>
    <row r="108" spans="1:16" ht="15">
      <c r="A108" s="167" t="s">
        <v>183</v>
      </c>
      <c r="B108" s="156"/>
      <c r="C108" s="156"/>
      <c r="D108" s="156"/>
      <c r="E108" s="156"/>
      <c r="F108" s="156"/>
      <c r="G108" s="156"/>
      <c r="H108" s="157"/>
      <c r="I108" s="464" t="s">
        <v>210</v>
      </c>
      <c r="J108" s="464"/>
      <c r="K108" s="464"/>
      <c r="L108" s="464"/>
      <c r="M108" s="464"/>
      <c r="N108" s="464"/>
      <c r="O108" s="464"/>
      <c r="P108" s="464"/>
    </row>
    <row r="109" spans="1:16" s="23" customFormat="1">
      <c r="A109" s="95"/>
      <c r="B109" s="95"/>
      <c r="C109" s="95"/>
      <c r="D109" s="95"/>
      <c r="E109" s="95"/>
      <c r="F109" s="95"/>
      <c r="G109" s="95"/>
      <c r="H109" s="95"/>
      <c r="I109" s="96"/>
      <c r="J109" s="95"/>
      <c r="K109" s="95"/>
      <c r="L109" s="95"/>
      <c r="M109" s="95"/>
    </row>
    <row r="110" spans="1:16" ht="12" customHeight="1">
      <c r="A110" s="90"/>
      <c r="B110" s="89"/>
      <c r="C110" s="89"/>
      <c r="D110" s="465" t="s">
        <v>208</v>
      </c>
      <c r="E110" s="466"/>
      <c r="F110" s="467" t="s">
        <v>209</v>
      </c>
      <c r="G110" s="468"/>
      <c r="H110" s="23"/>
      <c r="I110" s="469" t="s">
        <v>253</v>
      </c>
      <c r="J110" s="470"/>
      <c r="K110" s="475" t="s">
        <v>277</v>
      </c>
      <c r="L110" s="476"/>
      <c r="M110" s="476"/>
      <c r="N110" s="476"/>
      <c r="O110" s="476"/>
      <c r="P110" s="477"/>
    </row>
    <row r="111" spans="1:16" ht="12.75">
      <c r="A111" s="373" t="s">
        <v>215</v>
      </c>
      <c r="B111" s="374"/>
      <c r="C111" s="484"/>
      <c r="D111" s="502">
        <f>L73</f>
        <v>3923054.1</v>
      </c>
      <c r="E111" s="503"/>
      <c r="F111" s="504">
        <f>O73</f>
        <v>4225129.3</v>
      </c>
      <c r="G111" s="505"/>
      <c r="H111" s="91"/>
      <c r="I111" s="471"/>
      <c r="J111" s="472"/>
      <c r="K111" s="478"/>
      <c r="L111" s="479"/>
      <c r="M111" s="479"/>
      <c r="N111" s="479"/>
      <c r="O111" s="479"/>
      <c r="P111" s="480"/>
    </row>
    <row r="112" spans="1:16" ht="12.75">
      <c r="A112" s="506" t="s">
        <v>181</v>
      </c>
      <c r="B112" s="507"/>
      <c r="C112" s="508"/>
      <c r="D112" s="509">
        <f>L98</f>
        <v>1963081.25</v>
      </c>
      <c r="E112" s="510"/>
      <c r="F112" s="511">
        <f>O98</f>
        <v>2114238.4862499996</v>
      </c>
      <c r="G112" s="512"/>
      <c r="H112" s="91"/>
      <c r="I112" s="471"/>
      <c r="J112" s="472"/>
      <c r="K112" s="478"/>
      <c r="L112" s="479"/>
      <c r="M112" s="479"/>
      <c r="N112" s="479"/>
      <c r="O112" s="479"/>
      <c r="P112" s="480"/>
    </row>
    <row r="113" spans="1:16" ht="12" customHeight="1">
      <c r="A113" s="373" t="s">
        <v>178</v>
      </c>
      <c r="B113" s="374"/>
      <c r="C113" s="484"/>
      <c r="D113" s="488">
        <f>D111-D112</f>
        <v>1959972.85</v>
      </c>
      <c r="E113" s="489"/>
      <c r="F113" s="492">
        <f>F111-F112</f>
        <v>2110890.8137500002</v>
      </c>
      <c r="G113" s="493"/>
      <c r="H113" s="92"/>
      <c r="I113" s="471"/>
      <c r="J113" s="472"/>
      <c r="K113" s="478"/>
      <c r="L113" s="479"/>
      <c r="M113" s="479"/>
      <c r="N113" s="479"/>
      <c r="O113" s="479"/>
      <c r="P113" s="480"/>
    </row>
    <row r="114" spans="1:16" ht="12" customHeight="1">
      <c r="A114" s="485"/>
      <c r="B114" s="486"/>
      <c r="C114" s="487"/>
      <c r="D114" s="490"/>
      <c r="E114" s="491"/>
      <c r="F114" s="494"/>
      <c r="G114" s="495"/>
      <c r="H114" s="92"/>
      <c r="I114" s="471"/>
      <c r="J114" s="472"/>
      <c r="K114" s="478"/>
      <c r="L114" s="479"/>
      <c r="M114" s="479"/>
      <c r="N114" s="479"/>
      <c r="O114" s="479"/>
      <c r="P114" s="480"/>
    </row>
    <row r="115" spans="1:16" ht="12.75">
      <c r="A115" s="496" t="s">
        <v>177</v>
      </c>
      <c r="B115" s="497"/>
      <c r="C115" s="498"/>
      <c r="D115" s="499">
        <f>IF(D112&lt;&gt;0,D112/D111,0)</f>
        <v>0.50039617093223365</v>
      </c>
      <c r="E115" s="500"/>
      <c r="F115" s="499">
        <f>IF(D112&lt;&gt;0,F112/F111,0)</f>
        <v>0.50039616213638705</v>
      </c>
      <c r="G115" s="501"/>
      <c r="H115" s="93"/>
      <c r="I115" s="473"/>
      <c r="J115" s="474"/>
      <c r="K115" s="481"/>
      <c r="L115" s="482"/>
      <c r="M115" s="482"/>
      <c r="N115" s="482"/>
      <c r="O115" s="482"/>
      <c r="P115" s="483"/>
    </row>
  </sheetData>
  <mergeCells count="181">
    <mergeCell ref="A113:C114"/>
    <mergeCell ref="D113:E114"/>
    <mergeCell ref="F113:G114"/>
    <mergeCell ref="A115:C115"/>
    <mergeCell ref="D115:E115"/>
    <mergeCell ref="F115:G115"/>
    <mergeCell ref="A111:C111"/>
    <mergeCell ref="D111:E111"/>
    <mergeCell ref="F111:G111"/>
    <mergeCell ref="A112:C112"/>
    <mergeCell ref="D112:E112"/>
    <mergeCell ref="F112:G112"/>
    <mergeCell ref="L104:M104"/>
    <mergeCell ref="O104:P104"/>
    <mergeCell ref="L105:M105"/>
    <mergeCell ref="O105:P105"/>
    <mergeCell ref="I108:P108"/>
    <mergeCell ref="D110:E110"/>
    <mergeCell ref="F110:G110"/>
    <mergeCell ref="I110:J115"/>
    <mergeCell ref="K110:P115"/>
    <mergeCell ref="L101:M101"/>
    <mergeCell ref="O101:P101"/>
    <mergeCell ref="L102:M102"/>
    <mergeCell ref="O102:P102"/>
    <mergeCell ref="L103:M103"/>
    <mergeCell ref="O103:P103"/>
    <mergeCell ref="D97:E97"/>
    <mergeCell ref="F97:G97"/>
    <mergeCell ref="L98:M98"/>
    <mergeCell ref="O98:P98"/>
    <mergeCell ref="L99:M99"/>
    <mergeCell ref="O99:P99"/>
    <mergeCell ref="J91:K91"/>
    <mergeCell ref="L91:M91"/>
    <mergeCell ref="O91:P91"/>
    <mergeCell ref="J96:K96"/>
    <mergeCell ref="L96:M96"/>
    <mergeCell ref="O96:P96"/>
    <mergeCell ref="J89:K89"/>
    <mergeCell ref="L89:M89"/>
    <mergeCell ref="O89:P89"/>
    <mergeCell ref="J90:K90"/>
    <mergeCell ref="L90:M90"/>
    <mergeCell ref="O90:P90"/>
    <mergeCell ref="J92:K92"/>
    <mergeCell ref="L92:M92"/>
    <mergeCell ref="O92:P92"/>
    <mergeCell ref="L93:M93"/>
    <mergeCell ref="O93:P93"/>
    <mergeCell ref="J93:K93"/>
    <mergeCell ref="J94:K94"/>
    <mergeCell ref="L94:M94"/>
    <mergeCell ref="O94:P94"/>
    <mergeCell ref="J95:K95"/>
    <mergeCell ref="L95:M95"/>
    <mergeCell ref="O95:P95"/>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5:G115">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7:K97">
      <formula1>Rechnungsart</formula1>
    </dataValidation>
    <dataValidation type="list" allowBlank="1" showInputMessage="1" showErrorMessage="1" sqref="H97:I97 F80:F96">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6">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38" header="0.27559055118110237" footer="0.2"/>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40"/>
      <c r="I1" s="340"/>
      <c r="J1" s="149"/>
      <c r="K1" s="189"/>
      <c r="L1" s="166" t="s">
        <v>154</v>
      </c>
      <c r="M1" s="190"/>
      <c r="N1" s="105"/>
      <c r="O1" s="148"/>
      <c r="P1" s="150"/>
    </row>
    <row r="2" spans="1:16" s="14" customFormat="1" ht="12.75">
      <c r="A2" s="16" t="s">
        <v>12</v>
      </c>
      <c r="C2" s="352" t="str">
        <f>'RDB Dienstleistungen'!C2:E2</f>
        <v>EP RHE FRI</v>
      </c>
      <c r="D2" s="352"/>
      <c r="E2" s="353"/>
      <c r="F2" s="16" t="s">
        <v>327</v>
      </c>
      <c r="H2" s="332"/>
      <c r="I2" s="332"/>
      <c r="J2" s="67" t="s">
        <v>195</v>
      </c>
      <c r="K2" s="193"/>
      <c r="L2" s="16" t="s">
        <v>13</v>
      </c>
      <c r="N2" s="159"/>
      <c r="P2" s="18"/>
    </row>
    <row r="3" spans="1:16" s="14" customFormat="1" ht="12.75">
      <c r="A3" s="16" t="s">
        <v>158</v>
      </c>
      <c r="C3" s="333" t="str">
        <f>'RDB Dienstleistungen'!C3:E3</f>
        <v>N3 EP Rheinfelden - Frick und Einzelmassnahmen</v>
      </c>
      <c r="D3" s="333"/>
      <c r="E3" s="334"/>
      <c r="F3" s="16" t="s">
        <v>159</v>
      </c>
      <c r="H3" s="336"/>
      <c r="I3" s="336"/>
      <c r="J3" s="336"/>
      <c r="K3" s="337"/>
      <c r="L3" s="16" t="s">
        <v>166</v>
      </c>
      <c r="N3" s="194"/>
      <c r="O3" s="194"/>
      <c r="P3" s="94"/>
    </row>
    <row r="4" spans="1:16" s="14" customFormat="1" ht="12.75">
      <c r="A4" s="16" t="s">
        <v>184</v>
      </c>
      <c r="C4" s="333" t="str">
        <f>'RDB Dienstleistungen'!C4:E4</f>
        <v>FUP.2</v>
      </c>
      <c r="D4" s="333"/>
      <c r="E4" s="334"/>
      <c r="F4" s="20" t="s">
        <v>165</v>
      </c>
      <c r="H4" s="336" t="str">
        <f>'RDB Dienstleistungen'!H4:J4</f>
        <v>Christian Fuchs</v>
      </c>
      <c r="I4" s="336"/>
      <c r="J4" s="336"/>
      <c r="K4" s="17"/>
      <c r="L4" s="16" t="s">
        <v>175</v>
      </c>
      <c r="N4" s="159"/>
      <c r="O4" s="19" t="s">
        <v>5</v>
      </c>
      <c r="P4" s="161"/>
    </row>
    <row r="5" spans="1:16" s="14" customFormat="1" ht="12.75">
      <c r="A5" s="25"/>
      <c r="C5" s="191"/>
      <c r="D5" s="169"/>
      <c r="E5" s="169"/>
      <c r="F5" s="25"/>
      <c r="G5" s="15" t="s">
        <v>169</v>
      </c>
      <c r="H5" s="336" t="str">
        <f>'RDB Dienstleistungen'!H5:J5</f>
        <v>061 365 22 22</v>
      </c>
      <c r="I5" s="336"/>
      <c r="J5" s="336"/>
      <c r="K5" s="17"/>
      <c r="L5" s="20" t="s">
        <v>25</v>
      </c>
      <c r="N5" s="160"/>
      <c r="O5" s="80" t="s">
        <v>179</v>
      </c>
      <c r="P5" s="162"/>
    </row>
    <row r="6" spans="1:16" s="14" customFormat="1" ht="12.75">
      <c r="A6" s="16" t="s">
        <v>7</v>
      </c>
      <c r="C6" s="336" t="str">
        <f>'RDB Dienstleistungen'!C6:E6</f>
        <v>Nicole Schulz</v>
      </c>
      <c r="D6" s="336"/>
      <c r="E6" s="337"/>
      <c r="F6" s="25"/>
      <c r="G6" s="15" t="s">
        <v>161</v>
      </c>
      <c r="H6" s="339" t="str">
        <f>'RDB Dienstleistungen'!H6:J6</f>
        <v>c.fuchs@aebo.ch</v>
      </c>
      <c r="I6" s="339"/>
      <c r="J6" s="339"/>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8" t="s">
        <v>142</v>
      </c>
      <c r="D8" s="368"/>
      <c r="E8" s="369"/>
      <c r="F8" s="21" t="s">
        <v>162</v>
      </c>
      <c r="G8" s="29"/>
      <c r="H8" s="347" t="str">
        <f>'RDB Dienstleistungen'!H8:K8</f>
        <v>INGE EP RF BB, c/o Aegerter &amp; Bosshardt AG</v>
      </c>
      <c r="I8" s="347"/>
      <c r="J8" s="347"/>
      <c r="K8" s="348"/>
      <c r="L8" s="31" t="s">
        <v>188</v>
      </c>
      <c r="M8" s="32"/>
      <c r="N8" s="32"/>
      <c r="O8" s="32"/>
      <c r="P8" s="30"/>
    </row>
    <row r="9" spans="1:16" s="14" customFormat="1" ht="12.75">
      <c r="A9" s="25"/>
      <c r="C9" s="370"/>
      <c r="D9" s="370"/>
      <c r="E9" s="371"/>
      <c r="F9" s="25"/>
      <c r="H9" s="336" t="str">
        <f>'RDB Dienstleistungen'!H9:K9</f>
        <v>Hochstrasse 48</v>
      </c>
      <c r="I9" s="336"/>
      <c r="J9" s="336"/>
      <c r="K9" s="337"/>
      <c r="L9" s="159"/>
      <c r="M9" s="159"/>
      <c r="N9" s="66"/>
      <c r="O9" s="66"/>
      <c r="P9" s="99"/>
    </row>
    <row r="10" spans="1:16" s="14" customFormat="1" ht="12.75">
      <c r="A10" s="25"/>
      <c r="C10" s="370"/>
      <c r="D10" s="370"/>
      <c r="E10" s="371"/>
      <c r="F10" s="25"/>
      <c r="H10" s="336" t="str">
        <f>'RDB Dienstleistungen'!H10:K10</f>
        <v>4002 Basel</v>
      </c>
      <c r="I10" s="336"/>
      <c r="J10" s="336"/>
      <c r="K10" s="337"/>
      <c r="L10" s="159"/>
      <c r="M10" s="159"/>
      <c r="N10" s="66"/>
      <c r="O10" s="66"/>
      <c r="P10" s="99"/>
    </row>
    <row r="11" spans="1:16" s="14" customFormat="1" ht="12.75" customHeight="1">
      <c r="A11" s="25"/>
      <c r="C11" s="370"/>
      <c r="D11" s="370"/>
      <c r="E11" s="371"/>
      <c r="F11" s="25"/>
      <c r="H11" s="336">
        <f>'RDB Dienstleistungen'!H11:K11</f>
        <v>0</v>
      </c>
      <c r="I11" s="336"/>
      <c r="J11" s="336"/>
      <c r="K11" s="337"/>
      <c r="L11" s="159"/>
      <c r="M11" s="159"/>
      <c r="N11" s="66"/>
      <c r="O11" s="66"/>
      <c r="P11" s="99"/>
    </row>
    <row r="12" spans="1:16" s="14" customFormat="1" ht="12.75">
      <c r="A12" s="25"/>
      <c r="C12" s="370"/>
      <c r="D12" s="370"/>
      <c r="E12" s="371"/>
      <c r="F12" s="25"/>
      <c r="H12" s="349"/>
      <c r="I12" s="349"/>
      <c r="J12" s="349"/>
      <c r="K12" s="18"/>
      <c r="L12" s="159"/>
      <c r="M12" s="159"/>
      <c r="N12" s="66"/>
      <c r="O12" s="164"/>
      <c r="P12" s="99"/>
    </row>
    <row r="13" spans="1:16" s="14" customFormat="1" ht="12.75">
      <c r="A13" s="25"/>
      <c r="C13" s="370"/>
      <c r="D13" s="370"/>
      <c r="E13" s="371"/>
      <c r="F13" s="16" t="s">
        <v>206</v>
      </c>
      <c r="H13" s="336" t="str">
        <f>'RDB Dienstleistungen'!H13:J13</f>
        <v>CHE-164.869.840 MWST</v>
      </c>
      <c r="I13" s="336"/>
      <c r="J13" s="336"/>
      <c r="K13" s="18"/>
      <c r="L13" s="159"/>
      <c r="M13" s="159"/>
      <c r="N13" s="66"/>
      <c r="O13" s="66"/>
      <c r="P13" s="99"/>
    </row>
    <row r="14" spans="1:16" s="14" customFormat="1" ht="12.75" hidden="1">
      <c r="A14" s="25"/>
      <c r="C14" s="370"/>
      <c r="D14" s="370"/>
      <c r="E14" s="371"/>
      <c r="F14" s="16"/>
      <c r="H14" s="379"/>
      <c r="I14" s="379"/>
      <c r="J14" s="379"/>
      <c r="K14" s="18"/>
      <c r="L14" s="98"/>
      <c r="M14" s="66"/>
      <c r="N14" s="66"/>
      <c r="O14" s="66"/>
      <c r="P14" s="99"/>
    </row>
    <row r="15" spans="1:16" s="14" customFormat="1" ht="12.75" hidden="1">
      <c r="A15" s="25"/>
      <c r="F15" s="16"/>
      <c r="G15" s="24"/>
      <c r="H15" s="379"/>
      <c r="I15" s="379"/>
      <c r="J15" s="379"/>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2" t="s">
        <v>275</v>
      </c>
      <c r="B19" s="372"/>
      <c r="C19" s="372"/>
      <c r="D19" s="372"/>
      <c r="E19" s="372"/>
      <c r="F19" s="372"/>
      <c r="G19" s="372"/>
      <c r="H19" s="372"/>
      <c r="I19" s="372"/>
      <c r="J19" s="372"/>
      <c r="K19" s="372"/>
      <c r="L19" s="372"/>
      <c r="M19" s="372"/>
      <c r="N19" s="372"/>
      <c r="O19" s="372"/>
      <c r="P19" s="372"/>
      <c r="Q19" s="15"/>
      <c r="R19" s="15"/>
    </row>
    <row r="20" spans="1:18" s="35" customFormat="1">
      <c r="Q20" s="15"/>
      <c r="R20" s="15"/>
    </row>
    <row r="21" spans="1:18" s="37" customFormat="1" ht="12.75" thickBot="1">
      <c r="A21" s="354" t="s">
        <v>150</v>
      </c>
      <c r="B21" s="355"/>
      <c r="C21" s="355"/>
      <c r="D21" s="355"/>
      <c r="E21" s="355"/>
      <c r="F21" s="356"/>
      <c r="G21" s="357" t="s">
        <v>276</v>
      </c>
      <c r="H21" s="358"/>
      <c r="I21" s="358"/>
      <c r="J21" s="358"/>
      <c r="K21" s="358"/>
      <c r="L21" s="358"/>
      <c r="M21" s="358"/>
      <c r="N21" s="358"/>
      <c r="O21" s="358"/>
      <c r="P21" s="359"/>
      <c r="Q21" s="15"/>
      <c r="R21" s="15"/>
    </row>
    <row r="22" spans="1:18" s="74" customFormat="1" ht="24">
      <c r="A22" s="360" t="s">
        <v>167</v>
      </c>
      <c r="B22" s="36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2"/>
      <c r="B23" s="36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4"/>
      <c r="B24" s="365"/>
      <c r="C24" s="215"/>
      <c r="D24" s="216"/>
      <c r="E24" s="218"/>
      <c r="F24" s="204"/>
      <c r="G24" s="205"/>
      <c r="H24" s="206"/>
      <c r="I24" s="207"/>
      <c r="J24" s="208"/>
      <c r="K24" s="206"/>
      <c r="L24" s="207"/>
      <c r="M24" s="209"/>
      <c r="N24" s="210"/>
      <c r="O24" s="211"/>
      <c r="P24" s="212"/>
      <c r="Q24" s="75"/>
      <c r="R24" s="75"/>
    </row>
    <row r="25" spans="1:18" s="77" customFormat="1" ht="12.75">
      <c r="A25" s="380" t="str">
        <f>'RDB Dienstleistungen'!A25:B25</f>
        <v>19.03.48.311.01</v>
      </c>
      <c r="B25" s="367"/>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80">
        <f>'RDB Dienstleistungen'!A26:B26</f>
        <v>0</v>
      </c>
      <c r="B26" s="367"/>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80">
        <f>'RDB Dienstleistungen'!A27:B27</f>
        <v>0</v>
      </c>
      <c r="B27" s="367"/>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80">
        <f>'RDB Dienstleistungen'!A28:B28</f>
        <v>0</v>
      </c>
      <c r="B28" s="367"/>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80">
        <f>'RDB Dienstleistungen'!A29:B29</f>
        <v>0</v>
      </c>
      <c r="B29" s="367"/>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83"/>
      <c r="B30" s="38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5" t="s">
        <v>334</v>
      </c>
      <c r="C36" s="386"/>
      <c r="D36" s="386"/>
      <c r="E36" s="386"/>
      <c r="F36" s="386"/>
      <c r="G36" s="386"/>
      <c r="H36" s="386"/>
      <c r="I36" s="386"/>
      <c r="J36" s="386"/>
      <c r="K36" s="386"/>
      <c r="L36" s="386"/>
      <c r="M36" s="386"/>
      <c r="N36" s="386"/>
      <c r="O36" s="386"/>
      <c r="P36" s="386"/>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52" t="s">
        <v>250</v>
      </c>
      <c r="D2" s="352"/>
      <c r="E2" s="353"/>
      <c r="F2" s="16" t="s">
        <v>327</v>
      </c>
      <c r="H2" s="332">
        <v>43101</v>
      </c>
      <c r="I2" s="332"/>
      <c r="J2" s="67" t="s">
        <v>195</v>
      </c>
      <c r="K2" s="193">
        <v>43830</v>
      </c>
      <c r="L2" s="16" t="s">
        <v>13</v>
      </c>
      <c r="N2" s="159">
        <v>43196</v>
      </c>
      <c r="P2" s="18"/>
    </row>
    <row r="3" spans="1:16" s="14" customFormat="1" ht="15.75">
      <c r="A3" s="16" t="s">
        <v>158</v>
      </c>
      <c r="C3" s="521" t="s">
        <v>218</v>
      </c>
      <c r="D3" s="521"/>
      <c r="E3" s="522"/>
      <c r="F3" s="16" t="s">
        <v>159</v>
      </c>
      <c r="H3" s="336" t="s">
        <v>219</v>
      </c>
      <c r="I3" s="336"/>
      <c r="J3" s="336"/>
      <c r="K3" s="17"/>
      <c r="L3" s="16" t="s">
        <v>166</v>
      </c>
      <c r="N3" s="194" t="s">
        <v>255</v>
      </c>
      <c r="O3" s="194"/>
      <c r="P3" s="94"/>
    </row>
    <row r="4" spans="1:16" s="14" customFormat="1" ht="12.75">
      <c r="A4" s="16" t="s">
        <v>184</v>
      </c>
      <c r="C4" s="333" t="s">
        <v>251</v>
      </c>
      <c r="D4" s="333"/>
      <c r="E4" s="334"/>
      <c r="F4" s="20" t="s">
        <v>165</v>
      </c>
      <c r="H4" s="336" t="s">
        <v>220</v>
      </c>
      <c r="I4" s="336"/>
      <c r="J4" s="336"/>
      <c r="K4" s="17"/>
      <c r="L4" s="16" t="s">
        <v>175</v>
      </c>
      <c r="N4" s="159">
        <v>43132</v>
      </c>
      <c r="O4" s="19" t="s">
        <v>5</v>
      </c>
      <c r="P4" s="161">
        <v>43190</v>
      </c>
    </row>
    <row r="5" spans="1:16" s="14" customFormat="1" ht="12.75">
      <c r="A5" s="25"/>
      <c r="C5" s="191"/>
      <c r="D5" s="169"/>
      <c r="E5" s="169"/>
      <c r="F5" s="25"/>
      <c r="G5" s="15" t="s">
        <v>169</v>
      </c>
      <c r="H5" s="336" t="s">
        <v>221</v>
      </c>
      <c r="I5" s="336"/>
      <c r="J5" s="336"/>
      <c r="K5" s="17"/>
      <c r="L5" s="20" t="s">
        <v>25</v>
      </c>
      <c r="N5" s="160" t="s">
        <v>27</v>
      </c>
      <c r="O5" s="80" t="s">
        <v>179</v>
      </c>
      <c r="P5" s="162" t="s">
        <v>259</v>
      </c>
    </row>
    <row r="6" spans="1:16" s="14" customFormat="1" ht="12.75">
      <c r="A6" s="16" t="s">
        <v>7</v>
      </c>
      <c r="C6" s="336" t="s">
        <v>221</v>
      </c>
      <c r="D6" s="336"/>
      <c r="E6" s="337"/>
      <c r="F6" s="25"/>
      <c r="G6" s="15" t="s">
        <v>161</v>
      </c>
      <c r="H6" s="339" t="s">
        <v>222</v>
      </c>
      <c r="I6" s="339"/>
      <c r="J6" s="33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8" t="s">
        <v>142</v>
      </c>
      <c r="D8" s="368"/>
      <c r="E8" s="369"/>
      <c r="F8" s="21" t="s">
        <v>162</v>
      </c>
      <c r="G8" s="29"/>
      <c r="H8" s="347" t="s">
        <v>274</v>
      </c>
      <c r="I8" s="347"/>
      <c r="J8" s="347"/>
      <c r="K8" s="30"/>
      <c r="L8" s="31" t="s">
        <v>188</v>
      </c>
      <c r="M8" s="32"/>
      <c r="N8" s="32"/>
      <c r="O8" s="32"/>
      <c r="P8" s="30"/>
    </row>
    <row r="9" spans="1:16" s="14" customFormat="1" ht="12.75">
      <c r="A9" s="25"/>
      <c r="C9" s="370"/>
      <c r="D9" s="370"/>
      <c r="E9" s="371"/>
      <c r="F9" s="25"/>
      <c r="H9" s="336" t="s">
        <v>223</v>
      </c>
      <c r="I9" s="336"/>
      <c r="J9" s="336"/>
      <c r="K9" s="18"/>
      <c r="L9" s="315"/>
      <c r="M9" s="316"/>
      <c r="N9" s="66"/>
      <c r="O9" s="66"/>
      <c r="P9" s="99"/>
    </row>
    <row r="10" spans="1:16" s="14" customFormat="1" ht="12.75">
      <c r="A10" s="25"/>
      <c r="C10" s="370"/>
      <c r="D10" s="370"/>
      <c r="E10" s="371"/>
      <c r="F10" s="25"/>
      <c r="H10" s="336" t="s">
        <v>224</v>
      </c>
      <c r="I10" s="336"/>
      <c r="J10" s="336"/>
      <c r="K10" s="18"/>
      <c r="L10" s="317"/>
      <c r="M10" s="316"/>
      <c r="N10" s="66"/>
      <c r="O10" s="66"/>
      <c r="P10" s="99"/>
    </row>
    <row r="11" spans="1:16" s="14" customFormat="1" ht="12.75">
      <c r="A11" s="25"/>
      <c r="C11" s="370"/>
      <c r="D11" s="370"/>
      <c r="E11" s="371"/>
      <c r="F11" s="25"/>
      <c r="H11" s="336" t="s">
        <v>225</v>
      </c>
      <c r="I11" s="336"/>
      <c r="J11" s="336"/>
      <c r="K11" s="18"/>
      <c r="L11" s="315"/>
      <c r="M11" s="318">
        <v>43200</v>
      </c>
      <c r="N11" s="66"/>
      <c r="O11" s="164">
        <v>43208</v>
      </c>
      <c r="P11" s="99"/>
    </row>
    <row r="12" spans="1:16" s="14" customFormat="1" ht="12.75">
      <c r="A12" s="25"/>
      <c r="C12" s="370"/>
      <c r="D12" s="370"/>
      <c r="E12" s="371"/>
      <c r="F12" s="25"/>
      <c r="H12" s="169"/>
      <c r="I12" s="169"/>
      <c r="J12" s="169"/>
      <c r="K12" s="18"/>
      <c r="L12" s="315"/>
      <c r="M12" s="318"/>
      <c r="N12" s="66"/>
      <c r="O12" s="164"/>
      <c r="P12" s="99"/>
    </row>
    <row r="13" spans="1:16" s="14" customFormat="1" ht="12.75">
      <c r="A13" s="25"/>
      <c r="C13" s="370"/>
      <c r="D13" s="370"/>
      <c r="E13" s="371"/>
      <c r="F13" s="16" t="s">
        <v>206</v>
      </c>
      <c r="H13" s="336" t="s">
        <v>261</v>
      </c>
      <c r="I13" s="336"/>
      <c r="J13" s="336"/>
      <c r="K13" s="18"/>
      <c r="L13" s="315"/>
      <c r="M13" s="316"/>
      <c r="N13" s="66"/>
      <c r="O13" s="66"/>
      <c r="P13" s="99"/>
    </row>
    <row r="14" spans="1:16" s="14" customFormat="1" ht="12.75" hidden="1">
      <c r="A14" s="25"/>
      <c r="C14" s="370"/>
      <c r="D14" s="370"/>
      <c r="E14" s="371"/>
      <c r="F14" s="16"/>
      <c r="H14" s="379"/>
      <c r="I14" s="379"/>
      <c r="J14" s="379"/>
      <c r="K14" s="18"/>
      <c r="L14" s="98"/>
      <c r="M14" s="66"/>
      <c r="N14" s="66"/>
      <c r="O14" s="66"/>
      <c r="P14" s="99"/>
    </row>
    <row r="15" spans="1:16" s="14" customFormat="1" ht="12.75" hidden="1">
      <c r="A15" s="25"/>
      <c r="F15" s="16"/>
      <c r="G15" s="24"/>
      <c r="H15" s="379"/>
      <c r="I15" s="379"/>
      <c r="J15" s="379"/>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2" t="s">
        <v>275</v>
      </c>
      <c r="B19" s="372"/>
      <c r="C19" s="372"/>
      <c r="D19" s="372"/>
      <c r="E19" s="372"/>
      <c r="F19" s="372"/>
      <c r="G19" s="372"/>
      <c r="H19" s="372"/>
      <c r="I19" s="372"/>
      <c r="J19" s="372"/>
      <c r="K19" s="372"/>
      <c r="L19" s="372"/>
      <c r="M19" s="372"/>
      <c r="N19" s="372"/>
      <c r="O19" s="372"/>
      <c r="P19" s="372"/>
      <c r="Q19" s="15"/>
      <c r="R19" s="15"/>
    </row>
    <row r="20" spans="1:18" s="35" customFormat="1">
      <c r="Q20" s="15"/>
      <c r="R20" s="15"/>
    </row>
    <row r="21" spans="1:18" s="37" customFormat="1" ht="12.75" thickBot="1">
      <c r="A21" s="354" t="s">
        <v>150</v>
      </c>
      <c r="B21" s="355"/>
      <c r="C21" s="355"/>
      <c r="D21" s="355"/>
      <c r="E21" s="355"/>
      <c r="F21" s="356"/>
      <c r="G21" s="357" t="s">
        <v>276</v>
      </c>
      <c r="H21" s="358"/>
      <c r="I21" s="358"/>
      <c r="J21" s="358"/>
      <c r="K21" s="358"/>
      <c r="L21" s="358"/>
      <c r="M21" s="358"/>
      <c r="N21" s="358"/>
      <c r="O21" s="358"/>
      <c r="P21" s="359"/>
      <c r="Q21" s="15"/>
      <c r="R21" s="15"/>
    </row>
    <row r="22" spans="1:18" s="74" customFormat="1" ht="24">
      <c r="A22" s="360" t="s">
        <v>167</v>
      </c>
      <c r="B22" s="36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2"/>
      <c r="B23" s="363"/>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4"/>
      <c r="B24" s="365"/>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83"/>
      <c r="B30" s="38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72" t="s">
        <v>170</v>
      </c>
      <c r="B38" s="372"/>
      <c r="C38" s="372"/>
      <c r="D38" s="372"/>
      <c r="E38" s="372"/>
      <c r="F38" s="372"/>
      <c r="G38" s="372"/>
      <c r="H38" s="372"/>
      <c r="I38" s="372"/>
      <c r="J38" s="372"/>
      <c r="K38" s="372"/>
      <c r="L38" s="372"/>
      <c r="M38" s="372"/>
      <c r="N38" s="372"/>
      <c r="O38" s="372"/>
      <c r="P38" s="372"/>
      <c r="Q38" s="57"/>
    </row>
    <row r="40" spans="1:18" s="43" customFormat="1" ht="15.75">
      <c r="A40" s="43" t="s">
        <v>236</v>
      </c>
      <c r="E40" s="387">
        <f>P33</f>
        <v>2319638.4593336</v>
      </c>
      <c r="F40" s="387"/>
      <c r="J40" s="388"/>
      <c r="K40" s="388"/>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47"/>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6"/>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72" t="s">
        <v>211</v>
      </c>
      <c r="B64" s="372"/>
      <c r="C64" s="372"/>
      <c r="D64" s="372"/>
      <c r="E64" s="372"/>
      <c r="F64" s="372"/>
      <c r="G64" s="372"/>
      <c r="H64" s="372"/>
      <c r="I64" s="372"/>
      <c r="J64" s="372"/>
      <c r="K64" s="372"/>
      <c r="L64" s="372"/>
      <c r="M64" s="372"/>
      <c r="N64" s="372"/>
      <c r="O64" s="372"/>
      <c r="P64" s="372"/>
    </row>
    <row r="66" spans="1:16" s="42" customFormat="1" ht="12.75" customHeight="1">
      <c r="A66" s="373" t="s">
        <v>213</v>
      </c>
      <c r="B66" s="374"/>
      <c r="C66" s="374"/>
      <c r="D66" s="375" t="s">
        <v>212</v>
      </c>
      <c r="E66" s="376"/>
      <c r="F66" s="377" t="s">
        <v>155</v>
      </c>
      <c r="G66" s="377"/>
      <c r="H66" s="377" t="s">
        <v>241</v>
      </c>
      <c r="I66" s="377"/>
      <c r="J66" s="377" t="s">
        <v>242</v>
      </c>
      <c r="K66" s="381"/>
      <c r="L66" s="382" t="s">
        <v>146</v>
      </c>
      <c r="M66" s="382"/>
      <c r="N66" s="382"/>
      <c r="O66" s="382"/>
      <c r="P66" s="382"/>
    </row>
    <row r="67" spans="1:16">
      <c r="A67" s="399"/>
      <c r="B67" s="400"/>
      <c r="C67" s="400"/>
      <c r="D67" s="401"/>
      <c r="E67" s="402"/>
      <c r="F67" s="403"/>
      <c r="G67" s="403"/>
      <c r="H67" s="403"/>
      <c r="I67" s="403"/>
      <c r="J67" s="403"/>
      <c r="K67" s="404"/>
      <c r="L67" s="405" t="s">
        <v>208</v>
      </c>
      <c r="M67" s="406"/>
      <c r="N67" s="83" t="s">
        <v>152</v>
      </c>
      <c r="O67" s="378" t="s">
        <v>209</v>
      </c>
      <c r="P67" s="378"/>
    </row>
    <row r="68" spans="1:16" ht="6" customHeight="1">
      <c r="A68" s="389"/>
      <c r="B68" s="390"/>
      <c r="C68" s="390"/>
      <c r="D68" s="391"/>
      <c r="E68" s="392"/>
      <c r="F68" s="393"/>
      <c r="G68" s="393"/>
      <c r="H68" s="394"/>
      <c r="I68" s="394"/>
      <c r="J68" s="394"/>
      <c r="K68" s="395"/>
      <c r="L68" s="396"/>
      <c r="M68" s="397"/>
      <c r="N68" s="84"/>
      <c r="O68" s="398"/>
      <c r="P68" s="398"/>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9"/>
      <c r="B72" s="400"/>
      <c r="C72" s="400"/>
      <c r="D72" s="437"/>
      <c r="E72" s="438"/>
      <c r="F72" s="439"/>
      <c r="G72" s="439"/>
      <c r="H72" s="437"/>
      <c r="I72" s="438"/>
      <c r="J72" s="440"/>
      <c r="K72" s="441"/>
      <c r="L72" s="442"/>
      <c r="M72" s="443"/>
      <c r="N72" s="183"/>
      <c r="O72" s="444" t="str">
        <f>IF(L72&lt;&gt;"",ROUND((1*L72*(1+N72))*20,0)/20,"")</f>
        <v/>
      </c>
      <c r="P72" s="444"/>
    </row>
    <row r="73" spans="1:16" s="42" customFormat="1" ht="12.75">
      <c r="A73" s="62" t="s">
        <v>215</v>
      </c>
      <c r="B73" s="63"/>
      <c r="C73" s="63"/>
      <c r="D73" s="184"/>
      <c r="E73" s="184"/>
      <c r="F73" s="184"/>
      <c r="G73" s="184"/>
      <c r="H73" s="184"/>
      <c r="I73" s="184"/>
      <c r="J73" s="184"/>
      <c r="K73" s="184"/>
      <c r="L73" s="426">
        <f>SUM(L69:M72)</f>
        <v>5350000</v>
      </c>
      <c r="M73" s="427"/>
      <c r="N73" s="185"/>
      <c r="O73" s="426">
        <f>SUM(O69:P72)</f>
        <v>5761950</v>
      </c>
      <c r="P73" s="426"/>
    </row>
    <row r="75" spans="1:16" ht="15">
      <c r="A75" s="372" t="s">
        <v>176</v>
      </c>
      <c r="B75" s="372"/>
      <c r="C75" s="372"/>
      <c r="D75" s="372"/>
      <c r="E75" s="372"/>
      <c r="F75" s="372"/>
      <c r="G75" s="372"/>
      <c r="H75" s="372"/>
      <c r="I75" s="372"/>
      <c r="J75" s="372"/>
      <c r="K75" s="372"/>
      <c r="L75" s="372"/>
      <c r="M75" s="372"/>
      <c r="N75" s="372"/>
      <c r="O75" s="372"/>
      <c r="P75" s="372"/>
    </row>
    <row r="77" spans="1:16" ht="12.75" customHeight="1">
      <c r="A77" s="110" t="s">
        <v>166</v>
      </c>
      <c r="B77" s="61"/>
      <c r="C77" s="278" t="s">
        <v>13</v>
      </c>
      <c r="D77" s="61"/>
      <c r="E77" s="109"/>
      <c r="F77" s="313" t="s">
        <v>25</v>
      </c>
      <c r="G77" s="61"/>
      <c r="H77" s="308" t="s">
        <v>325</v>
      </c>
      <c r="I77" s="282"/>
      <c r="J77" s="375" t="s">
        <v>254</v>
      </c>
      <c r="K77" s="428"/>
      <c r="L77" s="429" t="s">
        <v>180</v>
      </c>
      <c r="M77" s="430"/>
      <c r="N77" s="430"/>
      <c r="O77" s="430"/>
      <c r="P77" s="431"/>
    </row>
    <row r="78" spans="1:16" s="42" customFormat="1" ht="12.75" customHeight="1">
      <c r="A78" s="266"/>
      <c r="B78" s="264"/>
      <c r="C78" s="280"/>
      <c r="D78" s="276"/>
      <c r="E78" s="268"/>
      <c r="F78" s="314" t="s">
        <v>260</v>
      </c>
      <c r="G78" s="97" t="s">
        <v>179</v>
      </c>
      <c r="H78" s="277" t="s">
        <v>326</v>
      </c>
      <c r="I78" s="309" t="s">
        <v>5</v>
      </c>
      <c r="J78" s="401"/>
      <c r="K78" s="432"/>
      <c r="L78" s="433" t="s">
        <v>208</v>
      </c>
      <c r="M78" s="434"/>
      <c r="N78" s="83" t="s">
        <v>152</v>
      </c>
      <c r="O78" s="435" t="s">
        <v>209</v>
      </c>
      <c r="P78" s="436"/>
    </row>
    <row r="79" spans="1:16" ht="6" customHeight="1">
      <c r="A79" s="44"/>
      <c r="C79" s="281"/>
      <c r="D79" s="445"/>
      <c r="E79" s="446"/>
      <c r="F79" s="447"/>
      <c r="G79" s="448"/>
      <c r="H79" s="301"/>
      <c r="I79" s="238"/>
      <c r="J79" s="449"/>
      <c r="K79" s="450"/>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57"/>
      <c r="E95" s="458"/>
      <c r="F95" s="459"/>
      <c r="G95" s="46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6">
        <f>-SUMIF(J80:K95,'Dropdowns Bau'!B9,L80:M95)+L97</f>
        <v>3719438.7368000001</v>
      </c>
      <c r="M96" s="427"/>
      <c r="N96" s="185"/>
      <c r="O96" s="426">
        <f>-SUMIF(J80:K95,'Dropdowns Bau'!B9,O80:P95)+O97</f>
        <v>4005835.5195335997</v>
      </c>
      <c r="P96" s="426"/>
    </row>
    <row r="97" spans="1:16" s="42" customFormat="1" ht="12.75">
      <c r="A97" s="26" t="s">
        <v>182</v>
      </c>
      <c r="B97" s="63"/>
      <c r="C97" s="63"/>
      <c r="D97" s="236"/>
      <c r="E97" s="236"/>
      <c r="F97" s="236"/>
      <c r="G97" s="236"/>
      <c r="H97" s="236"/>
      <c r="I97" s="236"/>
      <c r="J97" s="236"/>
      <c r="K97" s="237"/>
      <c r="L97" s="454">
        <f>SUM(L80:M95)</f>
        <v>3719438.7368000001</v>
      </c>
      <c r="M97" s="455"/>
      <c r="N97" s="186"/>
      <c r="O97" s="454">
        <f>SUM(O80:P95)</f>
        <v>4005835.5195335997</v>
      </c>
      <c r="P97" s="456"/>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4">
        <f>SUMIF(J80:K95,'Dropdowns DL'!B4,L80:M95)</f>
        <v>3699438.7368000001</v>
      </c>
      <c r="M99" s="455"/>
      <c r="N99" s="183"/>
      <c r="O99" s="454">
        <f>SUMIF(J80:K95,'Dropdowns DL'!B4,O80:P95)</f>
        <v>3984295.5195335997</v>
      </c>
      <c r="P99" s="456"/>
    </row>
    <row r="100" spans="1:16" ht="12.75">
      <c r="A100" s="44"/>
      <c r="J100" s="42" t="s">
        <v>278</v>
      </c>
      <c r="K100" s="17"/>
      <c r="L100" s="454">
        <f>SUMIF(J80:K95,'Dropdowns DL'!B6,L80:M95)</f>
        <v>20000</v>
      </c>
      <c r="M100" s="455"/>
      <c r="N100" s="183"/>
      <c r="O100" s="454">
        <f>SUMIF(J80:K95,'Dropdowns DL'!B6,O80:P95)</f>
        <v>21540</v>
      </c>
      <c r="P100" s="456"/>
    </row>
    <row r="101" spans="1:16" ht="12.75">
      <c r="A101" s="44"/>
      <c r="J101" s="42" t="s">
        <v>193</v>
      </c>
      <c r="K101" s="17"/>
      <c r="L101" s="454">
        <f>SUMIF(J80:K95,'Dropdowns DL'!B5,L80:M95)</f>
        <v>10000</v>
      </c>
      <c r="M101" s="455"/>
      <c r="N101" s="183"/>
      <c r="O101" s="454">
        <f>SUMIF(J80:K95,'Dropdowns DL'!B5,O80:P95)</f>
        <v>10770</v>
      </c>
      <c r="P101" s="456"/>
    </row>
    <row r="102" spans="1:16" ht="12.75" hidden="1">
      <c r="A102" s="44"/>
      <c r="J102" s="42" t="s">
        <v>194</v>
      </c>
      <c r="K102" s="17"/>
      <c r="L102" s="454">
        <f>SUMIF(J80:K95,'Dropdowns Bau'!B5,L80:M95)</f>
        <v>0</v>
      </c>
      <c r="M102" s="455"/>
      <c r="N102" s="183"/>
      <c r="O102" s="454">
        <f>SUMIF(J80:K95,'Dropdowns Bau'!B5,O80:P95)</f>
        <v>0</v>
      </c>
      <c r="P102" s="456"/>
    </row>
    <row r="103" spans="1:16" ht="6" customHeight="1">
      <c r="A103" s="81"/>
      <c r="B103" s="87"/>
      <c r="C103" s="87"/>
      <c r="D103" s="87"/>
      <c r="E103" s="87"/>
      <c r="F103" s="87"/>
      <c r="G103" s="87"/>
      <c r="H103" s="87"/>
      <c r="I103" s="87"/>
      <c r="J103" s="87"/>
      <c r="K103" s="82"/>
      <c r="L103" s="461"/>
      <c r="M103" s="462"/>
      <c r="N103" s="188"/>
      <c r="O103" s="463"/>
      <c r="P103" s="463"/>
    </row>
    <row r="104" spans="1:16" ht="6" customHeight="1"/>
    <row r="106" spans="1:16" ht="15">
      <c r="A106" s="167" t="s">
        <v>183</v>
      </c>
      <c r="B106" s="156"/>
      <c r="C106" s="156"/>
      <c r="D106" s="156"/>
      <c r="E106" s="156"/>
      <c r="F106" s="156"/>
      <c r="G106" s="156"/>
      <c r="H106" s="157"/>
      <c r="I106" s="464" t="s">
        <v>210</v>
      </c>
      <c r="J106" s="464"/>
      <c r="K106" s="464"/>
      <c r="L106" s="464"/>
      <c r="M106" s="464"/>
      <c r="N106" s="464"/>
      <c r="O106" s="464"/>
      <c r="P106" s="464"/>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5" t="s">
        <v>208</v>
      </c>
      <c r="E108" s="466"/>
      <c r="F108" s="467" t="s">
        <v>209</v>
      </c>
      <c r="G108" s="468"/>
      <c r="H108" s="23"/>
      <c r="I108" s="469" t="s">
        <v>253</v>
      </c>
      <c r="J108" s="470"/>
      <c r="K108" s="475" t="s">
        <v>277</v>
      </c>
      <c r="L108" s="476"/>
      <c r="M108" s="476"/>
      <c r="N108" s="476"/>
      <c r="O108" s="476"/>
      <c r="P108" s="477"/>
    </row>
    <row r="109" spans="1:16" ht="12.75">
      <c r="A109" s="373" t="s">
        <v>215</v>
      </c>
      <c r="B109" s="374"/>
      <c r="C109" s="484"/>
      <c r="D109" s="502">
        <f>L73</f>
        <v>5350000</v>
      </c>
      <c r="E109" s="503"/>
      <c r="F109" s="504">
        <f>O73</f>
        <v>5761950</v>
      </c>
      <c r="G109" s="505"/>
      <c r="H109" s="91"/>
      <c r="I109" s="471"/>
      <c r="J109" s="472"/>
      <c r="K109" s="478"/>
      <c r="L109" s="479"/>
      <c r="M109" s="479"/>
      <c r="N109" s="479"/>
      <c r="O109" s="479"/>
      <c r="P109" s="480"/>
    </row>
    <row r="110" spans="1:16" ht="12.75">
      <c r="A110" s="506" t="s">
        <v>181</v>
      </c>
      <c r="B110" s="507"/>
      <c r="C110" s="508"/>
      <c r="D110" s="509">
        <f>L96</f>
        <v>3719438.7368000001</v>
      </c>
      <c r="E110" s="510"/>
      <c r="F110" s="511">
        <f>O96</f>
        <v>4005835.5195335997</v>
      </c>
      <c r="G110" s="512"/>
      <c r="H110" s="91"/>
      <c r="I110" s="471"/>
      <c r="J110" s="472"/>
      <c r="K110" s="478"/>
      <c r="L110" s="479"/>
      <c r="M110" s="479"/>
      <c r="N110" s="479"/>
      <c r="O110" s="479"/>
      <c r="P110" s="480"/>
    </row>
    <row r="111" spans="1:16" ht="12" customHeight="1">
      <c r="A111" s="373" t="s">
        <v>178</v>
      </c>
      <c r="B111" s="374"/>
      <c r="C111" s="484"/>
      <c r="D111" s="488">
        <f>D109-D110</f>
        <v>1630561.2631999999</v>
      </c>
      <c r="E111" s="489"/>
      <c r="F111" s="492">
        <f>F109-F110</f>
        <v>1756114.4804664003</v>
      </c>
      <c r="G111" s="493"/>
      <c r="H111" s="92"/>
      <c r="I111" s="471"/>
      <c r="J111" s="472"/>
      <c r="K111" s="478"/>
      <c r="L111" s="479"/>
      <c r="M111" s="479"/>
      <c r="N111" s="479"/>
      <c r="O111" s="479"/>
      <c r="P111" s="480"/>
    </row>
    <row r="112" spans="1:16" ht="12" customHeight="1">
      <c r="A112" s="485"/>
      <c r="B112" s="486"/>
      <c r="C112" s="487"/>
      <c r="D112" s="490"/>
      <c r="E112" s="491"/>
      <c r="F112" s="494"/>
      <c r="G112" s="495"/>
      <c r="H112" s="92"/>
      <c r="I112" s="471"/>
      <c r="J112" s="472"/>
      <c r="K112" s="478"/>
      <c r="L112" s="479"/>
      <c r="M112" s="479"/>
      <c r="N112" s="479"/>
      <c r="O112" s="479"/>
      <c r="P112" s="480"/>
    </row>
    <row r="113" spans="1:16" ht="12.75">
      <c r="A113" s="496" t="s">
        <v>177</v>
      </c>
      <c r="B113" s="497"/>
      <c r="C113" s="498"/>
      <c r="D113" s="499">
        <f>IF(D110&lt;&gt;0,D110/D109,0)</f>
        <v>0.69522219379439254</v>
      </c>
      <c r="E113" s="500"/>
      <c r="F113" s="499">
        <f>IF(D110&lt;&gt;0,F110/F109,0)</f>
        <v>0.69522219379439243</v>
      </c>
      <c r="G113" s="501"/>
      <c r="H113" s="93"/>
      <c r="I113" s="473"/>
      <c r="J113" s="474"/>
      <c r="K113" s="481"/>
      <c r="L113" s="482"/>
      <c r="M113" s="482"/>
      <c r="N113" s="482"/>
      <c r="O113" s="482"/>
      <c r="P113" s="483"/>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2021-05-03T13:26:10Z</cp:lastPrinted>
  <dcterms:created xsi:type="dcterms:W3CDTF">1996-10-14T23:33:28Z</dcterms:created>
  <dcterms:modified xsi:type="dcterms:W3CDTF">2021-06-15T11:29:41Z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