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3" i="20" l="1"/>
  <c r="O92" i="20"/>
  <c r="O25" i="20"/>
  <c r="O91" i="20" l="1"/>
  <c r="L100" i="20" l="1"/>
  <c r="O90" i="20"/>
  <c r="O89" i="20" l="1"/>
  <c r="O82" i="20"/>
  <c r="O88" i="20" l="1"/>
  <c r="O87" i="20" l="1"/>
  <c r="O86" i="20" l="1"/>
  <c r="O85" i="20" l="1"/>
  <c r="O84" i="20" l="1"/>
  <c r="L70" i="20" l="1"/>
  <c r="O83" i="20" l="1"/>
  <c r="O81" i="20" l="1"/>
  <c r="O69" i="20" l="1"/>
  <c r="O80" i="20"/>
  <c r="L101" i="14" l="1"/>
  <c r="L100" i="14"/>
  <c r="L99" i="14"/>
  <c r="L99" i="20"/>
  <c r="L98"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9"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1" i="20"/>
  <c r="L101" i="20"/>
  <c r="L96" i="20"/>
  <c r="L95" i="20" s="1"/>
  <c r="D109" i="20" s="1"/>
  <c r="O100" i="20"/>
  <c r="L73" i="20"/>
  <c r="D108"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8" i="20" s="1"/>
  <c r="O96" i="20"/>
  <c r="O95" i="20" s="1"/>
  <c r="F109" i="20" s="1"/>
  <c r="L25" i="28"/>
  <c r="M25" i="28" s="1"/>
  <c r="J31" i="28"/>
  <c r="D26" i="28"/>
  <c r="L26" i="14"/>
  <c r="M26" i="14" s="1"/>
  <c r="O73" i="14"/>
  <c r="F109" i="14" s="1"/>
  <c r="D27" i="28"/>
  <c r="L29" i="28"/>
  <c r="M29" i="28" s="1"/>
  <c r="N29" i="28" s="1"/>
  <c r="O29" i="28" s="1"/>
  <c r="J31" i="14"/>
  <c r="D28" i="20"/>
  <c r="O99" i="14"/>
  <c r="L29" i="20"/>
  <c r="M29" i="20" s="1"/>
  <c r="O98" i="20"/>
  <c r="D112" i="20"/>
  <c r="D113" i="14"/>
  <c r="D111" i="14"/>
  <c r="N26" i="28"/>
  <c r="M28" i="20"/>
  <c r="N28" i="20"/>
  <c r="N25" i="28"/>
  <c r="N25" i="14"/>
  <c r="L27" i="14"/>
  <c r="I31" i="14"/>
  <c r="J31" i="20"/>
  <c r="E26" i="20"/>
  <c r="E28" i="20"/>
  <c r="E27" i="28"/>
  <c r="O97" i="14"/>
  <c r="O96" i="14" s="1"/>
  <c r="F110" i="14" s="1"/>
  <c r="F113" i="14" s="1"/>
  <c r="L28" i="28"/>
  <c r="N26" i="14"/>
  <c r="L27" i="20"/>
  <c r="L28" i="14"/>
  <c r="L29" i="14"/>
  <c r="D110" i="20"/>
  <c r="I31" i="28"/>
  <c r="L27" i="28"/>
  <c r="E29" i="28"/>
  <c r="L25" i="20"/>
  <c r="I31" i="20"/>
  <c r="M26" i="20" l="1"/>
  <c r="N26" i="20" s="1"/>
  <c r="N29" i="20"/>
  <c r="O29" i="20" s="1"/>
  <c r="P29" i="20" s="1"/>
  <c r="F112" i="20"/>
  <c r="F110"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<sst xmlns="http://schemas.openxmlformats.org/spreadsheetml/2006/main" count="698" uniqueCount="373">
  <si>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</si>
  <si>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</si>
  <si>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</si>
  <si>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</si>
  <si>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</si>
  <si>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</si>
  <si>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</si>
  <si>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</si>
  <si>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</si>
  <si>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</si>
  <si>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</si>
  <si>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</si>
  <si>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</si>
  <si>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</si>
  <si>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</si>
  <si>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</si>
  <si>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</si>
  <si>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</si>
  <si>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</si>
  <si>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</si>
  <si>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</si>
  <si>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</si>
  <si>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</si>
  <si>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</si>
  <si>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</si>
  <si>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</si>
  <si>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</si>
  <si>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</si>
  <si>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</si>
  <si>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</si>
  <si>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</si>
  <si>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</si>
  <si>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</si>
  <si>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</si>
  <si>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</si>
  <si>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</si>
  <si>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</si>
  <si>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</si>
  <si>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</si>
  <si>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</si>
  <si>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</si>
  <si>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</si>
  <si>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</si>
  <si>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</si>
  <si>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</si>
  <si>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</si>
  <si>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</si>
  <si>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</si>
  <si>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</si>
  <si>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</si>
  <si>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</si>
  <si>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</si>
  <si>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</si>
  <si>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</si>
  <si>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</si>
  <si>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</si>
  <si>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</si>
  <si>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</si>
  <si>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</si>
  <si>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</si>
  <si>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</si>
  <si>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</si>
  <si>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</si>
  <si>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</si>
  <si>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</si>
  <si>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</si>
  <si>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</si>
  <si>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</si>
  <si>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</si>
  <si>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</si>
  <si>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</si>
  <si>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</si>
  <si>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</si>
  <si>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</si>
  <si>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</si>
  <si>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</si>
  <si>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</si>
  <si>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</si>
  <si>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</si>
  <si>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</si>
  <si>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</si>
  <si>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</si>
  <si>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</si>
  <si>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</si>
  <si>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</si>
  <si>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</si>
  <si>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</si>
  <si>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</si>
  <si>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</si>
  <si>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</si>
  <si>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</si>
  <si>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</si>
  <si>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</si>
  <si>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</si>
  <si>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</si>
  <si>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</si>
  <si>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</si>
  <si>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</si>
  <si>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</si>
  <si>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</si>
  <si>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</si>
  <si>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</si>
  <si>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</si>
  <si>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</si>
  <si>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</si>
  <si>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</si>
  <si>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</si>
  <si>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</si>
  <si>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</si>
  <si>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</si>
  <si>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</si>
  <si>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</si>
  <si>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</si>
  <si>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</si>
  <si>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</si>
  <si>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</si>
  <si>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</si>
  <si>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</si>
  <si>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</si>
  <si>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</si>
  <si>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</si>
  <si>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</si>
  <si>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</si>
  <si>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</si>
  <si>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</si>
  <si>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</si>
  <si>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</si>
  <si>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</si>
  <si>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</si>
  <si>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</si>
  <si>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</si>
  <si>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</si>
  <si>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</si>
  <si>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</si>
  <si>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</si>
  <si>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</si>
  <si>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</si>
  <si>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</si>
  <si>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</si>
  <si>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</si>
  <si>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</si>
  <si>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</si>
  <si>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</si>
  <si>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</si>
  <si>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</si>
  <si>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</si>
  <si>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</si>
  <si>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</si>
  <si>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</si>
  <si>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</si>
  <si>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</si>
  <si>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</si>
  <si>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</si>
  <si>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</si>
  <si>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</si>
  <si>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</si>
  <si>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</si>
  <si>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</si>
  <si>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</si>
  <si>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</si>
  <si>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</si>
  <si>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</si>
  <si>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</si>
  <si>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</si>
  <si>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</si>
  <si>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</si>
  <si>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</si>
  <si>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</si>
  <si>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</si>
  <si>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</si>
  <si>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</si>
  <si>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</si>
  <si>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</si>
  <si>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</si>
  <si>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</si>
  <si>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</si>
  <si>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</si>
  <si>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</si>
  <si>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</si>
  <si>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</si>
  <si>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</si>
  <si>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</si>
  <si>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</si>
  <si>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</si>
  <si>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</si>
  <si>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</si>
  <si>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</si>
  <si>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</si>
  <si>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</si>
  <si>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</si>
  <si>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</si>
  <si>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</si>
  <si>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</si>
  <si>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</si>
  <si>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</si>
  <si>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</si>
  <si>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</si>
  <si>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</si>
  <si>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</si>
  <si>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</si>
  <si>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</si>
  <si>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</si>
  <si>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</si>
  <si>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</si>
  <si>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</si>
  <si>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</si>
  <si>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</si>
  <si>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</si>
  <si>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</si>
  <si>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</si>
  <si>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</si>
  <si>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</si>
  <si>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</si>
  <si>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</si>
  <si>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</si>
  <si>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</si>
  <si>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</si>
  <si>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</si>
  <si>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</si>
  <si>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</si>
  <si>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</si>
  <si>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</si>
  <si>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</si>
  <si>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</si>
  <si>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</si>
  <si>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</si>
  <si>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</si>
  <si>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</si>
  <si>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</si>
  <si>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</si>
  <si>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</si>
  <si>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</si>
  <si>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</si>
  <si>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</si>
  <si>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</si>
  <si>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</si>
  <si>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</si>
  <si>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</si>
  <si>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</si>
  <si>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</si>
  <si>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</si>
  <si>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</si>
  <si>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</si>
  <si>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</si>
  <si>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</si>
  <si>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</si>
  <si>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</si>
  <si>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</si>
  <si>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</si>
  <si>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</si>
  <si>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</si>
  <si>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</si>
  <si>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</si>
  <si>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</si>
  <si>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</si>
  <si>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</si>
  <si>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</si>
  <si>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</si>
  <si>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</si>
  <si>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</si>
  <si>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</si>
  <si>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</si>
  <si>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</si>
  <si>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</si>
  <si>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</si>
  <si>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</si>
  <si>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</si>
  <si>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</si>
  <si>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</si>
  <si>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</si>
  <si>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</si>
  <si>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</si>
  <si>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</si>
  <si>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</si>
  <si>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</si>
  <si>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</si>
  <si>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</si>
  <si>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</si>
  <si>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</si>
  <si>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</si>
  <si>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</si>
  <si>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</si>
  <si>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</si>
  <si>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</si>
  <si>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</si>
  <si>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</si>
  <si>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</si>
  <si>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</si>
  <si>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</si>
  <si>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</si>
  <si>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</si>
  <si>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</si>
  <si>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</si>
  <si>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</si>
  <si>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</si>
  <si>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</si>
  <si>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</si>
  <si>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</si>
  <si>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</si>
  <si>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</si>
  <si>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</si>
  <si>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</si>
  <si>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</si>
  <si>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</si>
  <si>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</si>
  <si>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</si>
  <si>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</si>
  <si>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</si>
  <si>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</si>
  <si>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</si>
  <si>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</si>
  <si>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</si>
  <si>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</si>
  <si>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</si>
  <si>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</si>
  <si>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</si>
  <si>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</si>
  <si>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</si>
  <si>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</si>
  <si>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</si>
  <si>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</si>
  <si>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</si>
  <si>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</si>
  <si>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</si>
  <si>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</si>
  <si>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</si>
  <si>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</si>
  <si>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</si>
  <si>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</si>
  <si>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</si>
  <si>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</si>
  <si>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</si>
  <si>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</si>
  <si>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</si>
  <si>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</si>
  <si>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</si>
  <si>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</si>
  <si>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</si>
  <si>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</si>
  <si>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</si>
  <si>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</si>
  <si>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</si>
  <si>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</si>
  <si>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</si>
  <si>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</si>
  <si>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</si>
  <si>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</si>
  <si>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</si>
  <si>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</si>
  <si>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</si>
  <si>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</si>
  <si>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</si>
  <si>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</si>
  <si>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</si>
  <si>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</si>
  <si>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</si>
  <si>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</si>
  <si>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</si>
  <si>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</si>
  <si>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</si>
  <si>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</si>
  <si>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</si>
  <si>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</si>
  <si>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</si>
  <si>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</si>
  <si>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</si>
  <si>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</si>
  <si>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</si>
  <si>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</si>
  <si>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</si>
  <si>
    <t>35</t>
  </si>
  <si>
    <t>36</t>
  </si>
  <si>
    <t>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</si>
</sst>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0" borderId="0" xfId="4" applyFont="1" applyFill="1" applyBorder="1" applyAlignment="1">
      <alignment horizontal="left"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1" fillId="4" borderId="25" xfId="4" applyFont="1" applyFill="1" applyBorder="1" applyAlignment="1">
      <alignment horizontal="center"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2"/>
  <sheetViews>
    <sheetView tabSelected="1" topLeftCell="A53" zoomScaleNormal="100" zoomScalePageLayoutView="90" workbookViewId="0">
      <selection activeCell="O94" sqref="O9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51" t="s">
        <v>343</v>
      </c>
      <c r="I1" s="351"/>
      <c r="J1" s="149"/>
      <c r="K1" s="189"/>
      <c r="L1" s="166" t="s">
        <v>154</v>
      </c>
      <c r="M1" s="190"/>
      <c r="N1" s="105"/>
      <c r="O1" s="148"/>
      <c r="P1" s="150"/>
    </row>
    <row r="2" spans="1:16" s="14" customFormat="1" ht="12.75">
      <c r="A2" s="16" t="s">
        <v>12</v>
      </c>
      <c r="C2" s="363" t="s">
        <v>335</v>
      </c>
      <c r="D2" s="363"/>
      <c r="E2" s="364"/>
      <c r="F2" s="16" t="s">
        <v>327</v>
      </c>
      <c r="H2" s="382">
        <v>43282</v>
      </c>
      <c r="I2" s="382"/>
      <c r="J2" s="67" t="s">
        <v>195</v>
      </c>
      <c r="K2" s="193">
        <v>44926</v>
      </c>
      <c r="L2" s="16" t="s">
        <v>13</v>
      </c>
      <c r="N2" s="159">
        <v>44510</v>
      </c>
      <c r="P2" s="18"/>
    </row>
    <row r="3" spans="1:16" s="14" customFormat="1" ht="12.75">
      <c r="A3" s="16" t="s">
        <v>158</v>
      </c>
      <c r="C3" s="383" t="s">
        <v>336</v>
      </c>
      <c r="D3" s="383"/>
      <c r="E3" s="384"/>
      <c r="F3" s="16" t="s">
        <v>159</v>
      </c>
      <c r="H3" s="339" t="s">
        <v>344</v>
      </c>
      <c r="I3" s="339"/>
      <c r="J3" s="339"/>
      <c r="K3" s="358"/>
      <c r="L3" s="16" t="s">
        <v>166</v>
      </c>
      <c r="N3" s="324" t="s">
        <v>372</v>
      </c>
      <c r="O3" s="194"/>
      <c r="P3" s="94"/>
    </row>
    <row r="4" spans="1:16" s="14" customFormat="1" ht="12.75">
      <c r="A4" s="16" t="s">
        <v>184</v>
      </c>
      <c r="C4" s="383" t="s">
        <v>337</v>
      </c>
      <c r="D4" s="383"/>
      <c r="E4" s="384"/>
      <c r="F4" s="20" t="s">
        <v>165</v>
      </c>
      <c r="H4" s="385" t="s">
        <v>359</v>
      </c>
      <c r="I4" s="339"/>
      <c r="J4" s="339"/>
      <c r="K4" s="17"/>
      <c r="L4" s="16" t="s">
        <v>175</v>
      </c>
      <c r="N4" s="159">
        <v>44440</v>
      </c>
      <c r="O4" s="19" t="s">
        <v>5</v>
      </c>
      <c r="P4" s="161">
        <v>44469</v>
      </c>
    </row>
    <row r="5" spans="1:16" s="14" customFormat="1" ht="12.75">
      <c r="A5" s="25"/>
      <c r="C5" s="191"/>
      <c r="D5" s="169"/>
      <c r="E5" s="169"/>
      <c r="F5" s="25"/>
      <c r="G5" s="15" t="s">
        <v>169</v>
      </c>
      <c r="H5" s="362" t="s">
        <v>345</v>
      </c>
      <c r="I5" s="362"/>
      <c r="J5" s="362"/>
      <c r="K5" s="17"/>
      <c r="L5" s="20" t="s">
        <v>25</v>
      </c>
      <c r="N5" s="160" t="s">
        <v>27</v>
      </c>
      <c r="O5" s="80" t="s">
        <v>179</v>
      </c>
      <c r="P5" s="325" t="s">
        <v>372</v>
      </c>
    </row>
    <row r="6" spans="1:16" s="14" customFormat="1" ht="12.75">
      <c r="A6" s="16" t="s">
        <v>338</v>
      </c>
      <c r="C6" s="339" t="s">
        <v>339</v>
      </c>
      <c r="D6" s="339"/>
      <c r="E6" s="358"/>
      <c r="F6" s="25"/>
      <c r="G6" s="15" t="s">
        <v>161</v>
      </c>
      <c r="H6" s="386" t="s">
        <v>360</v>
      </c>
      <c r="I6" s="387"/>
      <c r="J6" s="387"/>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78" t="s">
        <v>142</v>
      </c>
      <c r="D8" s="378"/>
      <c r="E8" s="379"/>
      <c r="F8" s="21" t="s">
        <v>162</v>
      </c>
      <c r="G8" s="29"/>
      <c r="H8" s="359" t="s">
        <v>346</v>
      </c>
      <c r="I8" s="359"/>
      <c r="J8" s="359"/>
      <c r="K8" s="360"/>
      <c r="L8" s="31" t="s">
        <v>188</v>
      </c>
      <c r="M8" s="32"/>
      <c r="N8" s="32"/>
      <c r="O8" s="32"/>
      <c r="P8" s="30"/>
    </row>
    <row r="9" spans="1:16" s="14" customFormat="1" ht="12.75">
      <c r="A9" s="25"/>
      <c r="C9" s="380"/>
      <c r="D9" s="380"/>
      <c r="E9" s="381"/>
      <c r="F9" s="25"/>
      <c r="H9" s="339" t="s">
        <v>347</v>
      </c>
      <c r="I9" s="339"/>
      <c r="J9" s="339"/>
      <c r="K9" s="358"/>
      <c r="L9" s="159"/>
      <c r="M9" s="159"/>
      <c r="N9" s="66"/>
      <c r="O9" s="66"/>
      <c r="P9" s="99"/>
    </row>
    <row r="10" spans="1:16" s="14" customFormat="1" ht="12.75">
      <c r="A10" s="25"/>
      <c r="C10" s="380"/>
      <c r="D10" s="380"/>
      <c r="E10" s="381"/>
      <c r="F10" s="25"/>
      <c r="H10" s="339" t="s">
        <v>348</v>
      </c>
      <c r="I10" s="339"/>
      <c r="J10" s="339"/>
      <c r="K10" s="358"/>
      <c r="L10" s="159"/>
      <c r="M10" s="159"/>
      <c r="N10" s="66"/>
      <c r="O10" s="66"/>
      <c r="P10" s="99"/>
    </row>
    <row r="11" spans="1:16" s="14" customFormat="1" ht="12.75" customHeight="1">
      <c r="A11" s="25"/>
      <c r="C11" s="380"/>
      <c r="D11" s="380"/>
      <c r="E11" s="381"/>
      <c r="F11" s="25"/>
      <c r="H11" s="338"/>
      <c r="I11" s="338"/>
      <c r="J11" s="338"/>
      <c r="K11" s="361"/>
      <c r="L11" s="159"/>
      <c r="M11" s="159"/>
      <c r="N11" s="66"/>
      <c r="O11" s="66"/>
      <c r="P11" s="99"/>
    </row>
    <row r="12" spans="1:16" s="14" customFormat="1" ht="12.75">
      <c r="A12" s="25"/>
      <c r="C12" s="380"/>
      <c r="D12" s="380"/>
      <c r="E12" s="381"/>
      <c r="F12" s="25"/>
      <c r="H12" s="338"/>
      <c r="I12" s="338"/>
      <c r="J12" s="338"/>
      <c r="K12" s="18"/>
      <c r="L12" s="159"/>
      <c r="M12" s="159"/>
      <c r="N12" s="66"/>
      <c r="O12" s="164"/>
      <c r="P12" s="99"/>
    </row>
    <row r="13" spans="1:16" s="14" customFormat="1" ht="12.75">
      <c r="A13" s="25"/>
      <c r="C13" s="380"/>
      <c r="D13" s="380"/>
      <c r="E13" s="381"/>
      <c r="F13" s="16" t="s">
        <v>206</v>
      </c>
      <c r="H13" s="339" t="s">
        <v>349</v>
      </c>
      <c r="I13" s="339"/>
      <c r="J13" s="339"/>
      <c r="K13" s="18"/>
      <c r="L13" s="159"/>
      <c r="M13" s="159"/>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377" t="s">
        <v>356</v>
      </c>
      <c r="B25" s="342"/>
      <c r="C25" s="330" t="s">
        <v>357</v>
      </c>
      <c r="D25" s="113" t="s">
        <v>201</v>
      </c>
      <c r="E25" s="219" t="s">
        <v>272</v>
      </c>
      <c r="F25" s="114" t="s">
        <v>191</v>
      </c>
      <c r="G25" s="115">
        <v>74581.25</v>
      </c>
      <c r="H25" s="116">
        <v>0</v>
      </c>
      <c r="I25" s="117">
        <f>SUM(G25:H25)</f>
        <v>74581.25</v>
      </c>
      <c r="J25" s="118">
        <f>-($J$23*I25)</f>
        <v>0</v>
      </c>
      <c r="K25" s="116"/>
      <c r="L25" s="117">
        <f>SUM(I25:K25)</f>
        <v>74581.25</v>
      </c>
      <c r="M25" s="119">
        <f>-$M$23*L25</f>
        <v>0</v>
      </c>
      <c r="N25" s="121">
        <f>SUM(L25:M25)</f>
        <v>74581.25</v>
      </c>
      <c r="O25" s="141">
        <f>$O$23*N25-0.01</f>
        <v>5742.7462500000001</v>
      </c>
      <c r="P25" s="120">
        <f>SUM(N25:O25)</f>
        <v>80323.996249999997</v>
      </c>
      <c r="Q25" s="75"/>
      <c r="R25" s="75"/>
    </row>
    <row r="26" spans="1:18" s="77" customFormat="1" ht="12.75">
      <c r="A26" s="341"/>
      <c r="B26" s="342"/>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1"/>
      <c r="B27" s="342"/>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1"/>
      <c r="B28" s="342"/>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1"/>
      <c r="B29" s="342"/>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74581.25</v>
      </c>
      <c r="H31" s="132">
        <f t="shared" si="0"/>
        <v>0</v>
      </c>
      <c r="I31" s="133">
        <f t="shared" si="0"/>
        <v>74581.25</v>
      </c>
      <c r="J31" s="134">
        <f t="shared" si="0"/>
        <v>0</v>
      </c>
      <c r="K31" s="132">
        <f t="shared" si="0"/>
        <v>0</v>
      </c>
      <c r="L31" s="133">
        <f t="shared" si="0"/>
        <v>74581.25</v>
      </c>
      <c r="M31" s="135">
        <f t="shared" si="0"/>
        <v>0</v>
      </c>
      <c r="N31" s="139">
        <f t="shared" si="0"/>
        <v>74581.25</v>
      </c>
      <c r="O31" s="136">
        <f>SUM(O25:O30)</f>
        <v>5742.7462500000001</v>
      </c>
      <c r="P31" s="137">
        <f>SUM(P25:P30)</f>
        <v>80323.996249999997</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80323.996249999997</v>
      </c>
      <c r="Q33" s="15"/>
      <c r="R33" s="15"/>
    </row>
    <row r="34" spans="1:18" s="144" customFormat="1" ht="18.75" customHeight="1">
      <c r="C34" s="151"/>
      <c r="E34" s="152"/>
      <c r="F34" s="153"/>
      <c r="G34" s="154"/>
      <c r="H34" s="154"/>
      <c r="I34" s="154"/>
      <c r="J34" s="154"/>
      <c r="K34" s="154"/>
      <c r="L34" s="154"/>
      <c r="M34" s="155" t="s">
        <v>247</v>
      </c>
      <c r="N34" s="154"/>
      <c r="O34" s="154"/>
      <c r="P34" s="154">
        <f>L31*(1+$O$23)</f>
        <v>80324.006249999991</v>
      </c>
    </row>
    <row r="35" spans="1:18" ht="10.5" customHeight="1">
      <c r="M35" s="108"/>
    </row>
    <row r="36" spans="1:18" ht="28.5" customHeight="1">
      <c r="A36" s="145" t="s">
        <v>149</v>
      </c>
      <c r="B36" s="349"/>
      <c r="C36" s="350"/>
      <c r="D36" s="350"/>
      <c r="E36" s="350"/>
      <c r="F36" s="350"/>
      <c r="G36" s="350"/>
      <c r="H36" s="350"/>
      <c r="I36" s="350"/>
      <c r="J36" s="350"/>
      <c r="K36" s="350"/>
      <c r="L36" s="350"/>
      <c r="M36" s="350"/>
      <c r="N36" s="350"/>
      <c r="O36" s="350"/>
      <c r="P36" s="350"/>
    </row>
    <row r="37" spans="1:18" s="23" customFormat="1">
      <c r="B37" s="57"/>
      <c r="C37" s="57"/>
      <c r="D37" s="57"/>
      <c r="E37" s="57"/>
      <c r="F37" s="57"/>
      <c r="G37" s="57"/>
      <c r="H37" s="57"/>
      <c r="I37" s="57"/>
      <c r="J37" s="57"/>
      <c r="K37" s="57"/>
      <c r="L37" s="57"/>
      <c r="M37" s="57"/>
      <c r="N37" s="57"/>
      <c r="O37" s="57"/>
      <c r="P37" s="57"/>
      <c r="Q37" s="57"/>
    </row>
    <row r="38" spans="1:18" ht="15">
      <c r="A38" s="332" t="s">
        <v>170</v>
      </c>
      <c r="B38" s="332"/>
      <c r="C38" s="332"/>
      <c r="D38" s="332"/>
      <c r="E38" s="332"/>
      <c r="F38" s="332"/>
      <c r="G38" s="332"/>
      <c r="H38" s="332"/>
      <c r="I38" s="332"/>
      <c r="J38" s="332"/>
      <c r="K38" s="332"/>
      <c r="L38" s="332"/>
      <c r="M38" s="332"/>
      <c r="N38" s="332"/>
      <c r="O38" s="332"/>
      <c r="P38" s="332"/>
      <c r="Q38" s="57"/>
    </row>
    <row r="40" spans="1:18" s="43" customFormat="1" ht="15.75">
      <c r="A40" s="43" t="s">
        <v>236</v>
      </c>
      <c r="E40" s="343">
        <f>P33</f>
        <v>80323.996249999997</v>
      </c>
      <c r="F40" s="343"/>
      <c r="J40" s="344"/>
      <c r="K40" s="34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52" t="s">
        <v>342</v>
      </c>
      <c r="B43" s="353"/>
      <c r="C43" s="354"/>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355" t="s">
        <v>358</v>
      </c>
      <c r="B44" s="356"/>
      <c r="C44" s="357"/>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44510</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37</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37</v>
      </c>
      <c r="P62" s="232"/>
    </row>
    <row r="64" spans="1:18" ht="15">
      <c r="A64" s="332" t="s">
        <v>211</v>
      </c>
      <c r="B64" s="332"/>
      <c r="C64" s="332"/>
      <c r="D64" s="332"/>
      <c r="E64" s="332"/>
      <c r="F64" s="332"/>
      <c r="G64" s="332"/>
      <c r="H64" s="332"/>
      <c r="I64" s="332"/>
      <c r="J64" s="332"/>
      <c r="K64" s="332"/>
      <c r="L64" s="332"/>
      <c r="M64" s="332"/>
      <c r="N64" s="332"/>
      <c r="O64" s="332"/>
      <c r="P64" s="332"/>
    </row>
    <row r="66" spans="1:16" s="42" customFormat="1" ht="12.75" customHeight="1">
      <c r="A66" s="333" t="s">
        <v>213</v>
      </c>
      <c r="B66" s="334"/>
      <c r="C66" s="334"/>
      <c r="D66" s="335" t="s">
        <v>212</v>
      </c>
      <c r="E66" s="336"/>
      <c r="F66" s="337" t="s">
        <v>155</v>
      </c>
      <c r="G66" s="337"/>
      <c r="H66" s="337" t="s">
        <v>241</v>
      </c>
      <c r="I66" s="337"/>
      <c r="J66" s="337" t="s">
        <v>242</v>
      </c>
      <c r="K66" s="345"/>
      <c r="L66" s="346" t="s">
        <v>146</v>
      </c>
      <c r="M66" s="346"/>
      <c r="N66" s="346"/>
      <c r="O66" s="346"/>
      <c r="P66" s="346"/>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18">
        <v>43418</v>
      </c>
      <c r="E69" s="418"/>
      <c r="F69" s="419" t="str">
        <f>H1</f>
        <v>090069/2000003</v>
      </c>
      <c r="G69" s="419"/>
      <c r="H69" s="420"/>
      <c r="I69" s="421"/>
      <c r="J69" s="422"/>
      <c r="K69" s="423"/>
      <c r="L69" s="424">
        <v>3509517.75</v>
      </c>
      <c r="M69" s="425"/>
      <c r="N69" s="181">
        <v>7.6999999999999999E-2</v>
      </c>
      <c r="O69" s="407">
        <f>IF(L69&lt;&gt;"",ROUND((1*L69*(1+N69))*20,0)/20,"")+0.05</f>
        <v>3779750.65</v>
      </c>
      <c r="P69" s="407"/>
    </row>
    <row r="70" spans="1:16" ht="12.75">
      <c r="A70" s="408" t="s">
        <v>239</v>
      </c>
      <c r="B70" s="409"/>
      <c r="C70" s="409"/>
      <c r="D70" s="410"/>
      <c r="E70" s="411"/>
      <c r="F70" s="412"/>
      <c r="G70" s="412"/>
      <c r="H70" s="410">
        <v>44158</v>
      </c>
      <c r="I70" s="411"/>
      <c r="J70" s="413">
        <v>3</v>
      </c>
      <c r="K70" s="414"/>
      <c r="L70" s="415">
        <f>168793+69900+174843.35</f>
        <v>413536.35</v>
      </c>
      <c r="M70" s="416"/>
      <c r="N70" s="182">
        <v>7.6999999999999999E-2</v>
      </c>
      <c r="O70" s="417">
        <f>IF(L70&lt;&gt;"",ROUND((1*L70*(1+N70))*20,0)/20,"")</f>
        <v>445378.65</v>
      </c>
      <c r="P70" s="417"/>
    </row>
    <row r="71" spans="1:16" ht="12.75">
      <c r="A71" s="408" t="s">
        <v>240</v>
      </c>
      <c r="B71" s="409"/>
      <c r="C71" s="409"/>
      <c r="D71" s="410"/>
      <c r="E71" s="411"/>
      <c r="F71" s="412"/>
      <c r="G71" s="412"/>
      <c r="H71" s="410"/>
      <c r="I71" s="411"/>
      <c r="J71" s="413"/>
      <c r="K71" s="414"/>
      <c r="L71" s="415"/>
      <c r="M71" s="416"/>
      <c r="N71" s="182"/>
      <c r="O71" s="417" t="str">
        <f>IF(L71&lt;&gt;"",ROUND((1*L71*(1+N71))*20,0)/20,"")</f>
        <v/>
      </c>
      <c r="P71" s="417"/>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3923054.1</v>
      </c>
      <c r="M73" s="443"/>
      <c r="N73" s="185"/>
      <c r="O73" s="442">
        <f>SUM(O69:P72)</f>
        <v>4225129.3</v>
      </c>
      <c r="P73" s="442"/>
    </row>
    <row r="74" spans="1:16" ht="8.25" customHeight="1"/>
    <row r="75" spans="1:16" ht="15">
      <c r="A75" s="332" t="s">
        <v>176</v>
      </c>
      <c r="B75" s="332"/>
      <c r="C75" s="332"/>
      <c r="D75" s="332"/>
      <c r="E75" s="332"/>
      <c r="F75" s="332"/>
      <c r="G75" s="332"/>
      <c r="H75" s="332"/>
      <c r="I75" s="332"/>
      <c r="J75" s="332"/>
      <c r="K75" s="332"/>
      <c r="L75" s="332"/>
      <c r="M75" s="332"/>
      <c r="N75" s="332"/>
      <c r="O75" s="332"/>
      <c r="P75" s="332"/>
    </row>
    <row r="77" spans="1:16" ht="12.75" customHeight="1">
      <c r="A77" s="110" t="s">
        <v>166</v>
      </c>
      <c r="B77" s="61"/>
      <c r="C77" s="278" t="s">
        <v>13</v>
      </c>
      <c r="D77" s="61"/>
      <c r="E77" s="109"/>
      <c r="F77" s="313" t="s">
        <v>25</v>
      </c>
      <c r="G77" s="61"/>
      <c r="H77" s="308" t="s">
        <v>325</v>
      </c>
      <c r="I77" s="282"/>
      <c r="J77" s="335"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40" t="s">
        <v>135</v>
      </c>
      <c r="K80" s="441"/>
      <c r="L80" s="415">
        <v>53622.25</v>
      </c>
      <c r="M80" s="416"/>
      <c r="N80" s="182">
        <v>7.6999999999999999E-2</v>
      </c>
      <c r="O80" s="417">
        <f>IF(L80&lt;&gt;"",L80*(1+N80),"")-0.01</f>
        <v>57751.153249999996</v>
      </c>
      <c r="P80" s="417"/>
    </row>
    <row r="81" spans="1:16" ht="12.75">
      <c r="A81" s="326" t="s">
        <v>353</v>
      </c>
      <c r="B81" s="265"/>
      <c r="C81" s="279">
        <v>43578</v>
      </c>
      <c r="D81" s="265"/>
      <c r="E81" s="270"/>
      <c r="F81" s="328" t="s">
        <v>27</v>
      </c>
      <c r="G81" s="327" t="s">
        <v>354</v>
      </c>
      <c r="H81" s="310">
        <v>43466</v>
      </c>
      <c r="I81" s="311">
        <v>43830</v>
      </c>
      <c r="J81" s="453" t="s">
        <v>135</v>
      </c>
      <c r="K81" s="441"/>
      <c r="L81" s="415">
        <v>734770.25</v>
      </c>
      <c r="M81" s="416"/>
      <c r="N81" s="182">
        <v>7.6999999999999999E-2</v>
      </c>
      <c r="O81" s="417">
        <f>IF(L81&lt;&gt;"",L81*(1+N81),"")+0.03</f>
        <v>791347.58924999996</v>
      </c>
      <c r="P81" s="417"/>
    </row>
    <row r="82" spans="1:16" ht="12.75">
      <c r="A82" s="326" t="s">
        <v>369</v>
      </c>
      <c r="B82" s="265"/>
      <c r="C82" s="279">
        <v>43913</v>
      </c>
      <c r="D82" s="265"/>
      <c r="E82" s="270"/>
      <c r="F82" s="328" t="s">
        <v>27</v>
      </c>
      <c r="G82" s="327" t="s">
        <v>368</v>
      </c>
      <c r="H82" s="310">
        <v>43831</v>
      </c>
      <c r="I82" s="311">
        <v>44196</v>
      </c>
      <c r="J82" s="453" t="s">
        <v>135</v>
      </c>
      <c r="K82" s="441"/>
      <c r="L82" s="415">
        <v>992946.5</v>
      </c>
      <c r="M82" s="416"/>
      <c r="N82" s="182">
        <v>7.6999999999999999E-2</v>
      </c>
      <c r="O82" s="417">
        <f>IF(L82&lt;&gt;"",L82*(1+N82),"")-0.04</f>
        <v>1069403.3404999999</v>
      </c>
      <c r="P82" s="417"/>
    </row>
    <row r="83" spans="1:16" ht="12.75">
      <c r="A83" s="326" t="s">
        <v>355</v>
      </c>
      <c r="B83" s="265"/>
      <c r="C83" s="279">
        <v>43951</v>
      </c>
      <c r="D83" s="265"/>
      <c r="E83" s="270"/>
      <c r="F83" s="328" t="s">
        <v>27</v>
      </c>
      <c r="G83" s="327" t="s">
        <v>355</v>
      </c>
      <c r="H83" s="310">
        <v>43466</v>
      </c>
      <c r="I83" s="311">
        <v>43830</v>
      </c>
      <c r="J83" s="453" t="s">
        <v>14</v>
      </c>
      <c r="K83" s="441"/>
      <c r="L83" s="415">
        <v>2889.4</v>
      </c>
      <c r="M83" s="416"/>
      <c r="N83" s="182">
        <v>7.6999999999999999E-2</v>
      </c>
      <c r="O83" s="417">
        <f>IF(L83&lt;&gt;"",L83*(1+N83),"")+0.02</f>
        <v>3111.9038</v>
      </c>
      <c r="P83" s="417"/>
    </row>
    <row r="84" spans="1:16" ht="12.75">
      <c r="A84" s="326" t="s">
        <v>361</v>
      </c>
      <c r="B84" s="265"/>
      <c r="C84" s="279">
        <v>44312</v>
      </c>
      <c r="D84" s="265"/>
      <c r="E84" s="270"/>
      <c r="F84" s="328" t="s">
        <v>27</v>
      </c>
      <c r="G84" s="327" t="s">
        <v>361</v>
      </c>
      <c r="H84" s="310">
        <v>44197</v>
      </c>
      <c r="I84" s="311">
        <v>44227</v>
      </c>
      <c r="J84" s="453" t="s">
        <v>135</v>
      </c>
      <c r="K84" s="441"/>
      <c r="L84" s="415">
        <v>90520.25</v>
      </c>
      <c r="M84" s="416"/>
      <c r="N84" s="182">
        <v>7.6999999999999999E-2</v>
      </c>
      <c r="O84" s="417">
        <f>IF(L84&lt;&gt;"",L84*(1+N84),"")-0.01</f>
        <v>97490.299249999996</v>
      </c>
      <c r="P84" s="417"/>
    </row>
    <row r="85" spans="1:16" ht="12.75">
      <c r="A85" s="331">
        <v>29</v>
      </c>
      <c r="B85" s="265"/>
      <c r="C85" s="279">
        <v>44319</v>
      </c>
      <c r="D85" s="265"/>
      <c r="E85" s="270"/>
      <c r="F85" s="328" t="s">
        <v>27</v>
      </c>
      <c r="G85" s="327" t="s">
        <v>362</v>
      </c>
      <c r="H85" s="310">
        <v>44228</v>
      </c>
      <c r="I85" s="311">
        <v>44255</v>
      </c>
      <c r="J85" s="453" t="s">
        <v>135</v>
      </c>
      <c r="K85" s="441"/>
      <c r="L85" s="415">
        <v>91222</v>
      </c>
      <c r="M85" s="416"/>
      <c r="N85" s="182">
        <v>7.6999999999999999E-2</v>
      </c>
      <c r="O85" s="417">
        <f>IF(L85&lt;&gt;"",L85*(1+N85),"")+0.01</f>
        <v>98246.103999999992</v>
      </c>
      <c r="P85" s="417"/>
    </row>
    <row r="86" spans="1:16" ht="12.75">
      <c r="A86" s="331">
        <v>30</v>
      </c>
      <c r="B86" s="265"/>
      <c r="C86" s="279">
        <v>44427</v>
      </c>
      <c r="D86" s="265"/>
      <c r="E86" s="270"/>
      <c r="F86" s="328" t="s">
        <v>27</v>
      </c>
      <c r="G86" s="327" t="s">
        <v>363</v>
      </c>
      <c r="H86" s="310">
        <v>44256</v>
      </c>
      <c r="I86" s="311">
        <v>44286</v>
      </c>
      <c r="J86" s="453" t="s">
        <v>135</v>
      </c>
      <c r="K86" s="441"/>
      <c r="L86" s="415">
        <v>131284</v>
      </c>
      <c r="M86" s="416"/>
      <c r="N86" s="182">
        <v>7.6999999999999999E-2</v>
      </c>
      <c r="O86" s="417">
        <f>IF(L86&lt;&gt;"",L86*(1+N86),"")-0.02</f>
        <v>141392.848</v>
      </c>
      <c r="P86" s="417"/>
    </row>
    <row r="87" spans="1:16" ht="12.75">
      <c r="A87" s="331">
        <v>31</v>
      </c>
      <c r="B87" s="265"/>
      <c r="C87" s="279">
        <v>44434</v>
      </c>
      <c r="D87" s="265"/>
      <c r="E87" s="270"/>
      <c r="F87" s="328" t="s">
        <v>27</v>
      </c>
      <c r="G87" s="327" t="s">
        <v>364</v>
      </c>
      <c r="H87" s="310">
        <v>44287</v>
      </c>
      <c r="I87" s="311">
        <v>44316</v>
      </c>
      <c r="J87" s="453" t="s">
        <v>135</v>
      </c>
      <c r="K87" s="441"/>
      <c r="L87" s="415">
        <v>130449.5</v>
      </c>
      <c r="M87" s="416"/>
      <c r="N87" s="182">
        <v>7.6999999999999999E-2</v>
      </c>
      <c r="O87" s="417">
        <f>IF(L87&lt;&gt;"",L87*(1+N87),"")-0.01</f>
        <v>140494.10149999999</v>
      </c>
      <c r="P87" s="417"/>
    </row>
    <row r="88" spans="1:16" ht="12.75">
      <c r="A88" s="331">
        <v>32</v>
      </c>
      <c r="B88" s="265"/>
      <c r="C88" s="279">
        <v>44434</v>
      </c>
      <c r="D88" s="265"/>
      <c r="E88" s="270"/>
      <c r="F88" s="328" t="s">
        <v>27</v>
      </c>
      <c r="G88" s="327" t="s">
        <v>365</v>
      </c>
      <c r="H88" s="310">
        <v>44317</v>
      </c>
      <c r="I88" s="311">
        <v>44347</v>
      </c>
      <c r="J88" s="453" t="s">
        <v>135</v>
      </c>
      <c r="K88" s="441"/>
      <c r="L88" s="415">
        <v>118420</v>
      </c>
      <c r="M88" s="416"/>
      <c r="N88" s="182">
        <v>7.6999999999999999E-2</v>
      </c>
      <c r="O88" s="417">
        <f>IF(L88&lt;&gt;"",L88*(1+N88),"")+0.01</f>
        <v>127538.34999999999</v>
      </c>
      <c r="P88" s="417"/>
    </row>
    <row r="89" spans="1:16" ht="12.75">
      <c r="A89" s="331">
        <v>33</v>
      </c>
      <c r="B89" s="265"/>
      <c r="C89" s="279">
        <v>44438</v>
      </c>
      <c r="D89" s="265"/>
      <c r="E89" s="270"/>
      <c r="F89" s="328" t="s">
        <v>27</v>
      </c>
      <c r="G89" s="327" t="s">
        <v>366</v>
      </c>
      <c r="H89" s="310">
        <v>44348</v>
      </c>
      <c r="I89" s="311">
        <v>44377</v>
      </c>
      <c r="J89" s="453" t="s">
        <v>135</v>
      </c>
      <c r="K89" s="441"/>
      <c r="L89" s="415">
        <v>190483.75</v>
      </c>
      <c r="M89" s="416"/>
      <c r="N89" s="182">
        <v>7.6999999999999999E-2</v>
      </c>
      <c r="O89" s="417">
        <f>IF(L89&lt;&gt;"",L89*(1+N89),"")</f>
        <v>205150.99875</v>
      </c>
      <c r="P89" s="417"/>
    </row>
    <row r="90" spans="1:16" ht="12.75">
      <c r="A90" s="331">
        <v>34</v>
      </c>
      <c r="B90" s="265"/>
      <c r="C90" s="279">
        <v>44441</v>
      </c>
      <c r="D90" s="265"/>
      <c r="E90" s="270"/>
      <c r="F90" s="328" t="s">
        <v>27</v>
      </c>
      <c r="G90" s="327" t="s">
        <v>367</v>
      </c>
      <c r="H90" s="310">
        <v>44378</v>
      </c>
      <c r="I90" s="311">
        <v>44408</v>
      </c>
      <c r="J90" s="453" t="s">
        <v>135</v>
      </c>
      <c r="K90" s="441"/>
      <c r="L90" s="415">
        <v>208993</v>
      </c>
      <c r="M90" s="416"/>
      <c r="N90" s="182">
        <v>7.6999999999999999E-2</v>
      </c>
      <c r="O90" s="417">
        <f>IF(L90&lt;&gt;"",L90*(1+N90),"")-0.01</f>
        <v>225085.45099999997</v>
      </c>
      <c r="P90" s="417"/>
    </row>
    <row r="91" spans="1:16" ht="12.75">
      <c r="A91" s="331">
        <v>35</v>
      </c>
      <c r="B91" s="265"/>
      <c r="C91" s="279">
        <v>44445</v>
      </c>
      <c r="D91" s="265"/>
      <c r="E91" s="270"/>
      <c r="F91" s="328" t="s">
        <v>27</v>
      </c>
      <c r="G91" s="327" t="s">
        <v>370</v>
      </c>
      <c r="H91" s="310">
        <v>43831</v>
      </c>
      <c r="I91" s="311">
        <v>44196</v>
      </c>
      <c r="J91" s="453" t="s">
        <v>14</v>
      </c>
      <c r="K91" s="441"/>
      <c r="L91" s="415">
        <v>9017.0499999999993</v>
      </c>
      <c r="M91" s="416"/>
      <c r="N91" s="182">
        <v>7.6999999999999999E-2</v>
      </c>
      <c r="O91" s="417">
        <f>IF(L91&lt;&gt;"",L91*(1+N91),"")-0.01</f>
        <v>9711.3528499999993</v>
      </c>
      <c r="P91" s="417"/>
    </row>
    <row r="92" spans="1:16" ht="12.75">
      <c r="A92" s="331">
        <v>36</v>
      </c>
      <c r="B92" s="265"/>
      <c r="C92" s="279">
        <v>44509</v>
      </c>
      <c r="D92" s="265"/>
      <c r="E92" s="270"/>
      <c r="F92" s="328" t="s">
        <v>27</v>
      </c>
      <c r="G92" s="327" t="s">
        <v>371</v>
      </c>
      <c r="H92" s="310">
        <v>44409</v>
      </c>
      <c r="I92" s="311">
        <v>44439</v>
      </c>
      <c r="J92" s="453" t="s">
        <v>135</v>
      </c>
      <c r="K92" s="441"/>
      <c r="L92" s="415">
        <v>87286.75</v>
      </c>
      <c r="M92" s="416"/>
      <c r="N92" s="182">
        <v>7.6999999999999999E-2</v>
      </c>
      <c r="O92" s="417">
        <f>IF(L92&lt;&gt;"",L92*(1+N92),"")+0.02</f>
        <v>94007.849749999994</v>
      </c>
      <c r="P92" s="417"/>
    </row>
    <row r="93" spans="1:16" ht="12.75">
      <c r="A93" s="331">
        <v>37</v>
      </c>
      <c r="B93" s="265"/>
      <c r="C93" s="279">
        <v>44510</v>
      </c>
      <c r="D93" s="265"/>
      <c r="E93" s="270"/>
      <c r="F93" s="328" t="s">
        <v>27</v>
      </c>
      <c r="G93" s="327" t="s">
        <v>372</v>
      </c>
      <c r="H93" s="310">
        <v>44440</v>
      </c>
      <c r="I93" s="311">
        <v>44469</v>
      </c>
      <c r="J93" s="453" t="s">
        <v>135</v>
      </c>
      <c r="K93" s="441"/>
      <c r="L93" s="415">
        <v>74581.25</v>
      </c>
      <c r="M93" s="416"/>
      <c r="N93" s="182">
        <v>7.6999999999999999E-2</v>
      </c>
      <c r="O93" s="417">
        <f>IF(L93&lt;&gt;"",L93*(1+N93),"")-0.01</f>
        <v>80323.996249999997</v>
      </c>
      <c r="P93" s="417"/>
    </row>
    <row r="94" spans="1:16" ht="6" customHeight="1">
      <c r="A94" s="81"/>
      <c r="C94" s="277"/>
      <c r="D94" s="509"/>
      <c r="E94" s="510"/>
      <c r="F94" s="511"/>
      <c r="G94" s="512"/>
      <c r="H94" s="274"/>
      <c r="I94" s="241"/>
      <c r="J94" s="262"/>
      <c r="K94" s="263"/>
      <c r="L94" s="242"/>
      <c r="M94" s="243"/>
      <c r="N94" s="183"/>
      <c r="O94" s="242"/>
      <c r="P94" s="260"/>
    </row>
    <row r="95" spans="1:16" ht="12.75" customHeight="1">
      <c r="A95" s="233" t="s">
        <v>181</v>
      </c>
      <c r="B95" s="89"/>
      <c r="C95" s="89"/>
      <c r="D95" s="234"/>
      <c r="E95" s="234"/>
      <c r="F95" s="234"/>
      <c r="G95" s="234"/>
      <c r="H95" s="234"/>
      <c r="I95" s="234"/>
      <c r="J95" s="234"/>
      <c r="K95" s="235"/>
      <c r="L95" s="442">
        <f>-SUMIF(J80:K94,'Dropdowns DL'!B5,L80:M94)+L96</f>
        <v>2904579.4999999995</v>
      </c>
      <c r="M95" s="443"/>
      <c r="N95" s="185"/>
      <c r="O95" s="442">
        <f>-SUMIF(J80:K94,'Dropdowns DL'!B5,O80:P94)+O96</f>
        <v>3128232.0814999994</v>
      </c>
      <c r="P95" s="442"/>
    </row>
    <row r="96" spans="1:16" s="42" customFormat="1" ht="12.75">
      <c r="A96" s="26" t="s">
        <v>182</v>
      </c>
      <c r="B96" s="63"/>
      <c r="C96" s="63"/>
      <c r="D96" s="236"/>
      <c r="E96" s="236"/>
      <c r="F96" s="236"/>
      <c r="G96" s="236"/>
      <c r="H96" s="236"/>
      <c r="I96" s="236"/>
      <c r="J96" s="236"/>
      <c r="K96" s="237"/>
      <c r="L96" s="483">
        <f>SUM(L80:M94)</f>
        <v>2916485.9499999997</v>
      </c>
      <c r="M96" s="484"/>
      <c r="N96" s="186"/>
      <c r="O96" s="483">
        <f>SUM(O80:P94)</f>
        <v>3141055.3381499993</v>
      </c>
      <c r="P96" s="485"/>
    </row>
    <row r="97" spans="1:16" ht="6" customHeight="1">
      <c r="A97" s="85"/>
      <c r="D97" s="86"/>
      <c r="E97" s="86"/>
      <c r="F97" s="86"/>
      <c r="G97" s="86"/>
      <c r="H97" s="86"/>
      <c r="I97" s="86"/>
      <c r="J97" s="86"/>
      <c r="K97" s="64"/>
      <c r="L97" s="244"/>
      <c r="M97" s="245"/>
      <c r="N97" s="187"/>
      <c r="O97" s="244"/>
      <c r="P97" s="261"/>
    </row>
    <row r="98" spans="1:16" ht="12.75" customHeight="1">
      <c r="A98" s="88" t="s">
        <v>214</v>
      </c>
      <c r="D98" s="267"/>
      <c r="J98" s="42" t="s">
        <v>192</v>
      </c>
      <c r="K98" s="17"/>
      <c r="L98" s="483">
        <f>SUMIF(J80:K94,'Dropdowns DL'!B4,L80:M94)</f>
        <v>2904579.5</v>
      </c>
      <c r="M98" s="484"/>
      <c r="N98" s="183"/>
      <c r="O98" s="483">
        <f>SUMIF(J80:K94,'Dropdowns DL'!B4,O80:P94)</f>
        <v>3128232.0814999989</v>
      </c>
      <c r="P98" s="485"/>
    </row>
    <row r="99" spans="1:16" ht="12.75">
      <c r="A99" s="44"/>
      <c r="J99" s="42" t="s">
        <v>278</v>
      </c>
      <c r="K99" s="17"/>
      <c r="L99" s="483">
        <f>SUMIF(J80:K94,'Dropdowns DL'!B6,L80:M94)</f>
        <v>0</v>
      </c>
      <c r="M99" s="484"/>
      <c r="N99" s="183"/>
      <c r="O99" s="483">
        <f>SUMIF(J80:K94,'Dropdowns DL'!B6,O80:P94)</f>
        <v>0</v>
      </c>
      <c r="P99" s="485"/>
    </row>
    <row r="100" spans="1:16" ht="12.75">
      <c r="A100" s="44"/>
      <c r="J100" s="42" t="s">
        <v>193</v>
      </c>
      <c r="K100" s="17"/>
      <c r="L100" s="483">
        <f>SUMIF(J80:K94,'Dropdowns DL'!B5,L80:M94)</f>
        <v>11906.449999999999</v>
      </c>
      <c r="M100" s="484"/>
      <c r="N100" s="183"/>
      <c r="O100" s="483">
        <f>SUMIF(J80:K94,'Dropdowns DL'!B5,O80:P94)</f>
        <v>12823.256649999999</v>
      </c>
      <c r="P100" s="485"/>
    </row>
    <row r="101" spans="1:16" ht="12.75" hidden="1">
      <c r="A101" s="44"/>
      <c r="J101" s="42" t="s">
        <v>194</v>
      </c>
      <c r="K101" s="17"/>
      <c r="L101" s="483">
        <f>SUMIF(J80:K94,'Dropdowns Bau'!B5,L80:M94)</f>
        <v>0</v>
      </c>
      <c r="M101" s="484"/>
      <c r="N101" s="183"/>
      <c r="O101" s="483">
        <f>SUMIF(J80:K94,'Dropdowns Bau'!B5,O80:P94)</f>
        <v>0</v>
      </c>
      <c r="P101" s="485"/>
    </row>
    <row r="102" spans="1:16" ht="6" customHeight="1">
      <c r="A102" s="81"/>
      <c r="B102" s="87"/>
      <c r="C102" s="87"/>
      <c r="D102" s="87"/>
      <c r="E102" s="87"/>
      <c r="F102" s="87"/>
      <c r="G102" s="87"/>
      <c r="H102" s="87"/>
      <c r="I102" s="87"/>
      <c r="J102" s="87"/>
      <c r="K102" s="82"/>
      <c r="L102" s="486"/>
      <c r="M102" s="487"/>
      <c r="N102" s="188"/>
      <c r="O102" s="488"/>
      <c r="P102" s="488"/>
    </row>
    <row r="103" spans="1:16" ht="6" customHeight="1"/>
    <row r="104" spans="1:16" ht="4.5" customHeight="1"/>
    <row r="105" spans="1:16" ht="15">
      <c r="A105" s="167" t="s">
        <v>183</v>
      </c>
      <c r="B105" s="156"/>
      <c r="C105" s="156"/>
      <c r="D105" s="156"/>
      <c r="E105" s="156"/>
      <c r="F105" s="156"/>
      <c r="G105" s="156"/>
      <c r="H105" s="157"/>
      <c r="I105" s="489" t="s">
        <v>210</v>
      </c>
      <c r="J105" s="489"/>
      <c r="K105" s="489"/>
      <c r="L105" s="489"/>
      <c r="M105" s="489"/>
      <c r="N105" s="489"/>
      <c r="O105" s="489"/>
      <c r="P105" s="489"/>
    </row>
    <row r="106" spans="1:16" s="23" customFormat="1" ht="7.5" customHeight="1">
      <c r="A106" s="95"/>
      <c r="B106" s="95"/>
      <c r="C106" s="95"/>
      <c r="D106" s="95"/>
      <c r="E106" s="95"/>
      <c r="F106" s="95"/>
      <c r="G106" s="95"/>
      <c r="H106" s="95"/>
      <c r="I106" s="96"/>
      <c r="J106" s="95"/>
      <c r="K106" s="95"/>
      <c r="L106" s="95"/>
      <c r="M106" s="95"/>
    </row>
    <row r="107" spans="1:16" ht="12" customHeight="1">
      <c r="A107" s="90"/>
      <c r="B107" s="89"/>
      <c r="C107" s="89"/>
      <c r="D107" s="490" t="s">
        <v>208</v>
      </c>
      <c r="E107" s="491"/>
      <c r="F107" s="492" t="s">
        <v>209</v>
      </c>
      <c r="G107" s="493"/>
      <c r="H107" s="23"/>
      <c r="I107" s="494" t="s">
        <v>253</v>
      </c>
      <c r="J107" s="495"/>
      <c r="K107" s="500" t="s">
        <v>277</v>
      </c>
      <c r="L107" s="501"/>
      <c r="M107" s="501"/>
      <c r="N107" s="501"/>
      <c r="O107" s="501"/>
      <c r="P107" s="502"/>
    </row>
    <row r="108" spans="1:16" ht="12.75">
      <c r="A108" s="333" t="s">
        <v>215</v>
      </c>
      <c r="B108" s="334"/>
      <c r="C108" s="454"/>
      <c r="D108" s="472">
        <f>L73</f>
        <v>3923054.1</v>
      </c>
      <c r="E108" s="473"/>
      <c r="F108" s="474">
        <f>O73</f>
        <v>4225129.3</v>
      </c>
      <c r="G108" s="475"/>
      <c r="H108" s="91"/>
      <c r="I108" s="496"/>
      <c r="J108" s="497"/>
      <c r="K108" s="503"/>
      <c r="L108" s="504"/>
      <c r="M108" s="504"/>
      <c r="N108" s="504"/>
      <c r="O108" s="504"/>
      <c r="P108" s="505"/>
    </row>
    <row r="109" spans="1:16" ht="12.75">
      <c r="A109" s="476" t="s">
        <v>181</v>
      </c>
      <c r="B109" s="477"/>
      <c r="C109" s="478"/>
      <c r="D109" s="479">
        <f>L95</f>
        <v>2904579.4999999995</v>
      </c>
      <c r="E109" s="480"/>
      <c r="F109" s="481">
        <f>O95</f>
        <v>3128232.0814999994</v>
      </c>
      <c r="G109" s="482"/>
      <c r="H109" s="91"/>
      <c r="I109" s="496"/>
      <c r="J109" s="497"/>
      <c r="K109" s="503"/>
      <c r="L109" s="504"/>
      <c r="M109" s="504"/>
      <c r="N109" s="504"/>
      <c r="O109" s="504"/>
      <c r="P109" s="505"/>
    </row>
    <row r="110" spans="1:16" ht="12" customHeight="1">
      <c r="A110" s="333" t="s">
        <v>178</v>
      </c>
      <c r="B110" s="334"/>
      <c r="C110" s="454"/>
      <c r="D110" s="458">
        <f>D108-D109</f>
        <v>1018474.6000000006</v>
      </c>
      <c r="E110" s="459"/>
      <c r="F110" s="462">
        <f>F108-F109</f>
        <v>1096897.2185000004</v>
      </c>
      <c r="G110" s="463"/>
      <c r="H110" s="92"/>
      <c r="I110" s="496"/>
      <c r="J110" s="497"/>
      <c r="K110" s="503"/>
      <c r="L110" s="504"/>
      <c r="M110" s="504"/>
      <c r="N110" s="504"/>
      <c r="O110" s="504"/>
      <c r="P110" s="505"/>
    </row>
    <row r="111" spans="1:16" ht="12" customHeight="1">
      <c r="A111" s="455"/>
      <c r="B111" s="456"/>
      <c r="C111" s="457"/>
      <c r="D111" s="460"/>
      <c r="E111" s="461"/>
      <c r="F111" s="464"/>
      <c r="G111" s="465"/>
      <c r="H111" s="92"/>
      <c r="I111" s="496"/>
      <c r="J111" s="497"/>
      <c r="K111" s="503"/>
      <c r="L111" s="504"/>
      <c r="M111" s="504"/>
      <c r="N111" s="504"/>
      <c r="O111" s="504"/>
      <c r="P111" s="505"/>
    </row>
    <row r="112" spans="1:16" ht="12.75">
      <c r="A112" s="466" t="s">
        <v>177</v>
      </c>
      <c r="B112" s="467"/>
      <c r="C112" s="468"/>
      <c r="D112" s="469">
        <f>IF(D109&lt;&gt;0,D109/D108,0)</f>
        <v>0.74038731711601924</v>
      </c>
      <c r="E112" s="470"/>
      <c r="F112" s="469">
        <f>IF(D109&lt;&gt;0,F109/F108,0)</f>
        <v>0.74038730163831901</v>
      </c>
      <c r="G112" s="471"/>
      <c r="H112" s="93"/>
      <c r="I112" s="498"/>
      <c r="J112" s="499"/>
      <c r="K112" s="506"/>
      <c r="L112" s="507"/>
      <c r="M112" s="507"/>
      <c r="N112" s="507"/>
      <c r="O112" s="507"/>
      <c r="P112" s="508"/>
    </row>
  </sheetData>
  <mergeCells count="172">
    <mergeCell ref="J92:K92"/>
    <mergeCell ref="L92:M92"/>
    <mergeCell ref="O92:P92"/>
    <mergeCell ref="J91:K91"/>
    <mergeCell ref="L91:M91"/>
    <mergeCell ref="O91:P91"/>
    <mergeCell ref="L101:M101"/>
    <mergeCell ref="O101:P101"/>
    <mergeCell ref="L102:M102"/>
    <mergeCell ref="O102:P102"/>
    <mergeCell ref="I105:P105"/>
    <mergeCell ref="D107:E107"/>
    <mergeCell ref="F107:G107"/>
    <mergeCell ref="I107:J112"/>
    <mergeCell ref="K107:P112"/>
    <mergeCell ref="L98:M98"/>
    <mergeCell ref="O98:P98"/>
    <mergeCell ref="L99:M99"/>
    <mergeCell ref="O99:P99"/>
    <mergeCell ref="L100:M100"/>
    <mergeCell ref="O100:P100"/>
    <mergeCell ref="D94:E94"/>
    <mergeCell ref="F94:G94"/>
    <mergeCell ref="L95:M95"/>
    <mergeCell ref="O95:P95"/>
    <mergeCell ref="L96:M96"/>
    <mergeCell ref="O96:P96"/>
    <mergeCell ref="A110:C111"/>
    <mergeCell ref="D110:E111"/>
    <mergeCell ref="F110:G111"/>
    <mergeCell ref="A112:C112"/>
    <mergeCell ref="D112:E112"/>
    <mergeCell ref="F112:G112"/>
    <mergeCell ref="A108:C108"/>
    <mergeCell ref="D108:E108"/>
    <mergeCell ref="F108:G108"/>
    <mergeCell ref="A109:C109"/>
    <mergeCell ref="D109:E109"/>
    <mergeCell ref="F109:G109"/>
    <mergeCell ref="J89:K89"/>
    <mergeCell ref="L89:M89"/>
    <mergeCell ref="O89:P89"/>
    <mergeCell ref="J93:K93"/>
    <mergeCell ref="L93:M93"/>
    <mergeCell ref="O93:P93"/>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J90:K90"/>
    <mergeCell ref="L90:M90"/>
    <mergeCell ref="O90:P90"/>
    <mergeCell ref="J83:K83"/>
    <mergeCell ref="L83:M83"/>
    <mergeCell ref="O83:P83"/>
    <mergeCell ref="J81:K81"/>
    <mergeCell ref="L81:M81"/>
    <mergeCell ref="O81:P81"/>
    <mergeCell ref="J82:K82"/>
    <mergeCell ref="L82:M82"/>
    <mergeCell ref="O82:P82"/>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H6:J6"/>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 ref="A30:B30"/>
    <mergeCell ref="B36:P36"/>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2:G112">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4:K94">
      <formula1>Rechnungsart</formula1>
    </dataValidation>
    <dataValidation type="list" allowBlank="1" showInputMessage="1" showErrorMessage="1" sqref="H94:I94 F80:F93">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3">
      <formula1>"Honorar usw.,Nebenkosten,Teuerung,"</formula1>
    </dataValidation>
  </dataValidations>
  <hyperlinks>
    <hyperlink ref="D46" r:id="rId1" display="E-Mail@ch"/>
    <hyperlink ref="H6" r:id="rId2"/>
  </hyperlinks>
  <printOptions horizontalCentered="1"/>
  <pageMargins left="0.19685039370078741" right="0.19685039370078741" top="0.72" bottom="0.33"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51"/>
      <c r="I1" s="351"/>
      <c r="J1" s="149"/>
      <c r="K1" s="189"/>
      <c r="L1" s="166" t="s">
        <v>154</v>
      </c>
      <c r="M1" s="190"/>
      <c r="N1" s="105"/>
      <c r="O1" s="148"/>
      <c r="P1" s="150"/>
    </row>
    <row r="2" spans="1:16" s="14" customFormat="1" ht="12.75">
      <c r="A2" s="16" t="s">
        <v>12</v>
      </c>
      <c r="C2" s="363" t="str">
        <f>'RDB Dienstleistungen'!C2:E2</f>
        <v>EP RHE FRI</v>
      </c>
      <c r="D2" s="363"/>
      <c r="E2" s="364"/>
      <c r="F2" s="16" t="s">
        <v>327</v>
      </c>
      <c r="H2" s="382"/>
      <c r="I2" s="382"/>
      <c r="J2" s="67" t="s">
        <v>195</v>
      </c>
      <c r="K2" s="193"/>
      <c r="L2" s="16" t="s">
        <v>13</v>
      </c>
      <c r="N2" s="159"/>
      <c r="P2" s="18"/>
    </row>
    <row r="3" spans="1:16" s="14" customFormat="1" ht="12.75">
      <c r="A3" s="16" t="s">
        <v>158</v>
      </c>
      <c r="C3" s="383" t="str">
        <f>'RDB Dienstleistungen'!C3:E3</f>
        <v>N3 EP Rheinfelden - Frick und Einzelmassnahmen</v>
      </c>
      <c r="D3" s="383"/>
      <c r="E3" s="384"/>
      <c r="F3" s="16" t="s">
        <v>159</v>
      </c>
      <c r="H3" s="339"/>
      <c r="I3" s="339"/>
      <c r="J3" s="339"/>
      <c r="K3" s="358"/>
      <c r="L3" s="16" t="s">
        <v>166</v>
      </c>
      <c r="N3" s="194"/>
      <c r="O3" s="194"/>
      <c r="P3" s="94"/>
    </row>
    <row r="4" spans="1:16" s="14" customFormat="1" ht="12.75">
      <c r="A4" s="16" t="s">
        <v>184</v>
      </c>
      <c r="C4" s="383" t="str">
        <f>'RDB Dienstleistungen'!C4:E4</f>
        <v>FUP.2</v>
      </c>
      <c r="D4" s="383"/>
      <c r="E4" s="384"/>
      <c r="F4" s="20" t="s">
        <v>165</v>
      </c>
      <c r="H4" s="339" t="str">
        <f>'RDB Dienstleistungen'!H4:J4</f>
        <v>Christian Fuchs</v>
      </c>
      <c r="I4" s="339"/>
      <c r="J4" s="339"/>
      <c r="K4" s="17"/>
      <c r="L4" s="16" t="s">
        <v>175</v>
      </c>
      <c r="N4" s="159"/>
      <c r="O4" s="19" t="s">
        <v>5</v>
      </c>
      <c r="P4" s="161"/>
    </row>
    <row r="5" spans="1:16" s="14" customFormat="1" ht="12.75">
      <c r="A5" s="25"/>
      <c r="C5" s="191"/>
      <c r="D5" s="169"/>
      <c r="E5" s="169"/>
      <c r="F5" s="25"/>
      <c r="G5" s="15" t="s">
        <v>169</v>
      </c>
      <c r="H5" s="339" t="str">
        <f>'RDB Dienstleistungen'!H5:J5</f>
        <v>061 365 22 22</v>
      </c>
      <c r="I5" s="339"/>
      <c r="J5" s="339"/>
      <c r="K5" s="17"/>
      <c r="L5" s="20" t="s">
        <v>25</v>
      </c>
      <c r="N5" s="160"/>
      <c r="O5" s="80" t="s">
        <v>179</v>
      </c>
      <c r="P5" s="162"/>
    </row>
    <row r="6" spans="1:16" s="14" customFormat="1" ht="12.75">
      <c r="A6" s="16" t="s">
        <v>7</v>
      </c>
      <c r="C6" s="339" t="str">
        <f>'RDB Dienstleistungen'!C6:E6</f>
        <v>Nicole Schulz</v>
      </c>
      <c r="D6" s="339"/>
      <c r="E6" s="358"/>
      <c r="F6" s="25"/>
      <c r="G6" s="15" t="s">
        <v>161</v>
      </c>
      <c r="H6" s="387" t="str">
        <f>'RDB Dienstleistungen'!H6:J6</f>
        <v>c.fuchs@aebo.ch</v>
      </c>
      <c r="I6" s="387"/>
      <c r="J6" s="387"/>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78" t="s">
        <v>142</v>
      </c>
      <c r="D8" s="378"/>
      <c r="E8" s="379"/>
      <c r="F8" s="21" t="s">
        <v>162</v>
      </c>
      <c r="G8" s="29"/>
      <c r="H8" s="359" t="str">
        <f>'RDB Dienstleistungen'!H8:K8</f>
        <v>INGE EP RF BB, c/o Aegerter &amp; Bosshardt AG</v>
      </c>
      <c r="I8" s="359"/>
      <c r="J8" s="359"/>
      <c r="K8" s="360"/>
      <c r="L8" s="31" t="s">
        <v>188</v>
      </c>
      <c r="M8" s="32"/>
      <c r="N8" s="32"/>
      <c r="O8" s="32"/>
      <c r="P8" s="30"/>
    </row>
    <row r="9" spans="1:16" s="14" customFormat="1" ht="12.75">
      <c r="A9" s="25"/>
      <c r="C9" s="380"/>
      <c r="D9" s="380"/>
      <c r="E9" s="381"/>
      <c r="F9" s="25"/>
      <c r="H9" s="339" t="str">
        <f>'RDB Dienstleistungen'!H9:K9</f>
        <v>Hochstrasse 48</v>
      </c>
      <c r="I9" s="339"/>
      <c r="J9" s="339"/>
      <c r="K9" s="358"/>
      <c r="L9" s="159"/>
      <c r="M9" s="159"/>
      <c r="N9" s="66"/>
      <c r="O9" s="66"/>
      <c r="P9" s="99"/>
    </row>
    <row r="10" spans="1:16" s="14" customFormat="1" ht="12.75">
      <c r="A10" s="25"/>
      <c r="C10" s="380"/>
      <c r="D10" s="380"/>
      <c r="E10" s="381"/>
      <c r="F10" s="25"/>
      <c r="H10" s="339" t="str">
        <f>'RDB Dienstleistungen'!H10:K10</f>
        <v>4002 Basel</v>
      </c>
      <c r="I10" s="339"/>
      <c r="J10" s="339"/>
      <c r="K10" s="358"/>
      <c r="L10" s="159"/>
      <c r="M10" s="159"/>
      <c r="N10" s="66"/>
      <c r="O10" s="66"/>
      <c r="P10" s="99"/>
    </row>
    <row r="11" spans="1:16" s="14" customFormat="1" ht="12.75" customHeight="1">
      <c r="A11" s="25"/>
      <c r="C11" s="380"/>
      <c r="D11" s="380"/>
      <c r="E11" s="381"/>
      <c r="F11" s="25"/>
      <c r="H11" s="339">
        <f>'RDB Dienstleistungen'!H11:K11</f>
        <v>0</v>
      </c>
      <c r="I11" s="339"/>
      <c r="J11" s="339"/>
      <c r="K11" s="358"/>
      <c r="L11" s="159"/>
      <c r="M11" s="159"/>
      <c r="N11" s="66"/>
      <c r="O11" s="66"/>
      <c r="P11" s="99"/>
    </row>
    <row r="12" spans="1:16" s="14" customFormat="1" ht="12.75">
      <c r="A12" s="25"/>
      <c r="C12" s="380"/>
      <c r="D12" s="380"/>
      <c r="E12" s="381"/>
      <c r="F12" s="25"/>
      <c r="H12" s="338"/>
      <c r="I12" s="338"/>
      <c r="J12" s="338"/>
      <c r="K12" s="18"/>
      <c r="L12" s="159"/>
      <c r="M12" s="159"/>
      <c r="N12" s="66"/>
      <c r="O12" s="164"/>
      <c r="P12" s="99"/>
    </row>
    <row r="13" spans="1:16" s="14" customFormat="1" ht="12.75">
      <c r="A13" s="25"/>
      <c r="C13" s="380"/>
      <c r="D13" s="380"/>
      <c r="E13" s="381"/>
      <c r="F13" s="16" t="s">
        <v>206</v>
      </c>
      <c r="H13" s="339" t="str">
        <f>'RDB Dienstleistungen'!H13:J13</f>
        <v>CHE-164.869.840 MWST</v>
      </c>
      <c r="I13" s="339"/>
      <c r="J13" s="339"/>
      <c r="K13" s="18"/>
      <c r="L13" s="159"/>
      <c r="M13" s="159"/>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341" t="str">
        <f>'RDB Dienstleistungen'!A25:B25</f>
        <v>19.03.48.311.01</v>
      </c>
      <c r="B25" s="342"/>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41">
        <f>'RDB Dienstleistungen'!A26:B26</f>
        <v>0</v>
      </c>
      <c r="B26" s="342"/>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1">
        <f>'RDB Dienstleistungen'!A27:B27</f>
        <v>0</v>
      </c>
      <c r="B27" s="342"/>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1">
        <f>'RDB Dienstleistungen'!A28:B28</f>
        <v>0</v>
      </c>
      <c r="B28" s="342"/>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1">
        <f>'RDB Dienstleistungen'!A29:B29</f>
        <v>0</v>
      </c>
      <c r="B29" s="342"/>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49" t="s">
        <v>334</v>
      </c>
      <c r="C36" s="350"/>
      <c r="D36" s="350"/>
      <c r="E36" s="350"/>
      <c r="F36" s="350"/>
      <c r="G36" s="350"/>
      <c r="H36" s="350"/>
      <c r="I36" s="350"/>
      <c r="J36" s="350"/>
      <c r="K36" s="350"/>
      <c r="L36" s="350"/>
      <c r="M36" s="350"/>
      <c r="N36" s="350"/>
      <c r="O36" s="350"/>
      <c r="P36" s="350"/>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63" t="s">
        <v>250</v>
      </c>
      <c r="D2" s="363"/>
      <c r="E2" s="364"/>
      <c r="F2" s="16" t="s">
        <v>327</v>
      </c>
      <c r="H2" s="382">
        <v>43101</v>
      </c>
      <c r="I2" s="382"/>
      <c r="J2" s="67" t="s">
        <v>195</v>
      </c>
      <c r="K2" s="193">
        <v>43830</v>
      </c>
      <c r="L2" s="16" t="s">
        <v>13</v>
      </c>
      <c r="N2" s="159">
        <v>43196</v>
      </c>
      <c r="P2" s="18"/>
    </row>
    <row r="3" spans="1:16" s="14" customFormat="1" ht="15.75">
      <c r="A3" s="16" t="s">
        <v>158</v>
      </c>
      <c r="C3" s="521" t="s">
        <v>218</v>
      </c>
      <c r="D3" s="521"/>
      <c r="E3" s="522"/>
      <c r="F3" s="16" t="s">
        <v>159</v>
      </c>
      <c r="H3" s="339" t="s">
        <v>219</v>
      </c>
      <c r="I3" s="339"/>
      <c r="J3" s="339"/>
      <c r="K3" s="17"/>
      <c r="L3" s="16" t="s">
        <v>166</v>
      </c>
      <c r="N3" s="194" t="s">
        <v>255</v>
      </c>
      <c r="O3" s="194"/>
      <c r="P3" s="94"/>
    </row>
    <row r="4" spans="1:16" s="14" customFormat="1" ht="12.75">
      <c r="A4" s="16" t="s">
        <v>184</v>
      </c>
      <c r="C4" s="383" t="s">
        <v>251</v>
      </c>
      <c r="D4" s="383"/>
      <c r="E4" s="384"/>
      <c r="F4" s="20" t="s">
        <v>165</v>
      </c>
      <c r="H4" s="339" t="s">
        <v>220</v>
      </c>
      <c r="I4" s="339"/>
      <c r="J4" s="339"/>
      <c r="K4" s="17"/>
      <c r="L4" s="16" t="s">
        <v>175</v>
      </c>
      <c r="N4" s="159">
        <v>43132</v>
      </c>
      <c r="O4" s="19" t="s">
        <v>5</v>
      </c>
      <c r="P4" s="161">
        <v>43190</v>
      </c>
    </row>
    <row r="5" spans="1:16" s="14" customFormat="1" ht="12.75">
      <c r="A5" s="25"/>
      <c r="C5" s="191"/>
      <c r="D5" s="169"/>
      <c r="E5" s="169"/>
      <c r="F5" s="25"/>
      <c r="G5" s="15" t="s">
        <v>169</v>
      </c>
      <c r="H5" s="339" t="s">
        <v>221</v>
      </c>
      <c r="I5" s="339"/>
      <c r="J5" s="339"/>
      <c r="K5" s="17"/>
      <c r="L5" s="20" t="s">
        <v>25</v>
      </c>
      <c r="N5" s="160" t="s">
        <v>27</v>
      </c>
      <c r="O5" s="80" t="s">
        <v>179</v>
      </c>
      <c r="P5" s="162" t="s">
        <v>259</v>
      </c>
    </row>
    <row r="6" spans="1:16" s="14" customFormat="1" ht="12.75">
      <c r="A6" s="16" t="s">
        <v>7</v>
      </c>
      <c r="C6" s="339" t="s">
        <v>221</v>
      </c>
      <c r="D6" s="339"/>
      <c r="E6" s="358"/>
      <c r="F6" s="25"/>
      <c r="G6" s="15" t="s">
        <v>161</v>
      </c>
      <c r="H6" s="387" t="s">
        <v>222</v>
      </c>
      <c r="I6" s="387"/>
      <c r="J6" s="387"/>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78" t="s">
        <v>142</v>
      </c>
      <c r="D8" s="378"/>
      <c r="E8" s="379"/>
      <c r="F8" s="21" t="s">
        <v>162</v>
      </c>
      <c r="G8" s="29"/>
      <c r="H8" s="359" t="s">
        <v>274</v>
      </c>
      <c r="I8" s="359"/>
      <c r="J8" s="359"/>
      <c r="K8" s="30"/>
      <c r="L8" s="31" t="s">
        <v>188</v>
      </c>
      <c r="M8" s="32"/>
      <c r="N8" s="32"/>
      <c r="O8" s="32"/>
      <c r="P8" s="30"/>
    </row>
    <row r="9" spans="1:16" s="14" customFormat="1" ht="12.75">
      <c r="A9" s="25"/>
      <c r="C9" s="380"/>
      <c r="D9" s="380"/>
      <c r="E9" s="381"/>
      <c r="F9" s="25"/>
      <c r="H9" s="339" t="s">
        <v>223</v>
      </c>
      <c r="I9" s="339"/>
      <c r="J9" s="339"/>
      <c r="K9" s="18"/>
      <c r="L9" s="315"/>
      <c r="M9" s="316"/>
      <c r="N9" s="66"/>
      <c r="O9" s="66"/>
      <c r="P9" s="99"/>
    </row>
    <row r="10" spans="1:16" s="14" customFormat="1" ht="12.75">
      <c r="A10" s="25"/>
      <c r="C10" s="380"/>
      <c r="D10" s="380"/>
      <c r="E10" s="381"/>
      <c r="F10" s="25"/>
      <c r="H10" s="339" t="s">
        <v>224</v>
      </c>
      <c r="I10" s="339"/>
      <c r="J10" s="339"/>
      <c r="K10" s="18"/>
      <c r="L10" s="317"/>
      <c r="M10" s="316"/>
      <c r="N10" s="66"/>
      <c r="O10" s="66"/>
      <c r="P10" s="99"/>
    </row>
    <row r="11" spans="1:16" s="14" customFormat="1" ht="12.75">
      <c r="A11" s="25"/>
      <c r="C11" s="380"/>
      <c r="D11" s="380"/>
      <c r="E11" s="381"/>
      <c r="F11" s="25"/>
      <c r="H11" s="339" t="s">
        <v>225</v>
      </c>
      <c r="I11" s="339"/>
      <c r="J11" s="339"/>
      <c r="K11" s="18"/>
      <c r="L11" s="315"/>
      <c r="M11" s="318">
        <v>43200</v>
      </c>
      <c r="N11" s="66"/>
      <c r="O11" s="164">
        <v>43208</v>
      </c>
      <c r="P11" s="99"/>
    </row>
    <row r="12" spans="1:16" s="14" customFormat="1" ht="12.75">
      <c r="A12" s="25"/>
      <c r="C12" s="380"/>
      <c r="D12" s="380"/>
      <c r="E12" s="381"/>
      <c r="F12" s="25"/>
      <c r="H12" s="169"/>
      <c r="I12" s="169"/>
      <c r="J12" s="169"/>
      <c r="K12" s="18"/>
      <c r="L12" s="315"/>
      <c r="M12" s="318"/>
      <c r="N12" s="66"/>
      <c r="O12" s="164"/>
      <c r="P12" s="99"/>
    </row>
    <row r="13" spans="1:16" s="14" customFormat="1" ht="12.75">
      <c r="A13" s="25"/>
      <c r="C13" s="380"/>
      <c r="D13" s="380"/>
      <c r="E13" s="381"/>
      <c r="F13" s="16" t="s">
        <v>206</v>
      </c>
      <c r="H13" s="339" t="s">
        <v>261</v>
      </c>
      <c r="I13" s="339"/>
      <c r="J13" s="339"/>
      <c r="K13" s="18"/>
      <c r="L13" s="315"/>
      <c r="M13" s="316"/>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516" t="s">
        <v>264</v>
      </c>
      <c r="B25" s="517"/>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6" t="s">
        <v>264</v>
      </c>
      <c r="B26" s="517"/>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6" t="s">
        <v>265</v>
      </c>
      <c r="B27" s="517"/>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6" t="s">
        <v>266</v>
      </c>
      <c r="B28" s="517"/>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6" t="s">
        <v>267</v>
      </c>
      <c r="B29" s="517"/>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20" t="s">
        <v>216</v>
      </c>
      <c r="C36" s="520"/>
      <c r="D36" s="520"/>
      <c r="E36" s="520"/>
      <c r="F36" s="520"/>
      <c r="G36" s="520"/>
      <c r="H36" s="520"/>
      <c r="I36" s="520"/>
      <c r="J36" s="520"/>
      <c r="K36" s="520"/>
      <c r="L36" s="520"/>
      <c r="M36" s="520"/>
      <c r="N36" s="520"/>
      <c r="O36" s="520"/>
      <c r="P36" s="520"/>
    </row>
    <row r="37" spans="1:18" s="23" customFormat="1">
      <c r="B37" s="57"/>
      <c r="C37" s="57"/>
      <c r="D37" s="57"/>
      <c r="E37" s="57"/>
      <c r="F37" s="57"/>
      <c r="G37" s="57"/>
      <c r="H37" s="57"/>
      <c r="I37" s="57"/>
      <c r="J37" s="57"/>
      <c r="K37" s="57"/>
      <c r="L37" s="57"/>
      <c r="M37" s="57"/>
      <c r="N37" s="57"/>
      <c r="O37" s="57"/>
      <c r="P37" s="57"/>
      <c r="Q37" s="57"/>
    </row>
    <row r="38" spans="1:18" ht="15">
      <c r="A38" s="332" t="s">
        <v>170</v>
      </c>
      <c r="B38" s="332"/>
      <c r="C38" s="332"/>
      <c r="D38" s="332"/>
      <c r="E38" s="332"/>
      <c r="F38" s="332"/>
      <c r="G38" s="332"/>
      <c r="H38" s="332"/>
      <c r="I38" s="332"/>
      <c r="J38" s="332"/>
      <c r="K38" s="332"/>
      <c r="L38" s="332"/>
      <c r="M38" s="332"/>
      <c r="N38" s="332"/>
      <c r="O38" s="332"/>
      <c r="P38" s="332"/>
      <c r="Q38" s="57"/>
    </row>
    <row r="40" spans="1:18" s="43" customFormat="1" ht="15.75">
      <c r="A40" s="43" t="s">
        <v>236</v>
      </c>
      <c r="E40" s="343">
        <f>P33</f>
        <v>2319638.4593336</v>
      </c>
      <c r="F40" s="343"/>
      <c r="J40" s="344"/>
      <c r="K40" s="34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8" t="s">
        <v>226</v>
      </c>
      <c r="B43" s="359"/>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9" t="s">
        <v>227</v>
      </c>
      <c r="B44" s="339"/>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32" t="s">
        <v>211</v>
      </c>
      <c r="B64" s="332"/>
      <c r="C64" s="332"/>
      <c r="D64" s="332"/>
      <c r="E64" s="332"/>
      <c r="F64" s="332"/>
      <c r="G64" s="332"/>
      <c r="H64" s="332"/>
      <c r="I64" s="332"/>
      <c r="J64" s="332"/>
      <c r="K64" s="332"/>
      <c r="L64" s="332"/>
      <c r="M64" s="332"/>
      <c r="N64" s="332"/>
      <c r="O64" s="332"/>
      <c r="P64" s="332"/>
    </row>
    <row r="66" spans="1:16" s="42" customFormat="1" ht="12.75" customHeight="1">
      <c r="A66" s="333" t="s">
        <v>213</v>
      </c>
      <c r="B66" s="334"/>
      <c r="C66" s="334"/>
      <c r="D66" s="335" t="s">
        <v>212</v>
      </c>
      <c r="E66" s="336"/>
      <c r="F66" s="337" t="s">
        <v>155</v>
      </c>
      <c r="G66" s="337"/>
      <c r="H66" s="337" t="s">
        <v>241</v>
      </c>
      <c r="I66" s="337"/>
      <c r="J66" s="337" t="s">
        <v>242</v>
      </c>
      <c r="K66" s="345"/>
      <c r="L66" s="346" t="s">
        <v>146</v>
      </c>
      <c r="M66" s="346"/>
      <c r="N66" s="346"/>
      <c r="O66" s="346"/>
      <c r="P66" s="346"/>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20">
        <f>H2</f>
        <v>43101</v>
      </c>
      <c r="E69" s="421"/>
      <c r="F69" s="419">
        <f>H1</f>
        <v>23</v>
      </c>
      <c r="G69" s="419"/>
      <c r="H69" s="420" t="s">
        <v>191</v>
      </c>
      <c r="I69" s="421"/>
      <c r="J69" s="422" t="s">
        <v>191</v>
      </c>
      <c r="K69" s="423"/>
      <c r="L69" s="424">
        <v>4950000</v>
      </c>
      <c r="M69" s="425"/>
      <c r="N69" s="181">
        <v>7.6999999999999999E-2</v>
      </c>
      <c r="O69" s="407">
        <f>IF(L69&lt;&gt;"",ROUND((1*L69*(1+N69))*20,0)/20,"")</f>
        <v>5331150</v>
      </c>
      <c r="P69" s="407"/>
    </row>
    <row r="70" spans="1:16" ht="12.75">
      <c r="A70" s="408" t="s">
        <v>239</v>
      </c>
      <c r="B70" s="409"/>
      <c r="C70" s="409"/>
      <c r="D70" s="410" t="s">
        <v>191</v>
      </c>
      <c r="E70" s="411"/>
      <c r="F70" s="412" t="s">
        <v>191</v>
      </c>
      <c r="G70" s="412"/>
      <c r="H70" s="410">
        <v>43133</v>
      </c>
      <c r="I70" s="411"/>
      <c r="J70" s="413">
        <v>1</v>
      </c>
      <c r="K70" s="414"/>
      <c r="L70" s="415">
        <v>400000</v>
      </c>
      <c r="M70" s="416"/>
      <c r="N70" s="182">
        <v>7.6999999999999999E-2</v>
      </c>
      <c r="O70" s="513">
        <f>IF(L70&lt;&gt;"",ROUND((1*L70*(1+N70))*20,0)/20,"")</f>
        <v>430800</v>
      </c>
      <c r="P70" s="513"/>
    </row>
    <row r="71" spans="1:16" ht="12.75">
      <c r="A71" s="408" t="s">
        <v>240</v>
      </c>
      <c r="B71" s="409"/>
      <c r="C71" s="409"/>
      <c r="D71" s="410" t="s">
        <v>191</v>
      </c>
      <c r="E71" s="411"/>
      <c r="F71" s="412" t="s">
        <v>191</v>
      </c>
      <c r="G71" s="412"/>
      <c r="H71" s="410"/>
      <c r="I71" s="411"/>
      <c r="J71" s="413"/>
      <c r="K71" s="414"/>
      <c r="L71" s="415"/>
      <c r="M71" s="416"/>
      <c r="N71" s="182"/>
      <c r="O71" s="513" t="str">
        <f>IF(L71&lt;&gt;"",ROUND((1*L71*(1+N71))*20,0)/20,"")</f>
        <v/>
      </c>
      <c r="P71" s="513"/>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5350000</v>
      </c>
      <c r="M73" s="443"/>
      <c r="N73" s="185"/>
      <c r="O73" s="442">
        <f>SUM(O69:P72)</f>
        <v>5761950</v>
      </c>
      <c r="P73" s="442"/>
    </row>
    <row r="75" spans="1:16" ht="15">
      <c r="A75" s="332" t="s">
        <v>176</v>
      </c>
      <c r="B75" s="332"/>
      <c r="C75" s="332"/>
      <c r="D75" s="332"/>
      <c r="E75" s="332"/>
      <c r="F75" s="332"/>
      <c r="G75" s="332"/>
      <c r="H75" s="332"/>
      <c r="I75" s="332"/>
      <c r="J75" s="332"/>
      <c r="K75" s="332"/>
      <c r="L75" s="332"/>
      <c r="M75" s="332"/>
      <c r="N75" s="332"/>
      <c r="O75" s="332"/>
      <c r="P75" s="332"/>
    </row>
    <row r="77" spans="1:16" ht="12.75" customHeight="1">
      <c r="A77" s="110" t="s">
        <v>166</v>
      </c>
      <c r="B77" s="61"/>
      <c r="C77" s="278" t="s">
        <v>13</v>
      </c>
      <c r="D77" s="61"/>
      <c r="E77" s="109"/>
      <c r="F77" s="313" t="s">
        <v>25</v>
      </c>
      <c r="G77" s="61"/>
      <c r="H77" s="308" t="s">
        <v>325</v>
      </c>
      <c r="I77" s="282"/>
      <c r="J77" s="335"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4" t="s">
        <v>135</v>
      </c>
      <c r="K80" s="515"/>
      <c r="L80" s="415">
        <v>1545642.6</v>
      </c>
      <c r="M80" s="416"/>
      <c r="N80" s="182">
        <v>7.6999999999999999E-2</v>
      </c>
      <c r="O80" s="513">
        <f>IF(L80&lt;&gt;"",L80*(1+N80),"")</f>
        <v>1664657.0802</v>
      </c>
      <c r="P80" s="513"/>
    </row>
    <row r="81" spans="1:16" ht="12.75">
      <c r="A81" s="272">
        <v>3400988879</v>
      </c>
      <c r="B81" s="265"/>
      <c r="C81" s="279">
        <v>43141</v>
      </c>
      <c r="D81" s="265"/>
      <c r="E81" s="270"/>
      <c r="F81" s="306" t="s">
        <v>27</v>
      </c>
      <c r="G81" s="307" t="s">
        <v>217</v>
      </c>
      <c r="H81" s="310">
        <v>43101</v>
      </c>
      <c r="I81" s="311">
        <v>43131</v>
      </c>
      <c r="J81" s="514" t="s">
        <v>14</v>
      </c>
      <c r="K81" s="515"/>
      <c r="L81" s="415">
        <v>10000</v>
      </c>
      <c r="M81" s="416"/>
      <c r="N81" s="182">
        <v>7.6999999999999999E-2</v>
      </c>
      <c r="O81" s="513">
        <f>IF(L81&lt;&gt;"",L81*(1+N81),"")</f>
        <v>10770</v>
      </c>
      <c r="P81" s="513"/>
    </row>
    <row r="82" spans="1:16" ht="12.75">
      <c r="A82" s="272">
        <v>3400988880</v>
      </c>
      <c r="B82" s="265"/>
      <c r="C82" s="279">
        <v>43141</v>
      </c>
      <c r="D82" s="265"/>
      <c r="E82" s="270"/>
      <c r="F82" s="306" t="s">
        <v>27</v>
      </c>
      <c r="G82" s="307" t="s">
        <v>257</v>
      </c>
      <c r="H82" s="310">
        <v>43101</v>
      </c>
      <c r="I82" s="311">
        <v>43131</v>
      </c>
      <c r="J82" s="514" t="s">
        <v>147</v>
      </c>
      <c r="K82" s="515"/>
      <c r="L82" s="415">
        <v>20000</v>
      </c>
      <c r="M82" s="416"/>
      <c r="N82" s="182">
        <v>7.6999999999999999E-2</v>
      </c>
      <c r="O82" s="513">
        <f>IF(L82&lt;&gt;"",L82*(1+N82),"")</f>
        <v>21540</v>
      </c>
      <c r="P82" s="513"/>
    </row>
    <row r="83" spans="1:16" ht="12.75">
      <c r="A83" s="272">
        <v>3400988881</v>
      </c>
      <c r="B83" s="265"/>
      <c r="C83" s="279">
        <v>43141</v>
      </c>
      <c r="D83" s="265"/>
      <c r="E83" s="270"/>
      <c r="F83" s="306" t="s">
        <v>27</v>
      </c>
      <c r="G83" s="307" t="s">
        <v>258</v>
      </c>
      <c r="H83" s="310">
        <v>43101</v>
      </c>
      <c r="I83" s="311">
        <v>43131</v>
      </c>
      <c r="J83" s="514" t="s">
        <v>134</v>
      </c>
      <c r="K83" s="515"/>
      <c r="L83" s="415">
        <v>-10000</v>
      </c>
      <c r="M83" s="416"/>
      <c r="N83" s="182">
        <v>7.6999999999999999E-2</v>
      </c>
      <c r="O83" s="513">
        <f>IF(L83&lt;&gt;"",L83*(1+N83),"")</f>
        <v>-10770</v>
      </c>
      <c r="P83" s="513"/>
    </row>
    <row r="84" spans="1:16" ht="12.75">
      <c r="A84" s="272">
        <v>3400988882</v>
      </c>
      <c r="B84" s="265"/>
      <c r="C84" s="279">
        <v>43196</v>
      </c>
      <c r="D84" s="265"/>
      <c r="E84" s="270"/>
      <c r="F84" s="306" t="s">
        <v>27</v>
      </c>
      <c r="G84" s="307" t="s">
        <v>259</v>
      </c>
      <c r="H84" s="310">
        <v>43132</v>
      </c>
      <c r="I84" s="311">
        <v>43190</v>
      </c>
      <c r="J84" s="514" t="s">
        <v>135</v>
      </c>
      <c r="K84" s="515"/>
      <c r="L84" s="415">
        <v>2153796.1368</v>
      </c>
      <c r="M84" s="416"/>
      <c r="N84" s="182">
        <v>7.6999999999999999E-2</v>
      </c>
      <c r="O84" s="513">
        <f>IF(L84&lt;&gt;"",L84*(1+N84),"")</f>
        <v>2319638.4393336</v>
      </c>
      <c r="P84" s="513"/>
    </row>
    <row r="85" spans="1:16" ht="12.75">
      <c r="A85" s="272"/>
      <c r="B85" s="265"/>
      <c r="C85" s="279"/>
      <c r="D85" s="265"/>
      <c r="E85" s="270"/>
      <c r="F85" s="302"/>
      <c r="G85" s="307"/>
      <c r="H85" s="310"/>
      <c r="I85" s="311"/>
      <c r="J85" s="514"/>
      <c r="K85" s="515"/>
      <c r="L85" s="415"/>
      <c r="M85" s="416"/>
      <c r="N85" s="182">
        <v>7.6999999999999999E-2</v>
      </c>
      <c r="O85" s="513" t="str">
        <f t="shared" ref="O85:O93" si="1">IF(L85&lt;&gt;"",L85*(1+N85),"")</f>
        <v/>
      </c>
      <c r="P85" s="513"/>
    </row>
    <row r="86" spans="1:16" ht="12.75">
      <c r="A86" s="272"/>
      <c r="B86" s="265"/>
      <c r="C86" s="279"/>
      <c r="D86" s="265"/>
      <c r="E86" s="270"/>
      <c r="F86" s="302"/>
      <c r="G86" s="307"/>
      <c r="H86" s="310"/>
      <c r="I86" s="311"/>
      <c r="J86" s="514"/>
      <c r="K86" s="515"/>
      <c r="L86" s="415"/>
      <c r="M86" s="416"/>
      <c r="N86" s="182">
        <v>7.6999999999999999E-2</v>
      </c>
      <c r="O86" s="513" t="str">
        <f t="shared" si="1"/>
        <v/>
      </c>
      <c r="P86" s="513"/>
    </row>
    <row r="87" spans="1:16" ht="12.75">
      <c r="A87" s="272"/>
      <c r="B87" s="265"/>
      <c r="C87" s="279"/>
      <c r="D87" s="265"/>
      <c r="E87" s="270"/>
      <c r="F87" s="302"/>
      <c r="G87" s="307"/>
      <c r="H87" s="310"/>
      <c r="I87" s="311"/>
      <c r="J87" s="514"/>
      <c r="K87" s="515"/>
      <c r="L87" s="415"/>
      <c r="M87" s="416"/>
      <c r="N87" s="182">
        <v>7.6999999999999999E-2</v>
      </c>
      <c r="O87" s="513" t="str">
        <f t="shared" si="1"/>
        <v/>
      </c>
      <c r="P87" s="513"/>
    </row>
    <row r="88" spans="1:16" ht="12.75">
      <c r="A88" s="272"/>
      <c r="B88" s="265"/>
      <c r="C88" s="279"/>
      <c r="D88" s="265"/>
      <c r="E88" s="270"/>
      <c r="F88" s="302"/>
      <c r="G88" s="307"/>
      <c r="H88" s="310"/>
      <c r="I88" s="311"/>
      <c r="J88" s="514"/>
      <c r="K88" s="515"/>
      <c r="L88" s="415"/>
      <c r="M88" s="416"/>
      <c r="N88" s="182">
        <v>7.6999999999999999E-2</v>
      </c>
      <c r="O88" s="513" t="str">
        <f t="shared" si="1"/>
        <v/>
      </c>
      <c r="P88" s="513"/>
    </row>
    <row r="89" spans="1:16" ht="12.75">
      <c r="A89" s="272"/>
      <c r="B89" s="265"/>
      <c r="C89" s="279"/>
      <c r="D89" s="265"/>
      <c r="E89" s="270"/>
      <c r="F89" s="302"/>
      <c r="G89" s="307"/>
      <c r="H89" s="310"/>
      <c r="I89" s="311"/>
      <c r="J89" s="514"/>
      <c r="K89" s="515"/>
      <c r="L89" s="415"/>
      <c r="M89" s="416"/>
      <c r="N89" s="182">
        <v>7.6999999999999999E-2</v>
      </c>
      <c r="O89" s="513" t="str">
        <f t="shared" si="1"/>
        <v/>
      </c>
      <c r="P89" s="513"/>
    </row>
    <row r="90" spans="1:16" ht="12.75">
      <c r="A90" s="272"/>
      <c r="B90" s="265"/>
      <c r="C90" s="279"/>
      <c r="D90" s="265"/>
      <c r="E90" s="270"/>
      <c r="F90" s="302"/>
      <c r="G90" s="307"/>
      <c r="H90" s="310"/>
      <c r="I90" s="311"/>
      <c r="J90" s="514"/>
      <c r="K90" s="515"/>
      <c r="L90" s="415"/>
      <c r="M90" s="416"/>
      <c r="N90" s="182">
        <v>7.6999999999999999E-2</v>
      </c>
      <c r="O90" s="513" t="str">
        <f t="shared" si="1"/>
        <v/>
      </c>
      <c r="P90" s="513"/>
    </row>
    <row r="91" spans="1:16" ht="12.75">
      <c r="A91" s="272"/>
      <c r="B91" s="265"/>
      <c r="C91" s="279"/>
      <c r="D91" s="265"/>
      <c r="E91" s="270"/>
      <c r="F91" s="302"/>
      <c r="G91" s="307"/>
      <c r="H91" s="310"/>
      <c r="I91" s="311"/>
      <c r="J91" s="514"/>
      <c r="K91" s="515"/>
      <c r="L91" s="415"/>
      <c r="M91" s="416"/>
      <c r="N91" s="182">
        <v>7.6999999999999999E-2</v>
      </c>
      <c r="O91" s="513" t="str">
        <f t="shared" si="1"/>
        <v/>
      </c>
      <c r="P91" s="513"/>
    </row>
    <row r="92" spans="1:16" ht="12.75">
      <c r="A92" s="272"/>
      <c r="B92" s="265"/>
      <c r="C92" s="279"/>
      <c r="D92" s="265"/>
      <c r="E92" s="270"/>
      <c r="F92" s="302"/>
      <c r="G92" s="307"/>
      <c r="H92" s="310"/>
      <c r="I92" s="311"/>
      <c r="J92" s="514"/>
      <c r="K92" s="515"/>
      <c r="L92" s="415"/>
      <c r="M92" s="416"/>
      <c r="N92" s="182">
        <v>7.6999999999999999E-2</v>
      </c>
      <c r="O92" s="513" t="str">
        <f t="shared" si="1"/>
        <v/>
      </c>
      <c r="P92" s="513"/>
    </row>
    <row r="93" spans="1:16" ht="12.75">
      <c r="A93" s="272"/>
      <c r="B93" s="265"/>
      <c r="C93" s="279"/>
      <c r="D93" s="265"/>
      <c r="E93" s="270"/>
      <c r="F93" s="302"/>
      <c r="G93" s="307"/>
      <c r="H93" s="310"/>
      <c r="I93" s="311"/>
      <c r="J93" s="514"/>
      <c r="K93" s="515"/>
      <c r="L93" s="415"/>
      <c r="M93" s="416"/>
      <c r="N93" s="182">
        <v>7.6999999999999999E-2</v>
      </c>
      <c r="O93" s="513" t="str">
        <f t="shared" si="1"/>
        <v/>
      </c>
      <c r="P93" s="513"/>
    </row>
    <row r="94" spans="1:16" ht="12.75">
      <c r="A94" s="273"/>
      <c r="B94" s="265"/>
      <c r="C94" s="275"/>
      <c r="D94" s="265"/>
      <c r="E94" s="269"/>
      <c r="F94" s="306" t="s">
        <v>2</v>
      </c>
      <c r="G94" s="307"/>
      <c r="H94" s="310"/>
      <c r="I94" s="312"/>
      <c r="J94" s="514"/>
      <c r="K94" s="515"/>
      <c r="L94" s="415"/>
      <c r="M94" s="416"/>
      <c r="N94" s="182">
        <v>7.6999999999999999E-2</v>
      </c>
      <c r="O94" s="513" t="str">
        <f>IF(L94&lt;&gt;"",L94*(1+N94),"")</f>
        <v/>
      </c>
      <c r="P94" s="513"/>
    </row>
    <row r="95" spans="1:16" ht="6" customHeight="1">
      <c r="A95" s="81"/>
      <c r="C95" s="277"/>
      <c r="D95" s="509"/>
      <c r="E95" s="510"/>
      <c r="F95" s="511"/>
      <c r="G95" s="512"/>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42">
        <f>-SUMIF(J80:K95,'Dropdowns Bau'!B9,L80:M95)+L97</f>
        <v>3719438.7368000001</v>
      </c>
      <c r="M96" s="443"/>
      <c r="N96" s="185"/>
      <c r="O96" s="442">
        <f>-SUMIF(J80:K95,'Dropdowns Bau'!B9,O80:P95)+O97</f>
        <v>4005835.5195335997</v>
      </c>
      <c r="P96" s="442"/>
    </row>
    <row r="97" spans="1:16" s="42" customFormat="1" ht="12.75">
      <c r="A97" s="26" t="s">
        <v>182</v>
      </c>
      <c r="B97" s="63"/>
      <c r="C97" s="63"/>
      <c r="D97" s="236"/>
      <c r="E97" s="236"/>
      <c r="F97" s="236"/>
      <c r="G97" s="236"/>
      <c r="H97" s="236"/>
      <c r="I97" s="236"/>
      <c r="J97" s="236"/>
      <c r="K97" s="237"/>
      <c r="L97" s="483">
        <f>SUM(L80:M95)</f>
        <v>3719438.7368000001</v>
      </c>
      <c r="M97" s="484"/>
      <c r="N97" s="186"/>
      <c r="O97" s="483">
        <f>SUM(O80:P95)</f>
        <v>4005835.5195335997</v>
      </c>
      <c r="P97" s="485"/>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83">
        <f>SUMIF(J80:K95,'Dropdowns DL'!B4,L80:M95)</f>
        <v>3699438.7368000001</v>
      </c>
      <c r="M99" s="484"/>
      <c r="N99" s="183"/>
      <c r="O99" s="483">
        <f>SUMIF(J80:K95,'Dropdowns DL'!B4,O80:P95)</f>
        <v>3984295.5195335997</v>
      </c>
      <c r="P99" s="485"/>
    </row>
    <row r="100" spans="1:16" ht="12.75">
      <c r="A100" s="44"/>
      <c r="J100" s="42" t="s">
        <v>278</v>
      </c>
      <c r="K100" s="17"/>
      <c r="L100" s="483">
        <f>SUMIF(J80:K95,'Dropdowns DL'!B6,L80:M95)</f>
        <v>20000</v>
      </c>
      <c r="M100" s="484"/>
      <c r="N100" s="183"/>
      <c r="O100" s="483">
        <f>SUMIF(J80:K95,'Dropdowns DL'!B6,O80:P95)</f>
        <v>21540</v>
      </c>
      <c r="P100" s="485"/>
    </row>
    <row r="101" spans="1:16" ht="12.75">
      <c r="A101" s="44"/>
      <c r="J101" s="42" t="s">
        <v>193</v>
      </c>
      <c r="K101" s="17"/>
      <c r="L101" s="483">
        <f>SUMIF(J80:K95,'Dropdowns DL'!B5,L80:M95)</f>
        <v>10000</v>
      </c>
      <c r="M101" s="484"/>
      <c r="N101" s="183"/>
      <c r="O101" s="483">
        <f>SUMIF(J80:K95,'Dropdowns DL'!B5,O80:P95)</f>
        <v>10770</v>
      </c>
      <c r="P101" s="485"/>
    </row>
    <row r="102" spans="1:16" ht="12.75" hidden="1">
      <c r="A102" s="44"/>
      <c r="J102" s="42" t="s">
        <v>194</v>
      </c>
      <c r="K102" s="17"/>
      <c r="L102" s="483">
        <f>SUMIF(J80:K95,'Dropdowns Bau'!B5,L80:M95)</f>
        <v>0</v>
      </c>
      <c r="M102" s="484"/>
      <c r="N102" s="183"/>
      <c r="O102" s="483">
        <f>SUMIF(J80:K95,'Dropdowns Bau'!B5,O80:P95)</f>
        <v>0</v>
      </c>
      <c r="P102" s="485"/>
    </row>
    <row r="103" spans="1:16" ht="6" customHeight="1">
      <c r="A103" s="81"/>
      <c r="B103" s="87"/>
      <c r="C103" s="87"/>
      <c r="D103" s="87"/>
      <c r="E103" s="87"/>
      <c r="F103" s="87"/>
      <c r="G103" s="87"/>
      <c r="H103" s="87"/>
      <c r="I103" s="87"/>
      <c r="J103" s="87"/>
      <c r="K103" s="82"/>
      <c r="L103" s="486"/>
      <c r="M103" s="487"/>
      <c r="N103" s="188"/>
      <c r="O103" s="488"/>
      <c r="P103" s="488"/>
    </row>
    <row r="104" spans="1:16" ht="6" customHeight="1"/>
    <row r="106" spans="1:16" ht="15">
      <c r="A106" s="167" t="s">
        <v>183</v>
      </c>
      <c r="B106" s="156"/>
      <c r="C106" s="156"/>
      <c r="D106" s="156"/>
      <c r="E106" s="156"/>
      <c r="F106" s="156"/>
      <c r="G106" s="156"/>
      <c r="H106" s="157"/>
      <c r="I106" s="489" t="s">
        <v>210</v>
      </c>
      <c r="J106" s="489"/>
      <c r="K106" s="489"/>
      <c r="L106" s="489"/>
      <c r="M106" s="489"/>
      <c r="N106" s="489"/>
      <c r="O106" s="489"/>
      <c r="P106" s="489"/>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90" t="s">
        <v>208</v>
      </c>
      <c r="E108" s="491"/>
      <c r="F108" s="492" t="s">
        <v>209</v>
      </c>
      <c r="G108" s="493"/>
      <c r="H108" s="23"/>
      <c r="I108" s="494" t="s">
        <v>253</v>
      </c>
      <c r="J108" s="495"/>
      <c r="K108" s="500" t="s">
        <v>277</v>
      </c>
      <c r="L108" s="501"/>
      <c r="M108" s="501"/>
      <c r="N108" s="501"/>
      <c r="O108" s="501"/>
      <c r="P108" s="502"/>
    </row>
    <row r="109" spans="1:16" ht="12.75">
      <c r="A109" s="333" t="s">
        <v>215</v>
      </c>
      <c r="B109" s="334"/>
      <c r="C109" s="454"/>
      <c r="D109" s="472">
        <f>L73</f>
        <v>5350000</v>
      </c>
      <c r="E109" s="473"/>
      <c r="F109" s="474">
        <f>O73</f>
        <v>5761950</v>
      </c>
      <c r="G109" s="475"/>
      <c r="H109" s="91"/>
      <c r="I109" s="496"/>
      <c r="J109" s="497"/>
      <c r="K109" s="503"/>
      <c r="L109" s="504"/>
      <c r="M109" s="504"/>
      <c r="N109" s="504"/>
      <c r="O109" s="504"/>
      <c r="P109" s="505"/>
    </row>
    <row r="110" spans="1:16" ht="12.75">
      <c r="A110" s="476" t="s">
        <v>181</v>
      </c>
      <c r="B110" s="477"/>
      <c r="C110" s="478"/>
      <c r="D110" s="479">
        <f>L96</f>
        <v>3719438.7368000001</v>
      </c>
      <c r="E110" s="480"/>
      <c r="F110" s="481">
        <f>O96</f>
        <v>4005835.5195335997</v>
      </c>
      <c r="G110" s="482"/>
      <c r="H110" s="91"/>
      <c r="I110" s="496"/>
      <c r="J110" s="497"/>
      <c r="K110" s="503"/>
      <c r="L110" s="504"/>
      <c r="M110" s="504"/>
      <c r="N110" s="504"/>
      <c r="O110" s="504"/>
      <c r="P110" s="505"/>
    </row>
    <row r="111" spans="1:16" ht="12" customHeight="1">
      <c r="A111" s="333" t="s">
        <v>178</v>
      </c>
      <c r="B111" s="334"/>
      <c r="C111" s="454"/>
      <c r="D111" s="458">
        <f>D109-D110</f>
        <v>1630561.2631999999</v>
      </c>
      <c r="E111" s="459"/>
      <c r="F111" s="462">
        <f>F109-F110</f>
        <v>1756114.4804664003</v>
      </c>
      <c r="G111" s="463"/>
      <c r="H111" s="92"/>
      <c r="I111" s="496"/>
      <c r="J111" s="497"/>
      <c r="K111" s="503"/>
      <c r="L111" s="504"/>
      <c r="M111" s="504"/>
      <c r="N111" s="504"/>
      <c r="O111" s="504"/>
      <c r="P111" s="505"/>
    </row>
    <row r="112" spans="1:16" ht="12" customHeight="1">
      <c r="A112" s="455"/>
      <c r="B112" s="456"/>
      <c r="C112" s="457"/>
      <c r="D112" s="460"/>
      <c r="E112" s="461"/>
      <c r="F112" s="464"/>
      <c r="G112" s="465"/>
      <c r="H112" s="92"/>
      <c r="I112" s="496"/>
      <c r="J112" s="497"/>
      <c r="K112" s="503"/>
      <c r="L112" s="504"/>
      <c r="M112" s="504"/>
      <c r="N112" s="504"/>
      <c r="O112" s="504"/>
      <c r="P112" s="505"/>
    </row>
    <row r="113" spans="1:16" ht="12.75">
      <c r="A113" s="466" t="s">
        <v>177</v>
      </c>
      <c r="B113" s="467"/>
      <c r="C113" s="468"/>
      <c r="D113" s="469">
        <f>IF(D110&lt;&gt;0,D110/D109,0)</f>
        <v>0.69522219379439254</v>
      </c>
      <c r="E113" s="470"/>
      <c r="F113" s="469">
        <f>IF(D110&lt;&gt;0,F110/F109,0)</f>
        <v>0.69522219379439243</v>
      </c>
      <c r="G113" s="471"/>
      <c r="H113" s="93"/>
      <c r="I113" s="498"/>
      <c r="J113" s="499"/>
      <c r="K113" s="506"/>
      <c r="L113" s="507"/>
      <c r="M113" s="507"/>
      <c r="N113" s="507"/>
      <c r="O113" s="507"/>
      <c r="P113" s="508"/>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2021-11-09T15:57:41Z</cp:lastPrinted>
  <dcterms:created xsi:type="dcterms:W3CDTF">1996-10-14T23:33:28Z</dcterms:created>
  <dcterms:modified xsi:type="dcterms:W3CDTF">2021-11-09T16:33:51Z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