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96" i="20" l="1"/>
  <c r="O95" i="20"/>
  <c r="O94" i="20" l="1"/>
  <c r="O93" i="20" l="1"/>
  <c r="O92" i="20" l="1"/>
  <c r="O91" i="20" l="1"/>
  <c r="L103" i="20" l="1"/>
  <c r="O90" i="20"/>
  <c r="O89" i="20" l="1"/>
  <c r="O82" i="20"/>
  <c r="O88" i="20" l="1"/>
  <c r="O87" i="20" l="1"/>
  <c r="O86" i="20" l="1"/>
  <c r="O85" i="20" l="1"/>
  <c r="O84" i="20" l="1"/>
  <c r="L70" i="20" l="1"/>
  <c r="O83" i="20" l="1"/>
  <c r="O81" i="20" l="1"/>
  <c r="O69" i="20" l="1"/>
  <c r="O80" i="20"/>
  <c r="L101" i="14" l="1"/>
  <c r="L100" i="14"/>
  <c r="L99" i="14"/>
  <c r="L102" i="20"/>
  <c r="L101"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2"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4" i="20"/>
  <c r="L104" i="20"/>
  <c r="L99" i="20"/>
  <c r="L98" i="20" s="1"/>
  <c r="D112" i="20" s="1"/>
  <c r="O103" i="20"/>
  <c r="L73" i="20"/>
  <c r="D111"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1" i="20" s="1"/>
  <c r="O99" i="20"/>
  <c r="O98" i="20" s="1"/>
  <c r="F112" i="20" s="1"/>
  <c r="L25" i="28"/>
  <c r="M25" i="28" s="1"/>
  <c r="J31" i="28"/>
  <c r="D26" i="28"/>
  <c r="L26" i="14"/>
  <c r="M26" i="14" s="1"/>
  <c r="O73" i="14"/>
  <c r="F109" i="14" s="1"/>
  <c r="D27" i="28"/>
  <c r="L29" i="28"/>
  <c r="M29" i="28" s="1"/>
  <c r="N29" i="28" s="1"/>
  <c r="O29" i="28" s="1"/>
  <c r="J31" i="14"/>
  <c r="D28" i="20"/>
  <c r="O99" i="14"/>
  <c r="L29" i="20"/>
  <c r="M29" i="20" s="1"/>
  <c r="O101" i="20"/>
  <c r="D115" i="20"/>
  <c r="D113" i="14"/>
  <c r="D111" i="14"/>
  <c r="N26" i="28"/>
  <c r="M28" i="20"/>
  <c r="N28" i="20"/>
  <c r="N25" i="28"/>
  <c r="N25" i="14"/>
  <c r="L27" i="14"/>
  <c r="I31" i="14"/>
  <c r="J31" i="20"/>
  <c r="E26" i="20"/>
  <c r="E28" i="20"/>
  <c r="E27" i="28"/>
  <c r="O97" i="14"/>
  <c r="O96" i="14" s="1"/>
  <c r="F110" i="14" s="1"/>
  <c r="F113" i="14" s="1"/>
  <c r="L28" i="28"/>
  <c r="N26" i="14"/>
  <c r="L27" i="20"/>
  <c r="L28" i="14"/>
  <c r="L29" i="14"/>
  <c r="D113" i="20"/>
  <c r="I31" i="28"/>
  <c r="L27" i="28"/>
  <c r="E29" i="28"/>
  <c r="L25" i="20"/>
  <c r="I31" i="20"/>
  <c r="M26" i="20" l="1"/>
  <c r="N26" i="20" s="1"/>
  <c r="N29" i="20"/>
  <c r="O29" i="20" s="1"/>
  <c r="P29" i="20" s="1"/>
  <c r="F115" i="20"/>
  <c r="F113"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<sst xmlns="http://schemas.openxmlformats.org/spreadsheetml/2006/main" count="707" uniqueCount="376">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</sst>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5"/>
  <sheetViews>
    <sheetView tabSelected="1" zoomScaleNormal="100" zoomScalePageLayoutView="90" workbookViewId="0">
      <selection activeCell="O97" sqref="O97"/>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1" t="s">
        <v>343</v>
      </c>
      <c r="I1" s="351"/>
      <c r="J1" s="149"/>
      <c r="K1" s="189"/>
      <c r="L1" s="166" t="s">
        <v>154</v>
      </c>
      <c r="M1" s="190"/>
      <c r="N1" s="105"/>
      <c r="O1" s="148"/>
      <c r="P1" s="150"/>
    </row>
    <row r="2" spans="1:16" s="14" customFormat="1" ht="12.75">
      <c r="A2" s="16" t="s">
        <v>12</v>
      </c>
      <c r="C2" s="363" t="s">
        <v>335</v>
      </c>
      <c r="D2" s="363"/>
      <c r="E2" s="364"/>
      <c r="F2" s="16" t="s">
        <v>327</v>
      </c>
      <c r="H2" s="382">
        <v>43282</v>
      </c>
      <c r="I2" s="382"/>
      <c r="J2" s="67" t="s">
        <v>195</v>
      </c>
      <c r="K2" s="193">
        <v>44926</v>
      </c>
      <c r="L2" s="16" t="s">
        <v>13</v>
      </c>
      <c r="N2" s="159">
        <v>44607</v>
      </c>
      <c r="P2" s="18"/>
    </row>
    <row r="3" spans="1:16" s="14" customFormat="1" ht="12.75">
      <c r="A3" s="16" t="s">
        <v>158</v>
      </c>
      <c r="C3" s="383" t="s">
        <v>336</v>
      </c>
      <c r="D3" s="383"/>
      <c r="E3" s="384"/>
      <c r="F3" s="16" t="s">
        <v>159</v>
      </c>
      <c r="H3" s="339" t="s">
        <v>344</v>
      </c>
      <c r="I3" s="339"/>
      <c r="J3" s="339"/>
      <c r="K3" s="358"/>
      <c r="L3" s="16" t="s">
        <v>166</v>
      </c>
      <c r="N3" s="324" t="s">
        <v>375</v>
      </c>
      <c r="O3" s="194"/>
      <c r="P3" s="94"/>
    </row>
    <row r="4" spans="1:16" s="14" customFormat="1" ht="12.75">
      <c r="A4" s="16" t="s">
        <v>184</v>
      </c>
      <c r="C4" s="383" t="s">
        <v>337</v>
      </c>
      <c r="D4" s="383"/>
      <c r="E4" s="384"/>
      <c r="F4" s="20" t="s">
        <v>165</v>
      </c>
      <c r="H4" s="385" t="s">
        <v>359</v>
      </c>
      <c r="I4" s="339"/>
      <c r="J4" s="339"/>
      <c r="K4" s="17"/>
      <c r="L4" s="16" t="s">
        <v>175</v>
      </c>
      <c r="N4" s="159">
        <v>44531</v>
      </c>
      <c r="O4" s="19" t="s">
        <v>5</v>
      </c>
      <c r="P4" s="161">
        <v>44561</v>
      </c>
    </row>
    <row r="5" spans="1:16" s="14" customFormat="1" ht="12.75">
      <c r="A5" s="25"/>
      <c r="C5" s="191"/>
      <c r="D5" s="169"/>
      <c r="E5" s="169"/>
      <c r="F5" s="25"/>
      <c r="G5" s="15" t="s">
        <v>169</v>
      </c>
      <c r="H5" s="362" t="s">
        <v>345</v>
      </c>
      <c r="I5" s="362"/>
      <c r="J5" s="362"/>
      <c r="K5" s="17"/>
      <c r="L5" s="20" t="s">
        <v>25</v>
      </c>
      <c r="N5" s="160" t="s">
        <v>27</v>
      </c>
      <c r="O5" s="80" t="s">
        <v>179</v>
      </c>
      <c r="P5" s="325" t="s">
        <v>375</v>
      </c>
    </row>
    <row r="6" spans="1:16" s="14" customFormat="1" ht="12.75">
      <c r="A6" s="16" t="s">
        <v>338</v>
      </c>
      <c r="C6" s="339" t="s">
        <v>339</v>
      </c>
      <c r="D6" s="339"/>
      <c r="E6" s="358"/>
      <c r="F6" s="25"/>
      <c r="G6" s="15" t="s">
        <v>161</v>
      </c>
      <c r="H6" s="386" t="s">
        <v>360</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8" t="s">
        <v>142</v>
      </c>
      <c r="D8" s="378"/>
      <c r="E8" s="379"/>
      <c r="F8" s="21" t="s">
        <v>162</v>
      </c>
      <c r="G8" s="29"/>
      <c r="H8" s="359" t="s">
        <v>346</v>
      </c>
      <c r="I8" s="359"/>
      <c r="J8" s="359"/>
      <c r="K8" s="360"/>
      <c r="L8" s="31" t="s">
        <v>188</v>
      </c>
      <c r="M8" s="32"/>
      <c r="N8" s="32"/>
      <c r="O8" s="32"/>
      <c r="P8" s="30"/>
    </row>
    <row r="9" spans="1:16" s="14" customFormat="1" ht="12.75">
      <c r="A9" s="25"/>
      <c r="C9" s="380"/>
      <c r="D9" s="380"/>
      <c r="E9" s="381"/>
      <c r="F9" s="25"/>
      <c r="H9" s="339" t="s">
        <v>347</v>
      </c>
      <c r="I9" s="339"/>
      <c r="J9" s="339"/>
      <c r="K9" s="358"/>
      <c r="L9" s="159"/>
      <c r="M9" s="159"/>
      <c r="N9" s="66"/>
      <c r="O9" s="66"/>
      <c r="P9" s="99"/>
    </row>
    <row r="10" spans="1:16" s="14" customFormat="1" ht="12.75">
      <c r="A10" s="25"/>
      <c r="C10" s="380"/>
      <c r="D10" s="380"/>
      <c r="E10" s="381"/>
      <c r="F10" s="25"/>
      <c r="H10" s="339" t="s">
        <v>348</v>
      </c>
      <c r="I10" s="339"/>
      <c r="J10" s="339"/>
      <c r="K10" s="358"/>
      <c r="L10" s="159"/>
      <c r="M10" s="159"/>
      <c r="N10" s="66"/>
      <c r="O10" s="66"/>
      <c r="P10" s="99"/>
    </row>
    <row r="11" spans="1:16" s="14" customFormat="1" ht="12.75" customHeight="1">
      <c r="A11" s="25"/>
      <c r="C11" s="380"/>
      <c r="D11" s="380"/>
      <c r="E11" s="381"/>
      <c r="F11" s="25"/>
      <c r="H11" s="338"/>
      <c r="I11" s="338"/>
      <c r="J11" s="338"/>
      <c r="K11" s="361"/>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
        <v>349</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77" t="s">
        <v>356</v>
      </c>
      <c r="B25" s="342"/>
      <c r="C25" s="330" t="s">
        <v>357</v>
      </c>
      <c r="D25" s="113" t="s">
        <v>201</v>
      </c>
      <c r="E25" s="219" t="s">
        <v>272</v>
      </c>
      <c r="F25" s="114" t="s">
        <v>191</v>
      </c>
      <c r="G25" s="115">
        <v>88878.25</v>
      </c>
      <c r="H25" s="116">
        <v>0</v>
      </c>
      <c r="I25" s="117">
        <f>SUM(G25:H25)</f>
        <v>88878.25</v>
      </c>
      <c r="J25" s="118">
        <f>-($J$23*I25)</f>
        <v>0</v>
      </c>
      <c r="K25" s="116"/>
      <c r="L25" s="117">
        <f>SUM(I25:K25)</f>
        <v>88878.25</v>
      </c>
      <c r="M25" s="119">
        <f>-$M$23*L25</f>
        <v>0</v>
      </c>
      <c r="N25" s="121">
        <f>SUM(L25:M25)</f>
        <v>88878.25</v>
      </c>
      <c r="O25" s="141">
        <f>$O$23*N25</f>
        <v>6843.6252500000001</v>
      </c>
      <c r="P25" s="120">
        <f>SUM(N25:O25)</f>
        <v>95721.875249999997</v>
      </c>
      <c r="Q25" s="75"/>
      <c r="R25" s="75"/>
    </row>
    <row r="26" spans="1:18" s="77" customFormat="1" ht="12.75">
      <c r="A26" s="341"/>
      <c r="B26" s="34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c r="B27" s="34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c r="B28" s="34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c r="B29" s="34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88878.25</v>
      </c>
      <c r="H31" s="132">
        <f t="shared" si="0"/>
        <v>0</v>
      </c>
      <c r="I31" s="133">
        <f t="shared" si="0"/>
        <v>88878.25</v>
      </c>
      <c r="J31" s="134">
        <f t="shared" si="0"/>
        <v>0</v>
      </c>
      <c r="K31" s="132">
        <f t="shared" si="0"/>
        <v>0</v>
      </c>
      <c r="L31" s="133">
        <f t="shared" si="0"/>
        <v>88878.25</v>
      </c>
      <c r="M31" s="135">
        <f t="shared" si="0"/>
        <v>0</v>
      </c>
      <c r="N31" s="139">
        <f t="shared" si="0"/>
        <v>88878.25</v>
      </c>
      <c r="O31" s="136">
        <f>SUM(O25:O30)</f>
        <v>6843.6252500000001</v>
      </c>
      <c r="P31" s="137">
        <f>SUM(P25:P30)</f>
        <v>95721.875249999997</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95721.895250000001</v>
      </c>
      <c r="Q33" s="15"/>
      <c r="R33" s="15"/>
    </row>
    <row r="34" spans="1:18" s="144" customFormat="1" ht="18.75" customHeight="1">
      <c r="C34" s="151"/>
      <c r="E34" s="152"/>
      <c r="F34" s="153"/>
      <c r="G34" s="154"/>
      <c r="H34" s="154"/>
      <c r="I34" s="154"/>
      <c r="J34" s="154"/>
      <c r="K34" s="154"/>
      <c r="L34" s="154"/>
      <c r="M34" s="155" t="s">
        <v>247</v>
      </c>
      <c r="N34" s="154"/>
      <c r="O34" s="154"/>
      <c r="P34" s="154">
        <f>L31*(1+$O$23)</f>
        <v>95721.875249999997</v>
      </c>
    </row>
    <row r="35" spans="1:18" ht="10.5" customHeight="1">
      <c r="M35" s="108"/>
    </row>
    <row r="36" spans="1:18" ht="28.5" customHeight="1">
      <c r="A36" s="145" t="s">
        <v>149</v>
      </c>
      <c r="B36" s="349"/>
      <c r="C36" s="350"/>
      <c r="D36" s="350"/>
      <c r="E36" s="350"/>
      <c r="F36" s="350"/>
      <c r="G36" s="350"/>
      <c r="H36" s="350"/>
      <c r="I36" s="350"/>
      <c r="J36" s="350"/>
      <c r="K36" s="350"/>
      <c r="L36" s="350"/>
      <c r="M36" s="350"/>
      <c r="N36" s="350"/>
      <c r="O36" s="350"/>
      <c r="P36" s="35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95721.895250000001</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2" t="s">
        <v>342</v>
      </c>
      <c r="B43" s="353"/>
      <c r="C43" s="35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55" t="s">
        <v>358</v>
      </c>
      <c r="B44" s="356"/>
      <c r="C44" s="35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44607</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40</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40</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12.75">
      <c r="A91" s="331">
        <v>35</v>
      </c>
      <c r="B91" s="265"/>
      <c r="C91" s="279">
        <v>44445</v>
      </c>
      <c r="D91" s="265"/>
      <c r="E91" s="270"/>
      <c r="F91" s="328" t="s">
        <v>27</v>
      </c>
      <c r="G91" s="327" t="s">
        <v>370</v>
      </c>
      <c r="H91" s="310">
        <v>43831</v>
      </c>
      <c r="I91" s="311">
        <v>44196</v>
      </c>
      <c r="J91" s="453" t="s">
        <v>14</v>
      </c>
      <c r="K91" s="441"/>
      <c r="L91" s="415">
        <v>9017.0499999999993</v>
      </c>
      <c r="M91" s="416"/>
      <c r="N91" s="182">
        <v>7.6999999999999999E-2</v>
      </c>
      <c r="O91" s="417">
        <f>IF(L91&lt;&gt;"",L91*(1+N91),"")-0.01</f>
        <v>9711.3528499999993</v>
      </c>
      <c r="P91" s="417"/>
    </row>
    <row r="92" spans="1:16" ht="12.75">
      <c r="A92" s="331">
        <v>36</v>
      </c>
      <c r="B92" s="265"/>
      <c r="C92" s="279">
        <v>44509</v>
      </c>
      <c r="D92" s="265"/>
      <c r="E92" s="270"/>
      <c r="F92" s="328" t="s">
        <v>27</v>
      </c>
      <c r="G92" s="327" t="s">
        <v>371</v>
      </c>
      <c r="H92" s="310">
        <v>44409</v>
      </c>
      <c r="I92" s="311">
        <v>44439</v>
      </c>
      <c r="J92" s="453" t="s">
        <v>135</v>
      </c>
      <c r="K92" s="441"/>
      <c r="L92" s="415">
        <v>87286.75</v>
      </c>
      <c r="M92" s="416"/>
      <c r="N92" s="182">
        <v>7.6999999999999999E-2</v>
      </c>
      <c r="O92" s="417">
        <f>IF(L92&lt;&gt;"",L92*(1+N92),"")+0.02</f>
        <v>94007.849749999994</v>
      </c>
      <c r="P92" s="417"/>
    </row>
    <row r="93" spans="1:16" ht="12.75">
      <c r="A93" s="331">
        <v>37</v>
      </c>
      <c r="B93" s="265"/>
      <c r="C93" s="279">
        <v>44510</v>
      </c>
      <c r="D93" s="265"/>
      <c r="E93" s="270"/>
      <c r="F93" s="328" t="s">
        <v>27</v>
      </c>
      <c r="G93" s="327" t="s">
        <v>372</v>
      </c>
      <c r="H93" s="310">
        <v>44440</v>
      </c>
      <c r="I93" s="311">
        <v>44469</v>
      </c>
      <c r="J93" s="453" t="s">
        <v>135</v>
      </c>
      <c r="K93" s="441"/>
      <c r="L93" s="415">
        <v>74581.25</v>
      </c>
      <c r="M93" s="416"/>
      <c r="N93" s="182">
        <v>7.6999999999999999E-2</v>
      </c>
      <c r="O93" s="417">
        <f>IF(L93&lt;&gt;"",L93*(1+N93),"")-0.01</f>
        <v>80323.996249999997</v>
      </c>
      <c r="P93" s="417"/>
    </row>
    <row r="94" spans="1:16" ht="12.75">
      <c r="A94" s="331">
        <v>38</v>
      </c>
      <c r="B94" s="265"/>
      <c r="C94" s="279">
        <v>44515</v>
      </c>
      <c r="D94" s="265"/>
      <c r="E94" s="270"/>
      <c r="F94" s="328" t="s">
        <v>27</v>
      </c>
      <c r="G94" s="327" t="s">
        <v>373</v>
      </c>
      <c r="H94" s="310">
        <v>44470</v>
      </c>
      <c r="I94" s="311">
        <v>44500</v>
      </c>
      <c r="J94" s="453" t="s">
        <v>135</v>
      </c>
      <c r="K94" s="441"/>
      <c r="L94" s="415">
        <v>77431.75</v>
      </c>
      <c r="M94" s="416"/>
      <c r="N94" s="182">
        <v>7.6999999999999999E-2</v>
      </c>
      <c r="O94" s="417">
        <f>IF(L94&lt;&gt;"",L94*(1+N94),"")+0.01</f>
        <v>83394.004749999993</v>
      </c>
      <c r="P94" s="417"/>
    </row>
    <row r="95" spans="1:16" ht="12.75">
      <c r="A95" s="331">
        <v>39</v>
      </c>
      <c r="B95" s="265"/>
      <c r="C95" s="279">
        <v>44578</v>
      </c>
      <c r="D95" s="265"/>
      <c r="E95" s="270"/>
      <c r="F95" s="328" t="s">
        <v>27</v>
      </c>
      <c r="G95" s="327" t="s">
        <v>374</v>
      </c>
      <c r="H95" s="310">
        <v>44501</v>
      </c>
      <c r="I95" s="311">
        <v>44530</v>
      </c>
      <c r="J95" s="453" t="s">
        <v>135</v>
      </c>
      <c r="K95" s="441"/>
      <c r="L95" s="415">
        <v>105570.75</v>
      </c>
      <c r="M95" s="416"/>
      <c r="N95" s="182">
        <v>7.6999999999999999E-2</v>
      </c>
      <c r="O95" s="417">
        <f>IF(L95&lt;&gt;"",L95*(1+N95),"")</f>
        <v>113699.69774999999</v>
      </c>
      <c r="P95" s="417"/>
    </row>
    <row r="96" spans="1:16" ht="12.75">
      <c r="A96" s="331">
        <v>40</v>
      </c>
      <c r="B96" s="265"/>
      <c r="C96" s="279">
        <v>44607</v>
      </c>
      <c r="D96" s="265"/>
      <c r="E96" s="270"/>
      <c r="F96" s="328" t="s">
        <v>27</v>
      </c>
      <c r="G96" s="327" t="s">
        <v>375</v>
      </c>
      <c r="H96" s="310">
        <v>44531</v>
      </c>
      <c r="I96" s="311">
        <v>44561</v>
      </c>
      <c r="J96" s="453" t="s">
        <v>135</v>
      </c>
      <c r="K96" s="441"/>
      <c r="L96" s="415">
        <v>88878.25</v>
      </c>
      <c r="M96" s="416"/>
      <c r="N96" s="182">
        <v>7.6999999999999999E-2</v>
      </c>
      <c r="O96" s="417">
        <f>IF(L96&lt;&gt;"",L96*(1+N96),"")+0.02</f>
        <v>95721.895250000001</v>
      </c>
      <c r="P96" s="417"/>
    </row>
    <row r="97" spans="1:16" ht="6" customHeight="1">
      <c r="A97" s="81"/>
      <c r="C97" s="277"/>
      <c r="D97" s="465"/>
      <c r="E97" s="466"/>
      <c r="F97" s="467"/>
      <c r="G97" s="468"/>
      <c r="H97" s="274"/>
      <c r="I97" s="241"/>
      <c r="J97" s="262"/>
      <c r="K97" s="263"/>
      <c r="L97" s="242"/>
      <c r="M97" s="243"/>
      <c r="N97" s="183"/>
      <c r="O97" s="242"/>
      <c r="P97" s="260"/>
    </row>
    <row r="98" spans="1:16" ht="12.75" customHeight="1">
      <c r="A98" s="233" t="s">
        <v>181</v>
      </c>
      <c r="B98" s="89"/>
      <c r="C98" s="89"/>
      <c r="D98" s="234"/>
      <c r="E98" s="234"/>
      <c r="F98" s="234"/>
      <c r="G98" s="234"/>
      <c r="H98" s="234"/>
      <c r="I98" s="234"/>
      <c r="J98" s="234"/>
      <c r="K98" s="235"/>
      <c r="L98" s="442">
        <f>-SUMIF(J80:K97,'Dropdowns DL'!B5,L80:M97)+L99</f>
        <v>3176460.2499999995</v>
      </c>
      <c r="M98" s="443"/>
      <c r="N98" s="185"/>
      <c r="O98" s="442">
        <f>-SUMIF(J80:K97,'Dropdowns DL'!B5,O80:P97)+O99</f>
        <v>3421047.6792499991</v>
      </c>
      <c r="P98" s="442"/>
    </row>
    <row r="99" spans="1:16" s="42" customFormat="1" ht="12.75">
      <c r="A99" s="26" t="s">
        <v>182</v>
      </c>
      <c r="B99" s="63"/>
      <c r="C99" s="63"/>
      <c r="D99" s="236"/>
      <c r="E99" s="236"/>
      <c r="F99" s="236"/>
      <c r="G99" s="236"/>
      <c r="H99" s="236"/>
      <c r="I99" s="236"/>
      <c r="J99" s="236"/>
      <c r="K99" s="237"/>
      <c r="L99" s="469">
        <f>SUM(L80:M97)</f>
        <v>3188366.6999999997</v>
      </c>
      <c r="M99" s="470"/>
      <c r="N99" s="186"/>
      <c r="O99" s="469">
        <f>SUM(O80:P97)</f>
        <v>3433870.935899999</v>
      </c>
      <c r="P99" s="471"/>
    </row>
    <row r="100" spans="1:16" ht="6" customHeight="1">
      <c r="A100" s="85"/>
      <c r="D100" s="86"/>
      <c r="E100" s="86"/>
      <c r="F100" s="86"/>
      <c r="G100" s="86"/>
      <c r="H100" s="86"/>
      <c r="I100" s="86"/>
      <c r="J100" s="86"/>
      <c r="K100" s="64"/>
      <c r="L100" s="244"/>
      <c r="M100" s="245"/>
      <c r="N100" s="187"/>
      <c r="O100" s="244"/>
      <c r="P100" s="261"/>
    </row>
    <row r="101" spans="1:16" ht="12.75" customHeight="1">
      <c r="A101" s="88" t="s">
        <v>214</v>
      </c>
      <c r="D101" s="267"/>
      <c r="J101" s="42" t="s">
        <v>192</v>
      </c>
      <c r="K101" s="17"/>
      <c r="L101" s="469">
        <f>SUMIF(J80:K97,'Dropdowns DL'!B4,L80:M97)</f>
        <v>3176460.25</v>
      </c>
      <c r="M101" s="470"/>
      <c r="N101" s="183"/>
      <c r="O101" s="469">
        <f>SUMIF(J80:K97,'Dropdowns DL'!B4,O80:P97)</f>
        <v>3421047.6792499986</v>
      </c>
      <c r="P101" s="471"/>
    </row>
    <row r="102" spans="1:16" ht="12.75">
      <c r="A102" s="44"/>
      <c r="J102" s="42" t="s">
        <v>278</v>
      </c>
      <c r="K102" s="17"/>
      <c r="L102" s="469">
        <f>SUMIF(J80:K97,'Dropdowns DL'!B6,L80:M97)</f>
        <v>0</v>
      </c>
      <c r="M102" s="470"/>
      <c r="N102" s="183"/>
      <c r="O102" s="469">
        <f>SUMIF(J80:K97,'Dropdowns DL'!B6,O80:P97)</f>
        <v>0</v>
      </c>
      <c r="P102" s="471"/>
    </row>
    <row r="103" spans="1:16" ht="12.75">
      <c r="A103" s="44"/>
      <c r="J103" s="42" t="s">
        <v>193</v>
      </c>
      <c r="K103" s="17"/>
      <c r="L103" s="469">
        <f>SUMIF(J80:K97,'Dropdowns DL'!B5,L80:M97)</f>
        <v>11906.449999999999</v>
      </c>
      <c r="M103" s="470"/>
      <c r="N103" s="183"/>
      <c r="O103" s="469">
        <f>SUMIF(J80:K97,'Dropdowns DL'!B5,O80:P97)</f>
        <v>12823.256649999999</v>
      </c>
      <c r="P103" s="471"/>
    </row>
    <row r="104" spans="1:16" ht="12.75" hidden="1">
      <c r="A104" s="44"/>
      <c r="J104" s="42" t="s">
        <v>194</v>
      </c>
      <c r="K104" s="17"/>
      <c r="L104" s="469">
        <f>SUMIF(J80:K97,'Dropdowns Bau'!B5,L80:M97)</f>
        <v>0</v>
      </c>
      <c r="M104" s="470"/>
      <c r="N104" s="183"/>
      <c r="O104" s="469">
        <f>SUMIF(J80:K97,'Dropdowns Bau'!B5,O80:P97)</f>
        <v>0</v>
      </c>
      <c r="P104" s="471"/>
    </row>
    <row r="105" spans="1:16" ht="6" customHeight="1">
      <c r="A105" s="81"/>
      <c r="B105" s="87"/>
      <c r="C105" s="87"/>
      <c r="D105" s="87"/>
      <c r="E105" s="87"/>
      <c r="F105" s="87"/>
      <c r="G105" s="87"/>
      <c r="H105" s="87"/>
      <c r="I105" s="87"/>
      <c r="J105" s="87"/>
      <c r="K105" s="82"/>
      <c r="L105" s="510"/>
      <c r="M105" s="511"/>
      <c r="N105" s="188"/>
      <c r="O105" s="512"/>
      <c r="P105" s="512"/>
    </row>
    <row r="106" spans="1:16" ht="6" customHeight="1"/>
    <row r="107" spans="1:16" ht="4.5" customHeight="1"/>
    <row r="108" spans="1:16" ht="15">
      <c r="A108" s="167" t="s">
        <v>183</v>
      </c>
      <c r="B108" s="156"/>
      <c r="C108" s="156"/>
      <c r="D108" s="156"/>
      <c r="E108" s="156"/>
      <c r="F108" s="156"/>
      <c r="G108" s="156"/>
      <c r="H108" s="157"/>
      <c r="I108" s="484" t="s">
        <v>210</v>
      </c>
      <c r="J108" s="484"/>
      <c r="K108" s="484"/>
      <c r="L108" s="484"/>
      <c r="M108" s="484"/>
      <c r="N108" s="484"/>
      <c r="O108" s="484"/>
      <c r="P108" s="484"/>
    </row>
    <row r="109" spans="1:16" s="23" customFormat="1" ht="7.5" customHeight="1">
      <c r="A109" s="95"/>
      <c r="B109" s="95"/>
      <c r="C109" s="95"/>
      <c r="D109" s="95"/>
      <c r="E109" s="95"/>
      <c r="F109" s="95"/>
      <c r="G109" s="95"/>
      <c r="H109" s="95"/>
      <c r="I109" s="96"/>
      <c r="J109" s="95"/>
      <c r="K109" s="95"/>
      <c r="L109" s="95"/>
      <c r="M109" s="95"/>
    </row>
    <row r="110" spans="1:16" ht="12" customHeight="1">
      <c r="A110" s="90"/>
      <c r="B110" s="89"/>
      <c r="C110" s="89"/>
      <c r="D110" s="485" t="s">
        <v>208</v>
      </c>
      <c r="E110" s="486"/>
      <c r="F110" s="487" t="s">
        <v>209</v>
      </c>
      <c r="G110" s="488"/>
      <c r="H110" s="23"/>
      <c r="I110" s="489" t="s">
        <v>253</v>
      </c>
      <c r="J110" s="490"/>
      <c r="K110" s="495" t="s">
        <v>277</v>
      </c>
      <c r="L110" s="496"/>
      <c r="M110" s="496"/>
      <c r="N110" s="496"/>
      <c r="O110" s="496"/>
      <c r="P110" s="497"/>
    </row>
    <row r="111" spans="1:16" ht="12.75">
      <c r="A111" s="333" t="s">
        <v>215</v>
      </c>
      <c r="B111" s="334"/>
      <c r="C111" s="472"/>
      <c r="D111" s="454">
        <f>L73</f>
        <v>3923054.1</v>
      </c>
      <c r="E111" s="455"/>
      <c r="F111" s="456">
        <f>O73</f>
        <v>4225129.3</v>
      </c>
      <c r="G111" s="457"/>
      <c r="H111" s="91"/>
      <c r="I111" s="491"/>
      <c r="J111" s="492"/>
      <c r="K111" s="498"/>
      <c r="L111" s="499"/>
      <c r="M111" s="499"/>
      <c r="N111" s="499"/>
      <c r="O111" s="499"/>
      <c r="P111" s="500"/>
    </row>
    <row r="112" spans="1:16" ht="12.75">
      <c r="A112" s="458" t="s">
        <v>181</v>
      </c>
      <c r="B112" s="459"/>
      <c r="C112" s="460"/>
      <c r="D112" s="461">
        <f>L98</f>
        <v>3176460.2499999995</v>
      </c>
      <c r="E112" s="462"/>
      <c r="F112" s="463">
        <f>O98</f>
        <v>3421047.6792499991</v>
      </c>
      <c r="G112" s="464"/>
      <c r="H112" s="91"/>
      <c r="I112" s="491"/>
      <c r="J112" s="492"/>
      <c r="K112" s="498"/>
      <c r="L112" s="499"/>
      <c r="M112" s="499"/>
      <c r="N112" s="499"/>
      <c r="O112" s="499"/>
      <c r="P112" s="500"/>
    </row>
    <row r="113" spans="1:16" ht="12" customHeight="1">
      <c r="A113" s="333" t="s">
        <v>178</v>
      </c>
      <c r="B113" s="334"/>
      <c r="C113" s="472"/>
      <c r="D113" s="476">
        <f>D111-D112</f>
        <v>746593.85000000056</v>
      </c>
      <c r="E113" s="477"/>
      <c r="F113" s="480">
        <f>F111-F112</f>
        <v>804081.6207500007</v>
      </c>
      <c r="G113" s="481"/>
      <c r="H113" s="92"/>
      <c r="I113" s="491"/>
      <c r="J113" s="492"/>
      <c r="K113" s="498"/>
      <c r="L113" s="499"/>
      <c r="M113" s="499"/>
      <c r="N113" s="499"/>
      <c r="O113" s="499"/>
      <c r="P113" s="500"/>
    </row>
    <row r="114" spans="1:16" ht="12" customHeight="1">
      <c r="A114" s="473"/>
      <c r="B114" s="474"/>
      <c r="C114" s="475"/>
      <c r="D114" s="478"/>
      <c r="E114" s="479"/>
      <c r="F114" s="482"/>
      <c r="G114" s="483"/>
      <c r="H114" s="92"/>
      <c r="I114" s="491"/>
      <c r="J114" s="492"/>
      <c r="K114" s="498"/>
      <c r="L114" s="499"/>
      <c r="M114" s="499"/>
      <c r="N114" s="499"/>
      <c r="O114" s="499"/>
      <c r="P114" s="500"/>
    </row>
    <row r="115" spans="1:16" ht="12.75">
      <c r="A115" s="504" t="s">
        <v>177</v>
      </c>
      <c r="B115" s="505"/>
      <c r="C115" s="506"/>
      <c r="D115" s="507">
        <f>IF(D112&lt;&gt;0,D112/D111,0)</f>
        <v>0.80969065657289796</v>
      </c>
      <c r="E115" s="508"/>
      <c r="F115" s="507">
        <f>IF(D112&lt;&gt;0,F112/F111,0)</f>
        <v>0.80969064763296106</v>
      </c>
      <c r="G115" s="509"/>
      <c r="H115" s="93"/>
      <c r="I115" s="493"/>
      <c r="J115" s="494"/>
      <c r="K115" s="501"/>
      <c r="L115" s="502"/>
      <c r="M115" s="502"/>
      <c r="N115" s="502"/>
      <c r="O115" s="502"/>
      <c r="P115" s="503"/>
    </row>
  </sheetData>
  <mergeCells count="181">
    <mergeCell ref="L91:M91"/>
    <mergeCell ref="O91:P91"/>
    <mergeCell ref="L104:M104"/>
    <mergeCell ref="O104:P104"/>
    <mergeCell ref="L105:M105"/>
    <mergeCell ref="O105:P105"/>
    <mergeCell ref="J93:K93"/>
    <mergeCell ref="L93:M93"/>
    <mergeCell ref="O93:P93"/>
    <mergeCell ref="J94:K94"/>
    <mergeCell ref="L94:M94"/>
    <mergeCell ref="O94:P94"/>
    <mergeCell ref="J95:K95"/>
    <mergeCell ref="L95:M95"/>
    <mergeCell ref="O95:P95"/>
    <mergeCell ref="A113:C114"/>
    <mergeCell ref="D113:E114"/>
    <mergeCell ref="F113:G114"/>
    <mergeCell ref="I108:P108"/>
    <mergeCell ref="D110:E110"/>
    <mergeCell ref="F110:G110"/>
    <mergeCell ref="I110:J115"/>
    <mergeCell ref="K110:P115"/>
    <mergeCell ref="L101:M101"/>
    <mergeCell ref="O101:P101"/>
    <mergeCell ref="L102:M102"/>
    <mergeCell ref="O102:P102"/>
    <mergeCell ref="L103:M103"/>
    <mergeCell ref="O103:P103"/>
    <mergeCell ref="A115:C115"/>
    <mergeCell ref="D115:E115"/>
    <mergeCell ref="F115:G115"/>
    <mergeCell ref="A111:C111"/>
    <mergeCell ref="D111:E111"/>
    <mergeCell ref="F111:G111"/>
    <mergeCell ref="A112:C112"/>
    <mergeCell ref="D112:E112"/>
    <mergeCell ref="F112:G112"/>
    <mergeCell ref="J89:K89"/>
    <mergeCell ref="L89:M89"/>
    <mergeCell ref="O89:P89"/>
    <mergeCell ref="J96:K96"/>
    <mergeCell ref="L96:M96"/>
    <mergeCell ref="O96:P96"/>
    <mergeCell ref="J90:K90"/>
    <mergeCell ref="L90:M90"/>
    <mergeCell ref="O90:P90"/>
    <mergeCell ref="D97:E97"/>
    <mergeCell ref="F97:G97"/>
    <mergeCell ref="L98:M98"/>
    <mergeCell ref="O98:P98"/>
    <mergeCell ref="L99:M99"/>
    <mergeCell ref="O99:P99"/>
    <mergeCell ref="J92:K92"/>
    <mergeCell ref="L92:M92"/>
    <mergeCell ref="O92:P92"/>
    <mergeCell ref="J91:K91"/>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5:G115">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7:K97">
      <formula1>Rechnungsart</formula1>
    </dataValidation>
    <dataValidation type="list" allowBlank="1" showInputMessage="1" showErrorMessage="1" sqref="H97:I97 F80:F96">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6">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1"/>
      <c r="I1" s="351"/>
      <c r="J1" s="149"/>
      <c r="K1" s="189"/>
      <c r="L1" s="166" t="s">
        <v>154</v>
      </c>
      <c r="M1" s="190"/>
      <c r="N1" s="105"/>
      <c r="O1" s="148"/>
      <c r="P1" s="150"/>
    </row>
    <row r="2" spans="1:16" s="14" customFormat="1" ht="12.75">
      <c r="A2" s="16" t="s">
        <v>12</v>
      </c>
      <c r="C2" s="363" t="str">
        <f>'RDB Dienstleistungen'!C2:E2</f>
        <v>EP RHE FRI</v>
      </c>
      <c r="D2" s="363"/>
      <c r="E2" s="364"/>
      <c r="F2" s="16" t="s">
        <v>327</v>
      </c>
      <c r="H2" s="382"/>
      <c r="I2" s="382"/>
      <c r="J2" s="67" t="s">
        <v>195</v>
      </c>
      <c r="K2" s="193"/>
      <c r="L2" s="16" t="s">
        <v>13</v>
      </c>
      <c r="N2" s="159"/>
      <c r="P2" s="18"/>
    </row>
    <row r="3" spans="1:16" s="14" customFormat="1" ht="12.75">
      <c r="A3" s="16" t="s">
        <v>158</v>
      </c>
      <c r="C3" s="383" t="str">
        <f>'RDB Dienstleistungen'!C3:E3</f>
        <v>N3 EP Rheinfelden - Frick und Einzelmassnahmen</v>
      </c>
      <c r="D3" s="383"/>
      <c r="E3" s="384"/>
      <c r="F3" s="16" t="s">
        <v>159</v>
      </c>
      <c r="H3" s="339"/>
      <c r="I3" s="339"/>
      <c r="J3" s="339"/>
      <c r="K3" s="358"/>
      <c r="L3" s="16" t="s">
        <v>166</v>
      </c>
      <c r="N3" s="194"/>
      <c r="O3" s="194"/>
      <c r="P3" s="94"/>
    </row>
    <row r="4" spans="1:16" s="14" customFormat="1" ht="12.75">
      <c r="A4" s="16" t="s">
        <v>184</v>
      </c>
      <c r="C4" s="383" t="str">
        <f>'RDB Dienstleistungen'!C4:E4</f>
        <v>FUP.2</v>
      </c>
      <c r="D4" s="383"/>
      <c r="E4" s="384"/>
      <c r="F4" s="20" t="s">
        <v>165</v>
      </c>
      <c r="H4" s="339" t="str">
        <f>'RDB Dienstleistungen'!H4:J4</f>
        <v>Christian Fuchs</v>
      </c>
      <c r="I4" s="339"/>
      <c r="J4" s="339"/>
      <c r="K4" s="17"/>
      <c r="L4" s="16" t="s">
        <v>175</v>
      </c>
      <c r="N4" s="159"/>
      <c r="O4" s="19" t="s">
        <v>5</v>
      </c>
      <c r="P4" s="161"/>
    </row>
    <row r="5" spans="1:16" s="14" customFormat="1" ht="12.75">
      <c r="A5" s="25"/>
      <c r="C5" s="191"/>
      <c r="D5" s="169"/>
      <c r="E5" s="169"/>
      <c r="F5" s="25"/>
      <c r="G5" s="15" t="s">
        <v>169</v>
      </c>
      <c r="H5" s="339" t="str">
        <f>'RDB Dienstleistungen'!H5:J5</f>
        <v>061 365 22 22</v>
      </c>
      <c r="I5" s="339"/>
      <c r="J5" s="339"/>
      <c r="K5" s="17"/>
      <c r="L5" s="20" t="s">
        <v>25</v>
      </c>
      <c r="N5" s="160"/>
      <c r="O5" s="80" t="s">
        <v>179</v>
      </c>
      <c r="P5" s="162"/>
    </row>
    <row r="6" spans="1:16" s="14" customFormat="1" ht="12.75">
      <c r="A6" s="16" t="s">
        <v>7</v>
      </c>
      <c r="C6" s="339" t="str">
        <f>'RDB Dienstleistungen'!C6:E6</f>
        <v>Nicole Schulz</v>
      </c>
      <c r="D6" s="339"/>
      <c r="E6" s="358"/>
      <c r="F6" s="25"/>
      <c r="G6" s="15" t="s">
        <v>161</v>
      </c>
      <c r="H6" s="387" t="str">
        <f>'RDB Dienstleistungen'!H6:J6</f>
        <v>c.fuchs@aebo.ch</v>
      </c>
      <c r="I6" s="387"/>
      <c r="J6" s="387"/>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8" t="s">
        <v>142</v>
      </c>
      <c r="D8" s="378"/>
      <c r="E8" s="379"/>
      <c r="F8" s="21" t="s">
        <v>162</v>
      </c>
      <c r="G8" s="29"/>
      <c r="H8" s="359" t="str">
        <f>'RDB Dienstleistungen'!H8:K8</f>
        <v>INGE EP RF BB, c/o Aegerter &amp; Bosshardt AG</v>
      </c>
      <c r="I8" s="359"/>
      <c r="J8" s="359"/>
      <c r="K8" s="360"/>
      <c r="L8" s="31" t="s">
        <v>188</v>
      </c>
      <c r="M8" s="32"/>
      <c r="N8" s="32"/>
      <c r="O8" s="32"/>
      <c r="P8" s="30"/>
    </row>
    <row r="9" spans="1:16" s="14" customFormat="1" ht="12.75">
      <c r="A9" s="25"/>
      <c r="C9" s="380"/>
      <c r="D9" s="380"/>
      <c r="E9" s="381"/>
      <c r="F9" s="25"/>
      <c r="H9" s="339" t="str">
        <f>'RDB Dienstleistungen'!H9:K9</f>
        <v>Hochstrasse 48</v>
      </c>
      <c r="I9" s="339"/>
      <c r="J9" s="339"/>
      <c r="K9" s="358"/>
      <c r="L9" s="159"/>
      <c r="M9" s="159"/>
      <c r="N9" s="66"/>
      <c r="O9" s="66"/>
      <c r="P9" s="99"/>
    </row>
    <row r="10" spans="1:16" s="14" customFormat="1" ht="12.75">
      <c r="A10" s="25"/>
      <c r="C10" s="380"/>
      <c r="D10" s="380"/>
      <c r="E10" s="381"/>
      <c r="F10" s="25"/>
      <c r="H10" s="339" t="str">
        <f>'RDB Dienstleistungen'!H10:K10</f>
        <v>4002 Basel</v>
      </c>
      <c r="I10" s="339"/>
      <c r="J10" s="339"/>
      <c r="K10" s="358"/>
      <c r="L10" s="159"/>
      <c r="M10" s="159"/>
      <c r="N10" s="66"/>
      <c r="O10" s="66"/>
      <c r="P10" s="99"/>
    </row>
    <row r="11" spans="1:16" s="14" customFormat="1" ht="12.75" customHeight="1">
      <c r="A11" s="25"/>
      <c r="C11" s="380"/>
      <c r="D11" s="380"/>
      <c r="E11" s="381"/>
      <c r="F11" s="25"/>
      <c r="H11" s="339">
        <f>'RDB Dienstleistungen'!H11:K11</f>
        <v>0</v>
      </c>
      <c r="I11" s="339"/>
      <c r="J11" s="339"/>
      <c r="K11" s="358"/>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tr">
        <f>'RDB Dienstleistungen'!H13:J13</f>
        <v>CHE-164.869.840 MWST</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41" t="str">
        <f>'RDB Dienstleistungen'!A25:B25</f>
        <v>19.03.48.311.01</v>
      </c>
      <c r="B25" s="34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1">
        <f>'RDB Dienstleistungen'!A26:B26</f>
        <v>0</v>
      </c>
      <c r="B26" s="34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f>'RDB Dienstleistungen'!A27:B27</f>
        <v>0</v>
      </c>
      <c r="B27" s="34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f>'RDB Dienstleistungen'!A28:B28</f>
        <v>0</v>
      </c>
      <c r="B28" s="34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f>'RDB Dienstleistungen'!A29:B29</f>
        <v>0</v>
      </c>
      <c r="B29" s="34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49" t="s">
        <v>334</v>
      </c>
      <c r="C36" s="350"/>
      <c r="D36" s="350"/>
      <c r="E36" s="350"/>
      <c r="F36" s="350"/>
      <c r="G36" s="350"/>
      <c r="H36" s="350"/>
      <c r="I36" s="350"/>
      <c r="J36" s="350"/>
      <c r="K36" s="350"/>
      <c r="L36" s="350"/>
      <c r="M36" s="350"/>
      <c r="N36" s="350"/>
      <c r="O36" s="350"/>
      <c r="P36" s="350"/>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3" t="s">
        <v>250</v>
      </c>
      <c r="D2" s="363"/>
      <c r="E2" s="364"/>
      <c r="F2" s="16" t="s">
        <v>327</v>
      </c>
      <c r="H2" s="382">
        <v>43101</v>
      </c>
      <c r="I2" s="382"/>
      <c r="J2" s="67" t="s">
        <v>195</v>
      </c>
      <c r="K2" s="193">
        <v>43830</v>
      </c>
      <c r="L2" s="16" t="s">
        <v>13</v>
      </c>
      <c r="N2" s="159">
        <v>43196</v>
      </c>
      <c r="P2" s="18"/>
    </row>
    <row r="3" spans="1:16" s="14" customFormat="1" ht="15.75">
      <c r="A3" s="16" t="s">
        <v>158</v>
      </c>
      <c r="C3" s="521" t="s">
        <v>218</v>
      </c>
      <c r="D3" s="521"/>
      <c r="E3" s="522"/>
      <c r="F3" s="16" t="s">
        <v>159</v>
      </c>
      <c r="H3" s="339" t="s">
        <v>219</v>
      </c>
      <c r="I3" s="339"/>
      <c r="J3" s="339"/>
      <c r="K3" s="17"/>
      <c r="L3" s="16" t="s">
        <v>166</v>
      </c>
      <c r="N3" s="194" t="s">
        <v>255</v>
      </c>
      <c r="O3" s="194"/>
      <c r="P3" s="94"/>
    </row>
    <row r="4" spans="1:16" s="14" customFormat="1" ht="12.75">
      <c r="A4" s="16" t="s">
        <v>184</v>
      </c>
      <c r="C4" s="383" t="s">
        <v>251</v>
      </c>
      <c r="D4" s="383"/>
      <c r="E4" s="384"/>
      <c r="F4" s="20" t="s">
        <v>165</v>
      </c>
      <c r="H4" s="339" t="s">
        <v>220</v>
      </c>
      <c r="I4" s="339"/>
      <c r="J4" s="339"/>
      <c r="K4" s="17"/>
      <c r="L4" s="16" t="s">
        <v>175</v>
      </c>
      <c r="N4" s="159">
        <v>43132</v>
      </c>
      <c r="O4" s="19" t="s">
        <v>5</v>
      </c>
      <c r="P4" s="161">
        <v>43190</v>
      </c>
    </row>
    <row r="5" spans="1:16" s="14" customFormat="1" ht="12.75">
      <c r="A5" s="25"/>
      <c r="C5" s="191"/>
      <c r="D5" s="169"/>
      <c r="E5" s="169"/>
      <c r="F5" s="25"/>
      <c r="G5" s="15" t="s">
        <v>169</v>
      </c>
      <c r="H5" s="339" t="s">
        <v>221</v>
      </c>
      <c r="I5" s="339"/>
      <c r="J5" s="339"/>
      <c r="K5" s="17"/>
      <c r="L5" s="20" t="s">
        <v>25</v>
      </c>
      <c r="N5" s="160" t="s">
        <v>27</v>
      </c>
      <c r="O5" s="80" t="s">
        <v>179</v>
      </c>
      <c r="P5" s="162" t="s">
        <v>259</v>
      </c>
    </row>
    <row r="6" spans="1:16" s="14" customFormat="1" ht="12.75">
      <c r="A6" s="16" t="s">
        <v>7</v>
      </c>
      <c r="C6" s="339" t="s">
        <v>221</v>
      </c>
      <c r="D6" s="339"/>
      <c r="E6" s="358"/>
      <c r="F6" s="25"/>
      <c r="G6" s="15" t="s">
        <v>161</v>
      </c>
      <c r="H6" s="387" t="s">
        <v>222</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8" t="s">
        <v>142</v>
      </c>
      <c r="D8" s="378"/>
      <c r="E8" s="379"/>
      <c r="F8" s="21" t="s">
        <v>162</v>
      </c>
      <c r="G8" s="29"/>
      <c r="H8" s="359" t="s">
        <v>274</v>
      </c>
      <c r="I8" s="359"/>
      <c r="J8" s="359"/>
      <c r="K8" s="30"/>
      <c r="L8" s="31" t="s">
        <v>188</v>
      </c>
      <c r="M8" s="32"/>
      <c r="N8" s="32"/>
      <c r="O8" s="32"/>
      <c r="P8" s="30"/>
    </row>
    <row r="9" spans="1:16" s="14" customFormat="1" ht="12.75">
      <c r="A9" s="25"/>
      <c r="C9" s="380"/>
      <c r="D9" s="380"/>
      <c r="E9" s="381"/>
      <c r="F9" s="25"/>
      <c r="H9" s="339" t="s">
        <v>223</v>
      </c>
      <c r="I9" s="339"/>
      <c r="J9" s="339"/>
      <c r="K9" s="18"/>
      <c r="L9" s="315"/>
      <c r="M9" s="316"/>
      <c r="N9" s="66"/>
      <c r="O9" s="66"/>
      <c r="P9" s="99"/>
    </row>
    <row r="10" spans="1:16" s="14" customFormat="1" ht="12.75">
      <c r="A10" s="25"/>
      <c r="C10" s="380"/>
      <c r="D10" s="380"/>
      <c r="E10" s="381"/>
      <c r="F10" s="25"/>
      <c r="H10" s="339" t="s">
        <v>224</v>
      </c>
      <c r="I10" s="339"/>
      <c r="J10" s="339"/>
      <c r="K10" s="18"/>
      <c r="L10" s="317"/>
      <c r="M10" s="316"/>
      <c r="N10" s="66"/>
      <c r="O10" s="66"/>
      <c r="P10" s="99"/>
    </row>
    <row r="11" spans="1:16" s="14" customFormat="1" ht="12.75">
      <c r="A11" s="25"/>
      <c r="C11" s="380"/>
      <c r="D11" s="380"/>
      <c r="E11" s="381"/>
      <c r="F11" s="25"/>
      <c r="H11" s="339" t="s">
        <v>225</v>
      </c>
      <c r="I11" s="339"/>
      <c r="J11" s="339"/>
      <c r="K11" s="18"/>
      <c r="L11" s="315"/>
      <c r="M11" s="318">
        <v>43200</v>
      </c>
      <c r="N11" s="66"/>
      <c r="O11" s="164">
        <v>43208</v>
      </c>
      <c r="P11" s="99"/>
    </row>
    <row r="12" spans="1:16" s="14" customFormat="1" ht="12.75">
      <c r="A12" s="25"/>
      <c r="C12" s="380"/>
      <c r="D12" s="380"/>
      <c r="E12" s="381"/>
      <c r="F12" s="25"/>
      <c r="H12" s="169"/>
      <c r="I12" s="169"/>
      <c r="J12" s="169"/>
      <c r="K12" s="18"/>
      <c r="L12" s="315"/>
      <c r="M12" s="318"/>
      <c r="N12" s="66"/>
      <c r="O12" s="164"/>
      <c r="P12" s="99"/>
    </row>
    <row r="13" spans="1:16" s="14" customFormat="1" ht="12.75">
      <c r="A13" s="25"/>
      <c r="C13" s="380"/>
      <c r="D13" s="380"/>
      <c r="E13" s="381"/>
      <c r="F13" s="16" t="s">
        <v>206</v>
      </c>
      <c r="H13" s="339" t="s">
        <v>261</v>
      </c>
      <c r="I13" s="339"/>
      <c r="J13" s="339"/>
      <c r="K13" s="18"/>
      <c r="L13" s="315"/>
      <c r="M13" s="316"/>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2319638.4593336</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9"/>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65"/>
      <c r="E95" s="466"/>
      <c r="F95" s="467"/>
      <c r="G95" s="468"/>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69">
        <f>SUM(L80:M95)</f>
        <v>3719438.7368000001</v>
      </c>
      <c r="M97" s="470"/>
      <c r="N97" s="186"/>
      <c r="O97" s="469">
        <f>SUM(O80:P95)</f>
        <v>4005835.5195335997</v>
      </c>
      <c r="P97" s="471"/>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69">
        <f>SUMIF(J80:K95,'Dropdowns DL'!B4,L80:M95)</f>
        <v>3699438.7368000001</v>
      </c>
      <c r="M99" s="470"/>
      <c r="N99" s="183"/>
      <c r="O99" s="469">
        <f>SUMIF(J80:K95,'Dropdowns DL'!B4,O80:P95)</f>
        <v>3984295.5195335997</v>
      </c>
      <c r="P99" s="471"/>
    </row>
    <row r="100" spans="1:16" ht="12.75">
      <c r="A100" s="44"/>
      <c r="J100" s="42" t="s">
        <v>278</v>
      </c>
      <c r="K100" s="17"/>
      <c r="L100" s="469">
        <f>SUMIF(J80:K95,'Dropdowns DL'!B6,L80:M95)</f>
        <v>20000</v>
      </c>
      <c r="M100" s="470"/>
      <c r="N100" s="183"/>
      <c r="O100" s="469">
        <f>SUMIF(J80:K95,'Dropdowns DL'!B6,O80:P95)</f>
        <v>21540</v>
      </c>
      <c r="P100" s="471"/>
    </row>
    <row r="101" spans="1:16" ht="12.75">
      <c r="A101" s="44"/>
      <c r="J101" s="42" t="s">
        <v>193</v>
      </c>
      <c r="K101" s="17"/>
      <c r="L101" s="469">
        <f>SUMIF(J80:K95,'Dropdowns DL'!B5,L80:M95)</f>
        <v>10000</v>
      </c>
      <c r="M101" s="470"/>
      <c r="N101" s="183"/>
      <c r="O101" s="469">
        <f>SUMIF(J80:K95,'Dropdowns DL'!B5,O80:P95)</f>
        <v>10770</v>
      </c>
      <c r="P101" s="471"/>
    </row>
    <row r="102" spans="1:16" ht="12.75" hidden="1">
      <c r="A102" s="44"/>
      <c r="J102" s="42" t="s">
        <v>194</v>
      </c>
      <c r="K102" s="17"/>
      <c r="L102" s="469">
        <f>SUMIF(J80:K95,'Dropdowns Bau'!B5,L80:M95)</f>
        <v>0</v>
      </c>
      <c r="M102" s="470"/>
      <c r="N102" s="183"/>
      <c r="O102" s="469">
        <f>SUMIF(J80:K95,'Dropdowns Bau'!B5,O80:P95)</f>
        <v>0</v>
      </c>
      <c r="P102" s="471"/>
    </row>
    <row r="103" spans="1:16" ht="6" customHeight="1">
      <c r="A103" s="81"/>
      <c r="B103" s="87"/>
      <c r="C103" s="87"/>
      <c r="D103" s="87"/>
      <c r="E103" s="87"/>
      <c r="F103" s="87"/>
      <c r="G103" s="87"/>
      <c r="H103" s="87"/>
      <c r="I103" s="87"/>
      <c r="J103" s="87"/>
      <c r="K103" s="82"/>
      <c r="L103" s="510"/>
      <c r="M103" s="511"/>
      <c r="N103" s="188"/>
      <c r="O103" s="512"/>
      <c r="P103" s="512"/>
    </row>
    <row r="104" spans="1:16" ht="6" customHeight="1"/>
    <row r="106" spans="1:16" ht="15">
      <c r="A106" s="167" t="s">
        <v>183</v>
      </c>
      <c r="B106" s="156"/>
      <c r="C106" s="156"/>
      <c r="D106" s="156"/>
      <c r="E106" s="156"/>
      <c r="F106" s="156"/>
      <c r="G106" s="156"/>
      <c r="H106" s="157"/>
      <c r="I106" s="484" t="s">
        <v>210</v>
      </c>
      <c r="J106" s="484"/>
      <c r="K106" s="484"/>
      <c r="L106" s="484"/>
      <c r="M106" s="484"/>
      <c r="N106" s="484"/>
      <c r="O106" s="484"/>
      <c r="P106" s="484"/>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85" t="s">
        <v>208</v>
      </c>
      <c r="E108" s="486"/>
      <c r="F108" s="487" t="s">
        <v>209</v>
      </c>
      <c r="G108" s="488"/>
      <c r="H108" s="23"/>
      <c r="I108" s="489" t="s">
        <v>253</v>
      </c>
      <c r="J108" s="490"/>
      <c r="K108" s="495" t="s">
        <v>277</v>
      </c>
      <c r="L108" s="496"/>
      <c r="M108" s="496"/>
      <c r="N108" s="496"/>
      <c r="O108" s="496"/>
      <c r="P108" s="497"/>
    </row>
    <row r="109" spans="1:16" ht="12.75">
      <c r="A109" s="333" t="s">
        <v>215</v>
      </c>
      <c r="B109" s="334"/>
      <c r="C109" s="472"/>
      <c r="D109" s="454">
        <f>L73</f>
        <v>5350000</v>
      </c>
      <c r="E109" s="455"/>
      <c r="F109" s="456">
        <f>O73</f>
        <v>5761950</v>
      </c>
      <c r="G109" s="457"/>
      <c r="H109" s="91"/>
      <c r="I109" s="491"/>
      <c r="J109" s="492"/>
      <c r="K109" s="498"/>
      <c r="L109" s="499"/>
      <c r="M109" s="499"/>
      <c r="N109" s="499"/>
      <c r="O109" s="499"/>
      <c r="P109" s="500"/>
    </row>
    <row r="110" spans="1:16" ht="12.75">
      <c r="A110" s="458" t="s">
        <v>181</v>
      </c>
      <c r="B110" s="459"/>
      <c r="C110" s="460"/>
      <c r="D110" s="461">
        <f>L96</f>
        <v>3719438.7368000001</v>
      </c>
      <c r="E110" s="462"/>
      <c r="F110" s="463">
        <f>O96</f>
        <v>4005835.5195335997</v>
      </c>
      <c r="G110" s="464"/>
      <c r="H110" s="91"/>
      <c r="I110" s="491"/>
      <c r="J110" s="492"/>
      <c r="K110" s="498"/>
      <c r="L110" s="499"/>
      <c r="M110" s="499"/>
      <c r="N110" s="499"/>
      <c r="O110" s="499"/>
      <c r="P110" s="500"/>
    </row>
    <row r="111" spans="1:16" ht="12" customHeight="1">
      <c r="A111" s="333" t="s">
        <v>178</v>
      </c>
      <c r="B111" s="334"/>
      <c r="C111" s="472"/>
      <c r="D111" s="476">
        <f>D109-D110</f>
        <v>1630561.2631999999</v>
      </c>
      <c r="E111" s="477"/>
      <c r="F111" s="480">
        <f>F109-F110</f>
        <v>1756114.4804664003</v>
      </c>
      <c r="G111" s="481"/>
      <c r="H111" s="92"/>
      <c r="I111" s="491"/>
      <c r="J111" s="492"/>
      <c r="K111" s="498"/>
      <c r="L111" s="499"/>
      <c r="M111" s="499"/>
      <c r="N111" s="499"/>
      <c r="O111" s="499"/>
      <c r="P111" s="500"/>
    </row>
    <row r="112" spans="1:16" ht="12" customHeight="1">
      <c r="A112" s="473"/>
      <c r="B112" s="474"/>
      <c r="C112" s="475"/>
      <c r="D112" s="478"/>
      <c r="E112" s="479"/>
      <c r="F112" s="482"/>
      <c r="G112" s="483"/>
      <c r="H112" s="92"/>
      <c r="I112" s="491"/>
      <c r="J112" s="492"/>
      <c r="K112" s="498"/>
      <c r="L112" s="499"/>
      <c r="M112" s="499"/>
      <c r="N112" s="499"/>
      <c r="O112" s="499"/>
      <c r="P112" s="500"/>
    </row>
    <row r="113" spans="1:16" ht="12.75">
      <c r="A113" s="504" t="s">
        <v>177</v>
      </c>
      <c r="B113" s="505"/>
      <c r="C113" s="506"/>
      <c r="D113" s="507">
        <f>IF(D110&lt;&gt;0,D110/D109,0)</f>
        <v>0.69522219379439254</v>
      </c>
      <c r="E113" s="508"/>
      <c r="F113" s="507">
        <f>IF(D110&lt;&gt;0,F110/F109,0)</f>
        <v>0.69522219379439243</v>
      </c>
      <c r="G113" s="509"/>
      <c r="H113" s="93"/>
      <c r="I113" s="493"/>
      <c r="J113" s="494"/>
      <c r="K113" s="501"/>
      <c r="L113" s="502"/>
      <c r="M113" s="502"/>
      <c r="N113" s="502"/>
      <c r="O113" s="502"/>
      <c r="P113" s="503"/>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2022-01-17T11:09:06Z</cp:lastPrinted>
  <dcterms:created xsi:type="dcterms:W3CDTF">1996-10-14T23:33:28Z</dcterms:created>
  <dcterms:modified xsi:type="dcterms:W3CDTF">2022-02-15T15:58:16Z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