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9" i="20" l="1"/>
  <c r="O98" i="20"/>
  <c r="O97" i="20" l="1"/>
  <c r="O96" i="20" l="1"/>
  <c r="O95" i="20" l="1"/>
  <c r="O94" i="20" l="1"/>
  <c r="O93" i="20" l="1"/>
  <c r="O92" i="20" l="1"/>
  <c r="O91" i="20" l="1"/>
  <c r="L106" i="20" l="1"/>
  <c r="O90" i="20"/>
  <c r="O89" i="20" l="1"/>
  <c r="O82" i="20"/>
  <c r="O88" i="20" l="1"/>
  <c r="O87" i="20" l="1"/>
  <c r="O86" i="20" l="1"/>
  <c r="O85" i="20" l="1"/>
  <c r="O84" i="20" l="1"/>
  <c r="L70" i="20" l="1"/>
  <c r="O83" i="20" l="1"/>
  <c r="O81" i="20" l="1"/>
  <c r="O69" i="20" l="1"/>
  <c r="O80" i="20"/>
  <c r="L101" i="14" l="1"/>
  <c r="L100" i="14"/>
  <c r="L99" i="14"/>
  <c r="L105" i="20"/>
  <c r="L104"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5"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7" i="20"/>
  <c r="L107" i="20"/>
  <c r="L102" i="20"/>
  <c r="L101" i="20" s="1"/>
  <c r="D115" i="20" s="1"/>
  <c r="O106" i="20"/>
  <c r="L73" i="20"/>
  <c r="D114"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4" i="20" s="1"/>
  <c r="O102" i="20"/>
  <c r="O101" i="20" s="1"/>
  <c r="F115" i="20" s="1"/>
  <c r="L25" i="28"/>
  <c r="M25" i="28" s="1"/>
  <c r="J31" i="28"/>
  <c r="D26" i="28"/>
  <c r="L26" i="14"/>
  <c r="M26" i="14" s="1"/>
  <c r="O73" i="14"/>
  <c r="F109" i="14" s="1"/>
  <c r="D27" i="28"/>
  <c r="L29" i="28"/>
  <c r="M29" i="28" s="1"/>
  <c r="N29" i="28" s="1"/>
  <c r="O29" i="28" s="1"/>
  <c r="J31" i="14"/>
  <c r="D28" i="20"/>
  <c r="O99" i="14"/>
  <c r="L29" i="20"/>
  <c r="M29" i="20" s="1"/>
  <c r="O104" i="20"/>
  <c r="D118" i="20"/>
  <c r="D113" i="14"/>
  <c r="D111" i="14"/>
  <c r="N26" i="28"/>
  <c r="M28" i="20"/>
  <c r="N28" i="20"/>
  <c r="N25" i="28"/>
  <c r="N25" i="14"/>
  <c r="L27" i="14"/>
  <c r="I31" i="14"/>
  <c r="J31" i="20"/>
  <c r="E26" i="20"/>
  <c r="E28" i="20"/>
  <c r="E27" i="28"/>
  <c r="O97" i="14"/>
  <c r="O96" i="14" s="1"/>
  <c r="F110" i="14" s="1"/>
  <c r="F113" i="14" s="1"/>
  <c r="L28" i="28"/>
  <c r="N26" i="14"/>
  <c r="L27" i="20"/>
  <c r="L28" i="14"/>
  <c r="L29" i="14"/>
  <c r="D116" i="20"/>
  <c r="I31" i="28"/>
  <c r="L27" i="28"/>
  <c r="E29" i="28"/>
  <c r="L25" i="20"/>
  <c r="I31" i="20"/>
  <c r="M26" i="20" l="1"/>
  <c r="N26" i="20" s="1"/>
  <c r="N29" i="20"/>
  <c r="O29" i="20" s="1"/>
  <c r="P29" i="20" s="1"/>
  <c r="F118" i="20"/>
  <c r="F116"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<sst xmlns="http://schemas.openxmlformats.org/spreadsheetml/2006/main" count="716" uniqueCount="379">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</sst>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40" fontId="9" fillId="0" borderId="1"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40" fontId="9" fillId="0" borderId="5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8"/>
  <sheetViews>
    <sheetView tabSelected="1" zoomScaleNormal="100" zoomScalePageLayoutView="90" workbookViewId="0">
      <selection activeCell="O100" sqref="O10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61" t="s">
        <v>343</v>
      </c>
      <c r="I1" s="461"/>
      <c r="J1" s="149"/>
      <c r="K1" s="189"/>
      <c r="L1" s="166" t="s">
        <v>154</v>
      </c>
      <c r="M1" s="190"/>
      <c r="N1" s="105"/>
      <c r="O1" s="148"/>
      <c r="P1" s="150"/>
    </row>
    <row r="2" spans="1:16" s="14" customFormat="1" ht="12.75">
      <c r="A2" s="16" t="s">
        <v>12</v>
      </c>
      <c r="C2" s="475" t="s">
        <v>335</v>
      </c>
      <c r="D2" s="475"/>
      <c r="E2" s="476"/>
      <c r="F2" s="16" t="s">
        <v>327</v>
      </c>
      <c r="H2" s="495">
        <v>43282</v>
      </c>
      <c r="I2" s="495"/>
      <c r="J2" s="67" t="s">
        <v>195</v>
      </c>
      <c r="K2" s="193">
        <v>44926</v>
      </c>
      <c r="L2" s="16" t="s">
        <v>13</v>
      </c>
      <c r="N2" s="159">
        <v>44691</v>
      </c>
      <c r="P2" s="18"/>
    </row>
    <row r="3" spans="1:16" s="14" customFormat="1" ht="12.75">
      <c r="A3" s="16" t="s">
        <v>158</v>
      </c>
      <c r="C3" s="496" t="s">
        <v>336</v>
      </c>
      <c r="D3" s="496"/>
      <c r="E3" s="497"/>
      <c r="F3" s="16" t="s">
        <v>159</v>
      </c>
      <c r="H3" s="468" t="s">
        <v>344</v>
      </c>
      <c r="I3" s="468"/>
      <c r="J3" s="468"/>
      <c r="K3" s="469"/>
      <c r="L3" s="16" t="s">
        <v>166</v>
      </c>
      <c r="N3" s="324" t="s">
        <v>378</v>
      </c>
      <c r="O3" s="194"/>
      <c r="P3" s="94"/>
    </row>
    <row r="4" spans="1:16" s="14" customFormat="1" ht="12.75">
      <c r="A4" s="16" t="s">
        <v>184</v>
      </c>
      <c r="C4" s="496" t="s">
        <v>337</v>
      </c>
      <c r="D4" s="496"/>
      <c r="E4" s="497"/>
      <c r="F4" s="20" t="s">
        <v>165</v>
      </c>
      <c r="H4" s="498" t="s">
        <v>359</v>
      </c>
      <c r="I4" s="468"/>
      <c r="J4" s="468"/>
      <c r="K4" s="17"/>
      <c r="L4" s="16" t="s">
        <v>175</v>
      </c>
      <c r="N4" s="159">
        <v>44621</v>
      </c>
      <c r="O4" s="19" t="s">
        <v>5</v>
      </c>
      <c r="P4" s="161">
        <v>44651</v>
      </c>
    </row>
    <row r="5" spans="1:16" s="14" customFormat="1" ht="12.75">
      <c r="A5" s="25"/>
      <c r="C5" s="191"/>
      <c r="D5" s="169"/>
      <c r="E5" s="169"/>
      <c r="F5" s="25"/>
      <c r="G5" s="15" t="s">
        <v>169</v>
      </c>
      <c r="H5" s="474" t="s">
        <v>345</v>
      </c>
      <c r="I5" s="474"/>
      <c r="J5" s="474"/>
      <c r="K5" s="17"/>
      <c r="L5" s="20" t="s">
        <v>25</v>
      </c>
      <c r="N5" s="160" t="s">
        <v>27</v>
      </c>
      <c r="O5" s="80" t="s">
        <v>179</v>
      </c>
      <c r="P5" s="325" t="s">
        <v>378</v>
      </c>
    </row>
    <row r="6" spans="1:16" s="14" customFormat="1" ht="12.75">
      <c r="A6" s="16" t="s">
        <v>338</v>
      </c>
      <c r="C6" s="468" t="s">
        <v>339</v>
      </c>
      <c r="D6" s="468"/>
      <c r="E6" s="469"/>
      <c r="F6" s="25"/>
      <c r="G6" s="15" t="s">
        <v>161</v>
      </c>
      <c r="H6" s="499" t="s">
        <v>360</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1" t="s">
        <v>142</v>
      </c>
      <c r="D8" s="491"/>
      <c r="E8" s="492"/>
      <c r="F8" s="21" t="s">
        <v>162</v>
      </c>
      <c r="G8" s="29"/>
      <c r="H8" s="470" t="s">
        <v>346</v>
      </c>
      <c r="I8" s="470"/>
      <c r="J8" s="470"/>
      <c r="K8" s="471"/>
      <c r="L8" s="31" t="s">
        <v>188</v>
      </c>
      <c r="M8" s="32"/>
      <c r="N8" s="32"/>
      <c r="O8" s="32"/>
      <c r="P8" s="30"/>
    </row>
    <row r="9" spans="1:16" s="14" customFormat="1" ht="12.75">
      <c r="A9" s="25"/>
      <c r="C9" s="493"/>
      <c r="D9" s="493"/>
      <c r="E9" s="494"/>
      <c r="F9" s="25"/>
      <c r="H9" s="468" t="s">
        <v>347</v>
      </c>
      <c r="I9" s="468"/>
      <c r="J9" s="468"/>
      <c r="K9" s="469"/>
      <c r="L9" s="159"/>
      <c r="M9" s="159"/>
      <c r="N9" s="66"/>
      <c r="O9" s="66"/>
      <c r="P9" s="99"/>
    </row>
    <row r="10" spans="1:16" s="14" customFormat="1" ht="12.75">
      <c r="A10" s="25"/>
      <c r="C10" s="493"/>
      <c r="D10" s="493"/>
      <c r="E10" s="494"/>
      <c r="F10" s="25"/>
      <c r="H10" s="468" t="s">
        <v>348</v>
      </c>
      <c r="I10" s="468"/>
      <c r="J10" s="468"/>
      <c r="K10" s="469"/>
      <c r="L10" s="159"/>
      <c r="M10" s="159"/>
      <c r="N10" s="66"/>
      <c r="O10" s="66"/>
      <c r="P10" s="99"/>
    </row>
    <row r="11" spans="1:16" s="14" customFormat="1" ht="12.75" customHeight="1">
      <c r="A11" s="25"/>
      <c r="C11" s="493"/>
      <c r="D11" s="493"/>
      <c r="E11" s="494"/>
      <c r="F11" s="25"/>
      <c r="H11" s="472"/>
      <c r="I11" s="472"/>
      <c r="J11" s="472"/>
      <c r="K11" s="473"/>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
        <v>349</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489" t="s">
        <v>356</v>
      </c>
      <c r="B25" s="490"/>
      <c r="C25" s="330" t="s">
        <v>357</v>
      </c>
      <c r="D25" s="113" t="s">
        <v>201</v>
      </c>
      <c r="E25" s="219" t="s">
        <v>272</v>
      </c>
      <c r="F25" s="114" t="s">
        <v>191</v>
      </c>
      <c r="G25" s="115">
        <v>22297</v>
      </c>
      <c r="H25" s="116">
        <v>0</v>
      </c>
      <c r="I25" s="117">
        <f>SUM(G25:H25)</f>
        <v>22297</v>
      </c>
      <c r="J25" s="118">
        <f>-($J$23*I25)</f>
        <v>0</v>
      </c>
      <c r="K25" s="116"/>
      <c r="L25" s="117">
        <f>SUM(I25:K25)</f>
        <v>22297</v>
      </c>
      <c r="M25" s="119">
        <f>-$M$23*L25</f>
        <v>0</v>
      </c>
      <c r="N25" s="121">
        <f>SUM(L25:M25)</f>
        <v>22297</v>
      </c>
      <c r="O25" s="141">
        <f>$O$23*N25</f>
        <v>1716.8689999999999</v>
      </c>
      <c r="P25" s="120">
        <f>SUM(N25:O25)</f>
        <v>24013.868999999999</v>
      </c>
      <c r="Q25" s="75"/>
      <c r="R25" s="75"/>
    </row>
    <row r="26" spans="1:18" s="77" customFormat="1" ht="12.75">
      <c r="A26" s="504"/>
      <c r="B26" s="490"/>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c r="B27" s="490"/>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c r="B28" s="490"/>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c r="B29" s="490"/>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22297</v>
      </c>
      <c r="H31" s="132">
        <f t="shared" si="0"/>
        <v>0</v>
      </c>
      <c r="I31" s="133">
        <f t="shared" si="0"/>
        <v>22297</v>
      </c>
      <c r="J31" s="134">
        <f t="shared" si="0"/>
        <v>0</v>
      </c>
      <c r="K31" s="132">
        <f t="shared" si="0"/>
        <v>0</v>
      </c>
      <c r="L31" s="133">
        <f t="shared" si="0"/>
        <v>22297</v>
      </c>
      <c r="M31" s="135">
        <f t="shared" si="0"/>
        <v>0</v>
      </c>
      <c r="N31" s="139">
        <f t="shared" si="0"/>
        <v>22297</v>
      </c>
      <c r="O31" s="136">
        <f>SUM(O25:O30)</f>
        <v>1716.8689999999999</v>
      </c>
      <c r="P31" s="137">
        <f>SUM(P25:P30)</f>
        <v>24013.868999999999</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24013.848999999998</v>
      </c>
      <c r="Q33" s="15"/>
      <c r="R33" s="15"/>
    </row>
    <row r="34" spans="1:18" s="144" customFormat="1" ht="18.75" customHeight="1">
      <c r="C34" s="151"/>
      <c r="E34" s="152"/>
      <c r="F34" s="153"/>
      <c r="G34" s="154"/>
      <c r="H34" s="154"/>
      <c r="I34" s="154"/>
      <c r="J34" s="154"/>
      <c r="K34" s="154"/>
      <c r="L34" s="154"/>
      <c r="M34" s="155" t="s">
        <v>247</v>
      </c>
      <c r="N34" s="154"/>
      <c r="O34" s="154"/>
      <c r="P34" s="154">
        <f>L31*(1+$O$23)</f>
        <v>24013.868999999999</v>
      </c>
    </row>
    <row r="35" spans="1:18" ht="10.5" customHeight="1">
      <c r="M35" s="108"/>
    </row>
    <row r="36" spans="1:18" ht="28.5" customHeight="1">
      <c r="A36" s="145" t="s">
        <v>149</v>
      </c>
      <c r="B36" s="511"/>
      <c r="C36" s="512"/>
      <c r="D36" s="512"/>
      <c r="E36" s="512"/>
      <c r="F36" s="512"/>
      <c r="G36" s="512"/>
      <c r="H36" s="512"/>
      <c r="I36" s="512"/>
      <c r="J36" s="512"/>
      <c r="K36" s="512"/>
      <c r="L36" s="512"/>
      <c r="M36" s="512"/>
      <c r="N36" s="512"/>
      <c r="O36" s="512"/>
      <c r="P36" s="51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24013.848999999998</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62" t="s">
        <v>342</v>
      </c>
      <c r="B43" s="463"/>
      <c r="C43" s="46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65" t="s">
        <v>358</v>
      </c>
      <c r="B44" s="466"/>
      <c r="C44" s="46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44691</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43</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43</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39">
        <f>168793+69900+174843.35</f>
        <v>413536.35</v>
      </c>
      <c r="M70" s="340"/>
      <c r="N70" s="182">
        <v>7.6999999999999999E-2</v>
      </c>
      <c r="O70" s="341">
        <f>IF(L70&lt;&gt;"",ROUND((1*L70*(1+N70))*20,0)/20,"")</f>
        <v>445378.65</v>
      </c>
      <c r="P70" s="341"/>
    </row>
    <row r="71" spans="1:16" ht="12.75">
      <c r="A71" s="429" t="s">
        <v>240</v>
      </c>
      <c r="B71" s="430"/>
      <c r="C71" s="430"/>
      <c r="D71" s="431"/>
      <c r="E71" s="432"/>
      <c r="F71" s="433"/>
      <c r="G71" s="433"/>
      <c r="H71" s="431"/>
      <c r="I71" s="432"/>
      <c r="J71" s="434"/>
      <c r="K71" s="435"/>
      <c r="L71" s="339"/>
      <c r="M71" s="340"/>
      <c r="N71" s="182"/>
      <c r="O71" s="341" t="str">
        <f>IF(L71&lt;&gt;"",ROUND((1*L71*(1+N71))*20,0)/20,"")</f>
        <v/>
      </c>
      <c r="P71" s="341"/>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3923054.1</v>
      </c>
      <c r="M73" s="399"/>
      <c r="N73" s="185"/>
      <c r="O73" s="398">
        <f>SUM(O69:P72)</f>
        <v>4225129.3</v>
      </c>
      <c r="P73" s="398"/>
    </row>
    <row r="74" spans="1:16" ht="8.25" customHeight="1"/>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38"/>
      <c r="L80" s="339">
        <v>53622.25</v>
      </c>
      <c r="M80" s="340"/>
      <c r="N80" s="182">
        <v>7.6999999999999999E-2</v>
      </c>
      <c r="O80" s="341">
        <f>IF(L80&lt;&gt;"",L80*(1+N80),"")-0.01</f>
        <v>57751.153249999996</v>
      </c>
      <c r="P80" s="341"/>
    </row>
    <row r="81" spans="1:16" ht="12.75">
      <c r="A81" s="326" t="s">
        <v>353</v>
      </c>
      <c r="B81" s="265"/>
      <c r="C81" s="279">
        <v>43578</v>
      </c>
      <c r="D81" s="265"/>
      <c r="E81" s="270"/>
      <c r="F81" s="328" t="s">
        <v>27</v>
      </c>
      <c r="G81" s="327" t="s">
        <v>354</v>
      </c>
      <c r="H81" s="310">
        <v>43466</v>
      </c>
      <c r="I81" s="311">
        <v>43830</v>
      </c>
      <c r="J81" s="337" t="s">
        <v>135</v>
      </c>
      <c r="K81" s="338"/>
      <c r="L81" s="339">
        <v>734770.25</v>
      </c>
      <c r="M81" s="340"/>
      <c r="N81" s="182">
        <v>7.6999999999999999E-2</v>
      </c>
      <c r="O81" s="341">
        <f>IF(L81&lt;&gt;"",L81*(1+N81),"")+0.03</f>
        <v>791347.58924999996</v>
      </c>
      <c r="P81" s="341"/>
    </row>
    <row r="82" spans="1:16" ht="12.75">
      <c r="A82" s="326" t="s">
        <v>369</v>
      </c>
      <c r="B82" s="265"/>
      <c r="C82" s="279">
        <v>43913</v>
      </c>
      <c r="D82" s="265"/>
      <c r="E82" s="270"/>
      <c r="F82" s="328" t="s">
        <v>27</v>
      </c>
      <c r="G82" s="327" t="s">
        <v>368</v>
      </c>
      <c r="H82" s="310">
        <v>43831</v>
      </c>
      <c r="I82" s="311">
        <v>44196</v>
      </c>
      <c r="J82" s="337" t="s">
        <v>135</v>
      </c>
      <c r="K82" s="338"/>
      <c r="L82" s="339">
        <v>992946.5</v>
      </c>
      <c r="M82" s="340"/>
      <c r="N82" s="182">
        <v>7.6999999999999999E-2</v>
      </c>
      <c r="O82" s="341">
        <f>IF(L82&lt;&gt;"",L82*(1+N82),"")-0.04</f>
        <v>1069403.3404999999</v>
      </c>
      <c r="P82" s="341"/>
    </row>
    <row r="83" spans="1:16" ht="12.75">
      <c r="A83" s="326" t="s">
        <v>355</v>
      </c>
      <c r="B83" s="265"/>
      <c r="C83" s="279">
        <v>43951</v>
      </c>
      <c r="D83" s="265"/>
      <c r="E83" s="270"/>
      <c r="F83" s="328" t="s">
        <v>27</v>
      </c>
      <c r="G83" s="327" t="s">
        <v>355</v>
      </c>
      <c r="H83" s="310">
        <v>43466</v>
      </c>
      <c r="I83" s="311">
        <v>43830</v>
      </c>
      <c r="J83" s="337" t="s">
        <v>14</v>
      </c>
      <c r="K83" s="338"/>
      <c r="L83" s="339">
        <v>2889.4</v>
      </c>
      <c r="M83" s="340"/>
      <c r="N83" s="182">
        <v>7.6999999999999999E-2</v>
      </c>
      <c r="O83" s="341">
        <f>IF(L83&lt;&gt;"",L83*(1+N83),"")+0.02</f>
        <v>3111.9038</v>
      </c>
      <c r="P83" s="341"/>
    </row>
    <row r="84" spans="1:16" ht="12.75">
      <c r="A84" s="326" t="s">
        <v>361</v>
      </c>
      <c r="B84" s="265"/>
      <c r="C84" s="279">
        <v>44312</v>
      </c>
      <c r="D84" s="265"/>
      <c r="E84" s="270"/>
      <c r="F84" s="328" t="s">
        <v>27</v>
      </c>
      <c r="G84" s="327" t="s">
        <v>361</v>
      </c>
      <c r="H84" s="310">
        <v>44197</v>
      </c>
      <c r="I84" s="311">
        <v>44227</v>
      </c>
      <c r="J84" s="337" t="s">
        <v>135</v>
      </c>
      <c r="K84" s="338"/>
      <c r="L84" s="339">
        <v>90520.25</v>
      </c>
      <c r="M84" s="340"/>
      <c r="N84" s="182">
        <v>7.6999999999999999E-2</v>
      </c>
      <c r="O84" s="341">
        <f>IF(L84&lt;&gt;"",L84*(1+N84),"")-0.01</f>
        <v>97490.299249999996</v>
      </c>
      <c r="P84" s="341"/>
    </row>
    <row r="85" spans="1:16" ht="12.75">
      <c r="A85" s="331">
        <v>29</v>
      </c>
      <c r="B85" s="265"/>
      <c r="C85" s="279">
        <v>44319</v>
      </c>
      <c r="D85" s="265"/>
      <c r="E85" s="270"/>
      <c r="F85" s="328" t="s">
        <v>27</v>
      </c>
      <c r="G85" s="327" t="s">
        <v>362</v>
      </c>
      <c r="H85" s="310">
        <v>44228</v>
      </c>
      <c r="I85" s="311">
        <v>44255</v>
      </c>
      <c r="J85" s="337" t="s">
        <v>135</v>
      </c>
      <c r="K85" s="338"/>
      <c r="L85" s="339">
        <v>91222</v>
      </c>
      <c r="M85" s="340"/>
      <c r="N85" s="182">
        <v>7.6999999999999999E-2</v>
      </c>
      <c r="O85" s="341">
        <f>IF(L85&lt;&gt;"",L85*(1+N85),"")+0.01</f>
        <v>98246.103999999992</v>
      </c>
      <c r="P85" s="341"/>
    </row>
    <row r="86" spans="1:16" ht="12.75">
      <c r="A86" s="331">
        <v>30</v>
      </c>
      <c r="B86" s="265"/>
      <c r="C86" s="279">
        <v>44427</v>
      </c>
      <c r="D86" s="265"/>
      <c r="E86" s="270"/>
      <c r="F86" s="328" t="s">
        <v>27</v>
      </c>
      <c r="G86" s="327" t="s">
        <v>363</v>
      </c>
      <c r="H86" s="310">
        <v>44256</v>
      </c>
      <c r="I86" s="311">
        <v>44286</v>
      </c>
      <c r="J86" s="337" t="s">
        <v>135</v>
      </c>
      <c r="K86" s="338"/>
      <c r="L86" s="339">
        <v>131284</v>
      </c>
      <c r="M86" s="340"/>
      <c r="N86" s="182">
        <v>7.6999999999999999E-2</v>
      </c>
      <c r="O86" s="341">
        <f>IF(L86&lt;&gt;"",L86*(1+N86),"")-0.02</f>
        <v>141392.848</v>
      </c>
      <c r="P86" s="341"/>
    </row>
    <row r="87" spans="1:16" ht="12.75">
      <c r="A87" s="331">
        <v>31</v>
      </c>
      <c r="B87" s="265"/>
      <c r="C87" s="279">
        <v>44434</v>
      </c>
      <c r="D87" s="265"/>
      <c r="E87" s="270"/>
      <c r="F87" s="328" t="s">
        <v>27</v>
      </c>
      <c r="G87" s="327" t="s">
        <v>364</v>
      </c>
      <c r="H87" s="310">
        <v>44287</v>
      </c>
      <c r="I87" s="311">
        <v>44316</v>
      </c>
      <c r="J87" s="337" t="s">
        <v>135</v>
      </c>
      <c r="K87" s="338"/>
      <c r="L87" s="339">
        <v>130449.5</v>
      </c>
      <c r="M87" s="340"/>
      <c r="N87" s="182">
        <v>7.6999999999999999E-2</v>
      </c>
      <c r="O87" s="341">
        <f>IF(L87&lt;&gt;"",L87*(1+N87),"")-0.01</f>
        <v>140494.10149999999</v>
      </c>
      <c r="P87" s="341"/>
    </row>
    <row r="88" spans="1:16" ht="12.75">
      <c r="A88" s="331">
        <v>32</v>
      </c>
      <c r="B88" s="265"/>
      <c r="C88" s="279">
        <v>44434</v>
      </c>
      <c r="D88" s="265"/>
      <c r="E88" s="270"/>
      <c r="F88" s="328" t="s">
        <v>27</v>
      </c>
      <c r="G88" s="327" t="s">
        <v>365</v>
      </c>
      <c r="H88" s="310">
        <v>44317</v>
      </c>
      <c r="I88" s="311">
        <v>44347</v>
      </c>
      <c r="J88" s="337" t="s">
        <v>135</v>
      </c>
      <c r="K88" s="338"/>
      <c r="L88" s="339">
        <v>118420</v>
      </c>
      <c r="M88" s="340"/>
      <c r="N88" s="182">
        <v>7.6999999999999999E-2</v>
      </c>
      <c r="O88" s="341">
        <f>IF(L88&lt;&gt;"",L88*(1+N88),"")+0.01</f>
        <v>127538.34999999999</v>
      </c>
      <c r="P88" s="341"/>
    </row>
    <row r="89" spans="1:16" ht="12.75">
      <c r="A89" s="331">
        <v>33</v>
      </c>
      <c r="B89" s="265"/>
      <c r="C89" s="279">
        <v>44438</v>
      </c>
      <c r="D89" s="265"/>
      <c r="E89" s="270"/>
      <c r="F89" s="328" t="s">
        <v>27</v>
      </c>
      <c r="G89" s="327" t="s">
        <v>366</v>
      </c>
      <c r="H89" s="310">
        <v>44348</v>
      </c>
      <c r="I89" s="311">
        <v>44377</v>
      </c>
      <c r="J89" s="337" t="s">
        <v>135</v>
      </c>
      <c r="K89" s="338"/>
      <c r="L89" s="339">
        <v>190483.75</v>
      </c>
      <c r="M89" s="340"/>
      <c r="N89" s="182">
        <v>7.6999999999999999E-2</v>
      </c>
      <c r="O89" s="341">
        <f>IF(L89&lt;&gt;"",L89*(1+N89),"")</f>
        <v>205150.99875</v>
      </c>
      <c r="P89" s="341"/>
    </row>
    <row r="90" spans="1:16" ht="12.75">
      <c r="A90" s="331">
        <v>34</v>
      </c>
      <c r="B90" s="265"/>
      <c r="C90" s="279">
        <v>44441</v>
      </c>
      <c r="D90" s="265"/>
      <c r="E90" s="270"/>
      <c r="F90" s="328" t="s">
        <v>27</v>
      </c>
      <c r="G90" s="327" t="s">
        <v>367</v>
      </c>
      <c r="H90" s="310">
        <v>44378</v>
      </c>
      <c r="I90" s="311">
        <v>44408</v>
      </c>
      <c r="J90" s="337" t="s">
        <v>135</v>
      </c>
      <c r="K90" s="338"/>
      <c r="L90" s="339">
        <v>208993</v>
      </c>
      <c r="M90" s="340"/>
      <c r="N90" s="182">
        <v>7.6999999999999999E-2</v>
      </c>
      <c r="O90" s="341">
        <f>IF(L90&lt;&gt;"",L90*(1+N90),"")-0.01</f>
        <v>225085.45099999997</v>
      </c>
      <c r="P90" s="341"/>
    </row>
    <row r="91" spans="1:16" ht="12.75">
      <c r="A91" s="331">
        <v>35</v>
      </c>
      <c r="B91" s="265"/>
      <c r="C91" s="279">
        <v>44445</v>
      </c>
      <c r="D91" s="265"/>
      <c r="E91" s="270"/>
      <c r="F91" s="328" t="s">
        <v>27</v>
      </c>
      <c r="G91" s="327" t="s">
        <v>370</v>
      </c>
      <c r="H91" s="310">
        <v>43831</v>
      </c>
      <c r="I91" s="311">
        <v>44196</v>
      </c>
      <c r="J91" s="337" t="s">
        <v>14</v>
      </c>
      <c r="K91" s="338"/>
      <c r="L91" s="339">
        <v>9017.0499999999993</v>
      </c>
      <c r="M91" s="340"/>
      <c r="N91" s="182">
        <v>7.6999999999999999E-2</v>
      </c>
      <c r="O91" s="341">
        <f>IF(L91&lt;&gt;"",L91*(1+N91),"")-0.01</f>
        <v>9711.3528499999993</v>
      </c>
      <c r="P91" s="341"/>
    </row>
    <row r="92" spans="1:16" ht="12.75">
      <c r="A92" s="331">
        <v>36</v>
      </c>
      <c r="B92" s="265"/>
      <c r="C92" s="279">
        <v>44509</v>
      </c>
      <c r="D92" s="265"/>
      <c r="E92" s="270"/>
      <c r="F92" s="328" t="s">
        <v>27</v>
      </c>
      <c r="G92" s="327" t="s">
        <v>371</v>
      </c>
      <c r="H92" s="310">
        <v>44409</v>
      </c>
      <c r="I92" s="311">
        <v>44439</v>
      </c>
      <c r="J92" s="337" t="s">
        <v>135</v>
      </c>
      <c r="K92" s="338"/>
      <c r="L92" s="339">
        <v>87286.75</v>
      </c>
      <c r="M92" s="340"/>
      <c r="N92" s="182">
        <v>7.6999999999999999E-2</v>
      </c>
      <c r="O92" s="341">
        <f>IF(L92&lt;&gt;"",L92*(1+N92),"")+0.02</f>
        <v>94007.849749999994</v>
      </c>
      <c r="P92" s="341"/>
    </row>
    <row r="93" spans="1:16" ht="12.75">
      <c r="A93" s="331">
        <v>37</v>
      </c>
      <c r="B93" s="265"/>
      <c r="C93" s="279">
        <v>44510</v>
      </c>
      <c r="D93" s="265"/>
      <c r="E93" s="270"/>
      <c r="F93" s="328" t="s">
        <v>27</v>
      </c>
      <c r="G93" s="327" t="s">
        <v>372</v>
      </c>
      <c r="H93" s="310">
        <v>44440</v>
      </c>
      <c r="I93" s="311">
        <v>44469</v>
      </c>
      <c r="J93" s="337" t="s">
        <v>135</v>
      </c>
      <c r="K93" s="338"/>
      <c r="L93" s="339">
        <v>74581.25</v>
      </c>
      <c r="M93" s="340"/>
      <c r="N93" s="182">
        <v>7.6999999999999999E-2</v>
      </c>
      <c r="O93" s="341">
        <f>IF(L93&lt;&gt;"",L93*(1+N93),"")-0.01</f>
        <v>80323.996249999997</v>
      </c>
      <c r="P93" s="341"/>
    </row>
    <row r="94" spans="1:16" ht="12.75">
      <c r="A94" s="331">
        <v>38</v>
      </c>
      <c r="B94" s="265"/>
      <c r="C94" s="279">
        <v>44515</v>
      </c>
      <c r="D94" s="265"/>
      <c r="E94" s="270"/>
      <c r="F94" s="328" t="s">
        <v>27</v>
      </c>
      <c r="G94" s="327" t="s">
        <v>373</v>
      </c>
      <c r="H94" s="310">
        <v>44470</v>
      </c>
      <c r="I94" s="311">
        <v>44500</v>
      </c>
      <c r="J94" s="337" t="s">
        <v>135</v>
      </c>
      <c r="K94" s="338"/>
      <c r="L94" s="339">
        <v>77431.75</v>
      </c>
      <c r="M94" s="340"/>
      <c r="N94" s="182">
        <v>7.6999999999999999E-2</v>
      </c>
      <c r="O94" s="341">
        <f>IF(L94&lt;&gt;"",L94*(1+N94),"")+0.01</f>
        <v>83394.004749999993</v>
      </c>
      <c r="P94" s="341"/>
    </row>
    <row r="95" spans="1:16" ht="12.75">
      <c r="A95" s="331">
        <v>39</v>
      </c>
      <c r="B95" s="265"/>
      <c r="C95" s="279">
        <v>44578</v>
      </c>
      <c r="D95" s="265"/>
      <c r="E95" s="270"/>
      <c r="F95" s="328" t="s">
        <v>27</v>
      </c>
      <c r="G95" s="327" t="s">
        <v>374</v>
      </c>
      <c r="H95" s="310">
        <v>44501</v>
      </c>
      <c r="I95" s="311">
        <v>44530</v>
      </c>
      <c r="J95" s="337" t="s">
        <v>135</v>
      </c>
      <c r="K95" s="338"/>
      <c r="L95" s="339">
        <v>105570.75</v>
      </c>
      <c r="M95" s="340"/>
      <c r="N95" s="182">
        <v>7.6999999999999999E-2</v>
      </c>
      <c r="O95" s="341">
        <f>IF(L95&lt;&gt;"",L95*(1+N95),"")</f>
        <v>113699.69774999999</v>
      </c>
      <c r="P95" s="341"/>
    </row>
    <row r="96" spans="1:16" ht="12.75">
      <c r="A96" s="331">
        <v>40</v>
      </c>
      <c r="B96" s="265"/>
      <c r="C96" s="279">
        <v>44607</v>
      </c>
      <c r="D96" s="265"/>
      <c r="E96" s="270"/>
      <c r="F96" s="328" t="s">
        <v>27</v>
      </c>
      <c r="G96" s="327" t="s">
        <v>375</v>
      </c>
      <c r="H96" s="310">
        <v>44531</v>
      </c>
      <c r="I96" s="311">
        <v>44561</v>
      </c>
      <c r="J96" s="337" t="s">
        <v>135</v>
      </c>
      <c r="K96" s="338"/>
      <c r="L96" s="339">
        <v>88878.25</v>
      </c>
      <c r="M96" s="340"/>
      <c r="N96" s="182">
        <v>7.6999999999999999E-2</v>
      </c>
      <c r="O96" s="341">
        <f>IF(L96&lt;&gt;"",L96*(1+N96),"")+0.02</f>
        <v>95721.895250000001</v>
      </c>
      <c r="P96" s="341"/>
    </row>
    <row r="97" spans="1:16" ht="12.75">
      <c r="A97" s="331">
        <v>41</v>
      </c>
      <c r="B97" s="265"/>
      <c r="C97" s="279">
        <v>44658</v>
      </c>
      <c r="D97" s="265"/>
      <c r="E97" s="270"/>
      <c r="F97" s="328" t="s">
        <v>27</v>
      </c>
      <c r="G97" s="327" t="s">
        <v>376</v>
      </c>
      <c r="H97" s="310">
        <v>44562</v>
      </c>
      <c r="I97" s="311">
        <v>44592</v>
      </c>
      <c r="J97" s="337" t="s">
        <v>135</v>
      </c>
      <c r="K97" s="338"/>
      <c r="L97" s="339">
        <v>149928.5</v>
      </c>
      <c r="M97" s="340"/>
      <c r="N97" s="182">
        <v>7.6999999999999999E-2</v>
      </c>
      <c r="O97" s="341">
        <f>IF(L97&lt;&gt;"",L97*(1+N97),"")+0.01</f>
        <v>161473.00450000001</v>
      </c>
      <c r="P97" s="341"/>
    </row>
    <row r="98" spans="1:16" ht="12.75">
      <c r="A98" s="331">
        <v>42</v>
      </c>
      <c r="B98" s="265"/>
      <c r="C98" s="279">
        <v>44684</v>
      </c>
      <c r="D98" s="265"/>
      <c r="E98" s="270"/>
      <c r="F98" s="328" t="s">
        <v>27</v>
      </c>
      <c r="G98" s="327" t="s">
        <v>377</v>
      </c>
      <c r="H98" s="310">
        <v>44593</v>
      </c>
      <c r="I98" s="311">
        <v>44620</v>
      </c>
      <c r="J98" s="337" t="s">
        <v>135</v>
      </c>
      <c r="K98" s="338"/>
      <c r="L98" s="339">
        <v>166506</v>
      </c>
      <c r="M98" s="340"/>
      <c r="N98" s="182">
        <v>7.6999999999999999E-2</v>
      </c>
      <c r="O98" s="341">
        <f>IF(L98&lt;&gt;"",L98*(1+N98),"")-0.01</f>
        <v>179326.95199999999</v>
      </c>
      <c r="P98" s="341"/>
    </row>
    <row r="99" spans="1:16" ht="12.75">
      <c r="A99" s="331">
        <v>43</v>
      </c>
      <c r="B99" s="265"/>
      <c r="C99" s="279">
        <v>44691</v>
      </c>
      <c r="D99" s="265"/>
      <c r="E99" s="270"/>
      <c r="F99" s="328" t="s">
        <v>27</v>
      </c>
      <c r="G99" s="327" t="s">
        <v>378</v>
      </c>
      <c r="H99" s="310">
        <v>44621</v>
      </c>
      <c r="I99" s="311">
        <v>44651</v>
      </c>
      <c r="J99" s="337" t="s">
        <v>135</v>
      </c>
      <c r="K99" s="338"/>
      <c r="L99" s="339">
        <v>22297</v>
      </c>
      <c r="M99" s="340"/>
      <c r="N99" s="182">
        <v>7.6999999999999999E-2</v>
      </c>
      <c r="O99" s="341">
        <f>IF(L99&lt;&gt;"",L99*(1+N99),"")-0.02</f>
        <v>24013.848999999998</v>
      </c>
      <c r="P99" s="341"/>
    </row>
    <row r="100" spans="1:16" ht="6" customHeight="1">
      <c r="A100" s="81"/>
      <c r="C100" s="277"/>
      <c r="D100" s="394"/>
      <c r="E100" s="395"/>
      <c r="F100" s="396"/>
      <c r="G100" s="397"/>
      <c r="H100" s="274"/>
      <c r="I100" s="241"/>
      <c r="J100" s="262"/>
      <c r="K100" s="263"/>
      <c r="L100" s="242"/>
      <c r="M100" s="243"/>
      <c r="N100" s="183"/>
      <c r="O100" s="242"/>
      <c r="P100" s="260"/>
    </row>
    <row r="101" spans="1:16" ht="12.75" customHeight="1">
      <c r="A101" s="233" t="s">
        <v>181</v>
      </c>
      <c r="B101" s="89"/>
      <c r="C101" s="89"/>
      <c r="D101" s="234"/>
      <c r="E101" s="234"/>
      <c r="F101" s="234"/>
      <c r="G101" s="234"/>
      <c r="H101" s="234"/>
      <c r="I101" s="234"/>
      <c r="J101" s="234"/>
      <c r="K101" s="235"/>
      <c r="L101" s="398">
        <f>-SUMIF(J80:K100,'Dropdowns DL'!B5,L80:M100)+L102</f>
        <v>3515191.7499999995</v>
      </c>
      <c r="M101" s="399"/>
      <c r="N101" s="185"/>
      <c r="O101" s="398">
        <f>-SUMIF(J80:K100,'Dropdowns DL'!B5,O80:P100)+O102</f>
        <v>3785861.4847499989</v>
      </c>
      <c r="P101" s="398"/>
    </row>
    <row r="102" spans="1:16" s="42" customFormat="1" ht="12.75">
      <c r="A102" s="26" t="s">
        <v>182</v>
      </c>
      <c r="B102" s="63"/>
      <c r="C102" s="63"/>
      <c r="D102" s="236"/>
      <c r="E102" s="236"/>
      <c r="F102" s="236"/>
      <c r="G102" s="236"/>
      <c r="H102" s="236"/>
      <c r="I102" s="236"/>
      <c r="J102" s="236"/>
      <c r="K102" s="237"/>
      <c r="L102" s="332">
        <f>SUM(L80:M100)</f>
        <v>3527098.1999999997</v>
      </c>
      <c r="M102" s="376"/>
      <c r="N102" s="186"/>
      <c r="O102" s="332">
        <f>SUM(O80:P100)</f>
        <v>3798684.7413999988</v>
      </c>
      <c r="P102" s="333"/>
    </row>
    <row r="103" spans="1:16" ht="6" customHeight="1">
      <c r="A103" s="85"/>
      <c r="D103" s="86"/>
      <c r="E103" s="86"/>
      <c r="F103" s="86"/>
      <c r="G103" s="86"/>
      <c r="H103" s="86"/>
      <c r="I103" s="86"/>
      <c r="J103" s="86"/>
      <c r="K103" s="64"/>
      <c r="L103" s="244"/>
      <c r="M103" s="245"/>
      <c r="N103" s="187"/>
      <c r="O103" s="244"/>
      <c r="P103" s="261"/>
    </row>
    <row r="104" spans="1:16" ht="12.75" customHeight="1">
      <c r="A104" s="88" t="s">
        <v>214</v>
      </c>
      <c r="D104" s="267"/>
      <c r="J104" s="42" t="s">
        <v>192</v>
      </c>
      <c r="K104" s="17"/>
      <c r="L104" s="332">
        <f>SUMIF(J80:K100,'Dropdowns DL'!B4,L80:M100)</f>
        <v>3515191.75</v>
      </c>
      <c r="M104" s="376"/>
      <c r="N104" s="183"/>
      <c r="O104" s="332">
        <f>SUMIF(J80:K100,'Dropdowns DL'!B4,O80:P100)</f>
        <v>3785861.4847499984</v>
      </c>
      <c r="P104" s="333"/>
    </row>
    <row r="105" spans="1:16" ht="12.75">
      <c r="A105" s="44"/>
      <c r="J105" s="42" t="s">
        <v>278</v>
      </c>
      <c r="K105" s="17"/>
      <c r="L105" s="332">
        <f>SUMIF(J80:K100,'Dropdowns DL'!B6,L80:M100)</f>
        <v>0</v>
      </c>
      <c r="M105" s="376"/>
      <c r="N105" s="183"/>
      <c r="O105" s="332">
        <f>SUMIF(J80:K100,'Dropdowns DL'!B6,O80:P100)</f>
        <v>0</v>
      </c>
      <c r="P105" s="333"/>
    </row>
    <row r="106" spans="1:16" ht="12.75">
      <c r="A106" s="44"/>
      <c r="J106" s="42" t="s">
        <v>193</v>
      </c>
      <c r="K106" s="17"/>
      <c r="L106" s="332">
        <f>SUMIF(J80:K100,'Dropdowns DL'!B5,L80:M100)</f>
        <v>11906.449999999999</v>
      </c>
      <c r="M106" s="376"/>
      <c r="N106" s="183"/>
      <c r="O106" s="332">
        <f>SUMIF(J80:K100,'Dropdowns DL'!B5,O80:P100)</f>
        <v>12823.256649999999</v>
      </c>
      <c r="P106" s="333"/>
    </row>
    <row r="107" spans="1:16" ht="12.75" hidden="1">
      <c r="A107" s="44"/>
      <c r="J107" s="42" t="s">
        <v>194</v>
      </c>
      <c r="K107" s="17"/>
      <c r="L107" s="332">
        <f>SUMIF(J80:K100,'Dropdowns Bau'!B5,L80:M100)</f>
        <v>0</v>
      </c>
      <c r="M107" s="376"/>
      <c r="N107" s="183"/>
      <c r="O107" s="332">
        <f>SUMIF(J80:K100,'Dropdowns Bau'!B5,O80:P100)</f>
        <v>0</v>
      </c>
      <c r="P107" s="333"/>
    </row>
    <row r="108" spans="1:16" ht="6" customHeight="1">
      <c r="A108" s="81"/>
      <c r="B108" s="87"/>
      <c r="C108" s="87"/>
      <c r="D108" s="87"/>
      <c r="E108" s="87"/>
      <c r="F108" s="87"/>
      <c r="G108" s="87"/>
      <c r="H108" s="87"/>
      <c r="I108" s="87"/>
      <c r="J108" s="87"/>
      <c r="K108" s="82"/>
      <c r="L108" s="334"/>
      <c r="M108" s="335"/>
      <c r="N108" s="188"/>
      <c r="O108" s="336"/>
      <c r="P108" s="336"/>
    </row>
    <row r="109" spans="1:16" ht="6" customHeight="1"/>
    <row r="110" spans="1:16" ht="4.5" customHeight="1"/>
    <row r="111" spans="1:16" ht="15">
      <c r="A111" s="167" t="s">
        <v>183</v>
      </c>
      <c r="B111" s="156"/>
      <c r="C111" s="156"/>
      <c r="D111" s="156"/>
      <c r="E111" s="156"/>
      <c r="F111" s="156"/>
      <c r="G111" s="156"/>
      <c r="H111" s="157"/>
      <c r="I111" s="356" t="s">
        <v>210</v>
      </c>
      <c r="J111" s="356"/>
      <c r="K111" s="356"/>
      <c r="L111" s="356"/>
      <c r="M111" s="356"/>
      <c r="N111" s="356"/>
      <c r="O111" s="356"/>
      <c r="P111" s="356"/>
    </row>
    <row r="112" spans="1:16" s="23" customFormat="1" ht="7.5" customHeight="1">
      <c r="A112" s="95"/>
      <c r="B112" s="95"/>
      <c r="C112" s="95"/>
      <c r="D112" s="95"/>
      <c r="E112" s="95"/>
      <c r="F112" s="95"/>
      <c r="G112" s="95"/>
      <c r="H112" s="95"/>
      <c r="I112" s="96"/>
      <c r="J112" s="95"/>
      <c r="K112" s="95"/>
      <c r="L112" s="95"/>
      <c r="M112" s="95"/>
    </row>
    <row r="113" spans="1:16" ht="12" customHeight="1">
      <c r="A113" s="90"/>
      <c r="B113" s="89"/>
      <c r="C113" s="89"/>
      <c r="D113" s="357" t="s">
        <v>208</v>
      </c>
      <c r="E113" s="358"/>
      <c r="F113" s="359" t="s">
        <v>209</v>
      </c>
      <c r="G113" s="360"/>
      <c r="H113" s="23"/>
      <c r="I113" s="361" t="s">
        <v>253</v>
      </c>
      <c r="J113" s="362"/>
      <c r="K113" s="367" t="s">
        <v>277</v>
      </c>
      <c r="L113" s="368"/>
      <c r="M113" s="368"/>
      <c r="N113" s="368"/>
      <c r="O113" s="368"/>
      <c r="P113" s="369"/>
    </row>
    <row r="114" spans="1:16" ht="12.75">
      <c r="A114" s="342" t="s">
        <v>215</v>
      </c>
      <c r="B114" s="343"/>
      <c r="C114" s="344"/>
      <c r="D114" s="383">
        <f>L73</f>
        <v>3923054.1</v>
      </c>
      <c r="E114" s="384"/>
      <c r="F114" s="385">
        <f>O73</f>
        <v>4225129.3</v>
      </c>
      <c r="G114" s="386"/>
      <c r="H114" s="91"/>
      <c r="I114" s="363"/>
      <c r="J114" s="364"/>
      <c r="K114" s="370"/>
      <c r="L114" s="371"/>
      <c r="M114" s="371"/>
      <c r="N114" s="371"/>
      <c r="O114" s="371"/>
      <c r="P114" s="372"/>
    </row>
    <row r="115" spans="1:16" ht="12.75">
      <c r="A115" s="387" t="s">
        <v>181</v>
      </c>
      <c r="B115" s="388"/>
      <c r="C115" s="389"/>
      <c r="D115" s="390">
        <f>L101</f>
        <v>3515191.7499999995</v>
      </c>
      <c r="E115" s="391"/>
      <c r="F115" s="392">
        <f>O101</f>
        <v>3785861.4847499989</v>
      </c>
      <c r="G115" s="393"/>
      <c r="H115" s="91"/>
      <c r="I115" s="363"/>
      <c r="J115" s="364"/>
      <c r="K115" s="370"/>
      <c r="L115" s="371"/>
      <c r="M115" s="371"/>
      <c r="N115" s="371"/>
      <c r="O115" s="371"/>
      <c r="P115" s="372"/>
    </row>
    <row r="116" spans="1:16" ht="12" customHeight="1">
      <c r="A116" s="342" t="s">
        <v>178</v>
      </c>
      <c r="B116" s="343"/>
      <c r="C116" s="344"/>
      <c r="D116" s="348">
        <f>D114-D115</f>
        <v>407862.35000000056</v>
      </c>
      <c r="E116" s="349"/>
      <c r="F116" s="352">
        <f>F114-F115</f>
        <v>439267.81525000092</v>
      </c>
      <c r="G116" s="353"/>
      <c r="H116" s="92"/>
      <c r="I116" s="363"/>
      <c r="J116" s="364"/>
      <c r="K116" s="370"/>
      <c r="L116" s="371"/>
      <c r="M116" s="371"/>
      <c r="N116" s="371"/>
      <c r="O116" s="371"/>
      <c r="P116" s="372"/>
    </row>
    <row r="117" spans="1:16" ht="12" customHeight="1">
      <c r="A117" s="345"/>
      <c r="B117" s="346"/>
      <c r="C117" s="347"/>
      <c r="D117" s="350"/>
      <c r="E117" s="351"/>
      <c r="F117" s="354"/>
      <c r="G117" s="355"/>
      <c r="H117" s="92"/>
      <c r="I117" s="363"/>
      <c r="J117" s="364"/>
      <c r="K117" s="370"/>
      <c r="L117" s="371"/>
      <c r="M117" s="371"/>
      <c r="N117" s="371"/>
      <c r="O117" s="371"/>
      <c r="P117" s="372"/>
    </row>
    <row r="118" spans="1:16" ht="12.75">
      <c r="A118" s="377" t="s">
        <v>177</v>
      </c>
      <c r="B118" s="378"/>
      <c r="C118" s="379"/>
      <c r="D118" s="380">
        <f>IF(D115&lt;&gt;0,D115/D114,0)</f>
        <v>0.89603448242021422</v>
      </c>
      <c r="E118" s="381"/>
      <c r="F118" s="380">
        <f>IF(D115&lt;&gt;0,F115/F114,0)</f>
        <v>0.89603446804574693</v>
      </c>
      <c r="G118" s="382"/>
      <c r="H118" s="93"/>
      <c r="I118" s="365"/>
      <c r="J118" s="366"/>
      <c r="K118" s="373"/>
      <c r="L118" s="374"/>
      <c r="M118" s="374"/>
      <c r="N118" s="374"/>
      <c r="O118" s="374"/>
      <c r="P118" s="375"/>
    </row>
  </sheetData>
  <mergeCells count="190">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J83:K83"/>
    <mergeCell ref="L83:M83"/>
    <mergeCell ref="O83:P83"/>
    <mergeCell ref="J81:K81"/>
    <mergeCell ref="L81:M81"/>
    <mergeCell ref="O81:P81"/>
    <mergeCell ref="J82:K82"/>
    <mergeCell ref="L82:M82"/>
    <mergeCell ref="O82:P82"/>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D100:E100"/>
    <mergeCell ref="F100:G100"/>
    <mergeCell ref="L101:M101"/>
    <mergeCell ref="O101:P101"/>
    <mergeCell ref="L102:M102"/>
    <mergeCell ref="O102:P102"/>
    <mergeCell ref="J92:K92"/>
    <mergeCell ref="L92:M92"/>
    <mergeCell ref="O92:P92"/>
    <mergeCell ref="J98:K98"/>
    <mergeCell ref="L98:M98"/>
    <mergeCell ref="O98:P98"/>
    <mergeCell ref="J89:K89"/>
    <mergeCell ref="L89:M89"/>
    <mergeCell ref="O89:P89"/>
    <mergeCell ref="J99:K99"/>
    <mergeCell ref="L99:M99"/>
    <mergeCell ref="O99:P99"/>
    <mergeCell ref="J90:K90"/>
    <mergeCell ref="L90:M90"/>
    <mergeCell ref="O90:P90"/>
    <mergeCell ref="J91:K91"/>
    <mergeCell ref="L91:M91"/>
    <mergeCell ref="O91:P91"/>
    <mergeCell ref="A116:C117"/>
    <mergeCell ref="D116:E117"/>
    <mergeCell ref="F116:G117"/>
    <mergeCell ref="I111:P111"/>
    <mergeCell ref="D113:E113"/>
    <mergeCell ref="F113:G113"/>
    <mergeCell ref="I113:J118"/>
    <mergeCell ref="K113:P118"/>
    <mergeCell ref="L104:M104"/>
    <mergeCell ref="O104:P104"/>
    <mergeCell ref="L105:M105"/>
    <mergeCell ref="O105:P105"/>
    <mergeCell ref="L106:M106"/>
    <mergeCell ref="O106:P106"/>
    <mergeCell ref="A118:C118"/>
    <mergeCell ref="D118:E118"/>
    <mergeCell ref="F118:G118"/>
    <mergeCell ref="A114:C114"/>
    <mergeCell ref="D114:E114"/>
    <mergeCell ref="F114:G114"/>
    <mergeCell ref="A115:C115"/>
    <mergeCell ref="D115:E115"/>
    <mergeCell ref="F115:G115"/>
    <mergeCell ref="L107:M107"/>
    <mergeCell ref="O107:P107"/>
    <mergeCell ref="L108:M108"/>
    <mergeCell ref="O108:P108"/>
    <mergeCell ref="J93:K93"/>
    <mergeCell ref="L93:M93"/>
    <mergeCell ref="O93:P93"/>
    <mergeCell ref="J94:K94"/>
    <mergeCell ref="L94:M94"/>
    <mergeCell ref="O94:P94"/>
    <mergeCell ref="J95:K95"/>
    <mergeCell ref="L95:M95"/>
    <mergeCell ref="O95:P95"/>
    <mergeCell ref="J96:K96"/>
    <mergeCell ref="L96:M96"/>
    <mergeCell ref="O96:P96"/>
    <mergeCell ref="J97:K97"/>
    <mergeCell ref="L97:M97"/>
    <mergeCell ref="O97:P97"/>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8:G118">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0:K100">
      <formula1>Rechnungsart</formula1>
    </dataValidation>
    <dataValidation type="list" allowBlank="1" showInputMessage="1" showErrorMessage="1" sqref="H100:I100 F80:F99">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9">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61"/>
      <c r="I1" s="461"/>
      <c r="J1" s="149"/>
      <c r="K1" s="189"/>
      <c r="L1" s="166" t="s">
        <v>154</v>
      </c>
      <c r="M1" s="190"/>
      <c r="N1" s="105"/>
      <c r="O1" s="148"/>
      <c r="P1" s="150"/>
    </row>
    <row r="2" spans="1:16" s="14" customFormat="1" ht="12.75">
      <c r="A2" s="16" t="s">
        <v>12</v>
      </c>
      <c r="C2" s="475" t="str">
        <f>'RDB Dienstleistungen'!C2:E2</f>
        <v>EP RHE FRI</v>
      </c>
      <c r="D2" s="475"/>
      <c r="E2" s="476"/>
      <c r="F2" s="16" t="s">
        <v>327</v>
      </c>
      <c r="H2" s="495"/>
      <c r="I2" s="495"/>
      <c r="J2" s="67" t="s">
        <v>195</v>
      </c>
      <c r="K2" s="193"/>
      <c r="L2" s="16" t="s">
        <v>13</v>
      </c>
      <c r="N2" s="159"/>
      <c r="P2" s="18"/>
    </row>
    <row r="3" spans="1:16" s="14" customFormat="1" ht="12.75">
      <c r="A3" s="16" t="s">
        <v>158</v>
      </c>
      <c r="C3" s="496" t="str">
        <f>'RDB Dienstleistungen'!C3:E3</f>
        <v>N3 EP Rheinfelden - Frick und Einzelmassnahmen</v>
      </c>
      <c r="D3" s="496"/>
      <c r="E3" s="497"/>
      <c r="F3" s="16" t="s">
        <v>159</v>
      </c>
      <c r="H3" s="468"/>
      <c r="I3" s="468"/>
      <c r="J3" s="468"/>
      <c r="K3" s="469"/>
      <c r="L3" s="16" t="s">
        <v>166</v>
      </c>
      <c r="N3" s="194"/>
      <c r="O3" s="194"/>
      <c r="P3" s="94"/>
    </row>
    <row r="4" spans="1:16" s="14" customFormat="1" ht="12.75">
      <c r="A4" s="16" t="s">
        <v>184</v>
      </c>
      <c r="C4" s="496" t="str">
        <f>'RDB Dienstleistungen'!C4:E4</f>
        <v>FUP.2</v>
      </c>
      <c r="D4" s="496"/>
      <c r="E4" s="497"/>
      <c r="F4" s="20" t="s">
        <v>165</v>
      </c>
      <c r="H4" s="468" t="str">
        <f>'RDB Dienstleistungen'!H4:J4</f>
        <v>Christian Fuchs</v>
      </c>
      <c r="I4" s="468"/>
      <c r="J4" s="468"/>
      <c r="K4" s="17"/>
      <c r="L4" s="16" t="s">
        <v>175</v>
      </c>
      <c r="N4" s="159"/>
      <c r="O4" s="19" t="s">
        <v>5</v>
      </c>
      <c r="P4" s="161"/>
    </row>
    <row r="5" spans="1:16" s="14" customFormat="1" ht="12.75">
      <c r="A5" s="25"/>
      <c r="C5" s="191"/>
      <c r="D5" s="169"/>
      <c r="E5" s="169"/>
      <c r="F5" s="25"/>
      <c r="G5" s="15" t="s">
        <v>169</v>
      </c>
      <c r="H5" s="468" t="str">
        <f>'RDB Dienstleistungen'!H5:J5</f>
        <v>061 365 22 22</v>
      </c>
      <c r="I5" s="468"/>
      <c r="J5" s="468"/>
      <c r="K5" s="17"/>
      <c r="L5" s="20" t="s">
        <v>25</v>
      </c>
      <c r="N5" s="160"/>
      <c r="O5" s="80" t="s">
        <v>179</v>
      </c>
      <c r="P5" s="162"/>
    </row>
    <row r="6" spans="1:16" s="14" customFormat="1" ht="12.75">
      <c r="A6" s="16" t="s">
        <v>7</v>
      </c>
      <c r="C6" s="468" t="str">
        <f>'RDB Dienstleistungen'!C6:E6</f>
        <v>Nicole Schulz</v>
      </c>
      <c r="D6" s="468"/>
      <c r="E6" s="469"/>
      <c r="F6" s="25"/>
      <c r="G6" s="15" t="s">
        <v>161</v>
      </c>
      <c r="H6" s="500" t="str">
        <f>'RDB Dienstleistungen'!H6:J6</f>
        <v>c.fuchs@aebo.ch</v>
      </c>
      <c r="I6" s="500"/>
      <c r="J6" s="500"/>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1" t="s">
        <v>142</v>
      </c>
      <c r="D8" s="491"/>
      <c r="E8" s="492"/>
      <c r="F8" s="21" t="s">
        <v>162</v>
      </c>
      <c r="G8" s="29"/>
      <c r="H8" s="470" t="str">
        <f>'RDB Dienstleistungen'!H8:K8</f>
        <v>INGE EP RF BB, c/o Aegerter &amp; Bosshardt AG</v>
      </c>
      <c r="I8" s="470"/>
      <c r="J8" s="470"/>
      <c r="K8" s="471"/>
      <c r="L8" s="31" t="s">
        <v>188</v>
      </c>
      <c r="M8" s="32"/>
      <c r="N8" s="32"/>
      <c r="O8" s="32"/>
      <c r="P8" s="30"/>
    </row>
    <row r="9" spans="1:16" s="14" customFormat="1" ht="12.75">
      <c r="A9" s="25"/>
      <c r="C9" s="493"/>
      <c r="D9" s="493"/>
      <c r="E9" s="494"/>
      <c r="F9" s="25"/>
      <c r="H9" s="468" t="str">
        <f>'RDB Dienstleistungen'!H9:K9</f>
        <v>Hochstrasse 48</v>
      </c>
      <c r="I9" s="468"/>
      <c r="J9" s="468"/>
      <c r="K9" s="469"/>
      <c r="L9" s="159"/>
      <c r="M9" s="159"/>
      <c r="N9" s="66"/>
      <c r="O9" s="66"/>
      <c r="P9" s="99"/>
    </row>
    <row r="10" spans="1:16" s="14" customFormat="1" ht="12.75">
      <c r="A10" s="25"/>
      <c r="C10" s="493"/>
      <c r="D10" s="493"/>
      <c r="E10" s="494"/>
      <c r="F10" s="25"/>
      <c r="H10" s="468" t="str">
        <f>'RDB Dienstleistungen'!H10:K10</f>
        <v>4002 Basel</v>
      </c>
      <c r="I10" s="468"/>
      <c r="J10" s="468"/>
      <c r="K10" s="469"/>
      <c r="L10" s="159"/>
      <c r="M10" s="159"/>
      <c r="N10" s="66"/>
      <c r="O10" s="66"/>
      <c r="P10" s="99"/>
    </row>
    <row r="11" spans="1:16" s="14" customFormat="1" ht="12.75" customHeight="1">
      <c r="A11" s="25"/>
      <c r="C11" s="493"/>
      <c r="D11" s="493"/>
      <c r="E11" s="494"/>
      <c r="F11" s="25"/>
      <c r="H11" s="468">
        <f>'RDB Dienstleistungen'!H11:K11</f>
        <v>0</v>
      </c>
      <c r="I11" s="468"/>
      <c r="J11" s="468"/>
      <c r="K11" s="469"/>
      <c r="L11" s="159"/>
      <c r="M11" s="159"/>
      <c r="N11" s="66"/>
      <c r="O11" s="66"/>
      <c r="P11" s="99"/>
    </row>
    <row r="12" spans="1:16" s="14" customFormat="1" ht="12.75">
      <c r="A12" s="25"/>
      <c r="C12" s="493"/>
      <c r="D12" s="493"/>
      <c r="E12" s="494"/>
      <c r="F12" s="25"/>
      <c r="H12" s="472"/>
      <c r="I12" s="472"/>
      <c r="J12" s="472"/>
      <c r="K12" s="18"/>
      <c r="L12" s="159"/>
      <c r="M12" s="159"/>
      <c r="N12" s="66"/>
      <c r="O12" s="164"/>
      <c r="P12" s="99"/>
    </row>
    <row r="13" spans="1:16" s="14" customFormat="1" ht="12.75">
      <c r="A13" s="25"/>
      <c r="C13" s="493"/>
      <c r="D13" s="493"/>
      <c r="E13" s="494"/>
      <c r="F13" s="16" t="s">
        <v>206</v>
      </c>
      <c r="H13" s="468" t="str">
        <f>'RDB Dienstleistungen'!H13:J13</f>
        <v>CHE-164.869.840 MWST</v>
      </c>
      <c r="I13" s="468"/>
      <c r="J13" s="468"/>
      <c r="K13" s="18"/>
      <c r="L13" s="159"/>
      <c r="M13" s="159"/>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04" t="str">
        <f>'RDB Dienstleistungen'!A25:B25</f>
        <v>19.03.48.311.01</v>
      </c>
      <c r="B25" s="490"/>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504">
        <f>'RDB Dienstleistungen'!A26:B26</f>
        <v>0</v>
      </c>
      <c r="B26" s="490"/>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504">
        <f>'RDB Dienstleistungen'!A27:B27</f>
        <v>0</v>
      </c>
      <c r="B27" s="490"/>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504">
        <f>'RDB Dienstleistungen'!A28:B28</f>
        <v>0</v>
      </c>
      <c r="B28" s="490"/>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504">
        <f>'RDB Dienstleistungen'!A29:B29</f>
        <v>0</v>
      </c>
      <c r="B29" s="490"/>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511" t="s">
        <v>334</v>
      </c>
      <c r="C36" s="512"/>
      <c r="D36" s="512"/>
      <c r="E36" s="512"/>
      <c r="F36" s="512"/>
      <c r="G36" s="512"/>
      <c r="H36" s="512"/>
      <c r="I36" s="512"/>
      <c r="J36" s="512"/>
      <c r="K36" s="512"/>
      <c r="L36" s="512"/>
      <c r="M36" s="512"/>
      <c r="N36" s="512"/>
      <c r="O36" s="512"/>
      <c r="P36" s="51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75" t="s">
        <v>250</v>
      </c>
      <c r="D2" s="475"/>
      <c r="E2" s="476"/>
      <c r="F2" s="16" t="s">
        <v>327</v>
      </c>
      <c r="H2" s="495">
        <v>43101</v>
      </c>
      <c r="I2" s="495"/>
      <c r="J2" s="67" t="s">
        <v>195</v>
      </c>
      <c r="K2" s="193">
        <v>43830</v>
      </c>
      <c r="L2" s="16" t="s">
        <v>13</v>
      </c>
      <c r="N2" s="159">
        <v>43196</v>
      </c>
      <c r="P2" s="18"/>
    </row>
    <row r="3" spans="1:16" s="14" customFormat="1" ht="15.75">
      <c r="A3" s="16" t="s">
        <v>158</v>
      </c>
      <c r="C3" s="516" t="s">
        <v>218</v>
      </c>
      <c r="D3" s="516"/>
      <c r="E3" s="517"/>
      <c r="F3" s="16" t="s">
        <v>159</v>
      </c>
      <c r="H3" s="468" t="s">
        <v>219</v>
      </c>
      <c r="I3" s="468"/>
      <c r="J3" s="468"/>
      <c r="K3" s="17"/>
      <c r="L3" s="16" t="s">
        <v>166</v>
      </c>
      <c r="N3" s="194" t="s">
        <v>255</v>
      </c>
      <c r="O3" s="194"/>
      <c r="P3" s="94"/>
    </row>
    <row r="4" spans="1:16" s="14" customFormat="1" ht="12.75">
      <c r="A4" s="16" t="s">
        <v>184</v>
      </c>
      <c r="C4" s="496" t="s">
        <v>251</v>
      </c>
      <c r="D4" s="496"/>
      <c r="E4" s="497"/>
      <c r="F4" s="20" t="s">
        <v>165</v>
      </c>
      <c r="H4" s="468" t="s">
        <v>220</v>
      </c>
      <c r="I4" s="468"/>
      <c r="J4" s="468"/>
      <c r="K4" s="17"/>
      <c r="L4" s="16" t="s">
        <v>175</v>
      </c>
      <c r="N4" s="159">
        <v>43132</v>
      </c>
      <c r="O4" s="19" t="s">
        <v>5</v>
      </c>
      <c r="P4" s="161">
        <v>43190</v>
      </c>
    </row>
    <row r="5" spans="1:16" s="14" customFormat="1" ht="12.75">
      <c r="A5" s="25"/>
      <c r="C5" s="191"/>
      <c r="D5" s="169"/>
      <c r="E5" s="169"/>
      <c r="F5" s="25"/>
      <c r="G5" s="15" t="s">
        <v>169</v>
      </c>
      <c r="H5" s="468" t="s">
        <v>221</v>
      </c>
      <c r="I5" s="468"/>
      <c r="J5" s="468"/>
      <c r="K5" s="17"/>
      <c r="L5" s="20" t="s">
        <v>25</v>
      </c>
      <c r="N5" s="160" t="s">
        <v>27</v>
      </c>
      <c r="O5" s="80" t="s">
        <v>179</v>
      </c>
      <c r="P5" s="162" t="s">
        <v>259</v>
      </c>
    </row>
    <row r="6" spans="1:16" s="14" customFormat="1" ht="12.75">
      <c r="A6" s="16" t="s">
        <v>7</v>
      </c>
      <c r="C6" s="468" t="s">
        <v>221</v>
      </c>
      <c r="D6" s="468"/>
      <c r="E6" s="469"/>
      <c r="F6" s="25"/>
      <c r="G6" s="15" t="s">
        <v>161</v>
      </c>
      <c r="H6" s="500" t="s">
        <v>222</v>
      </c>
      <c r="I6" s="500"/>
      <c r="J6" s="500"/>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1" t="s">
        <v>142</v>
      </c>
      <c r="D8" s="491"/>
      <c r="E8" s="492"/>
      <c r="F8" s="21" t="s">
        <v>162</v>
      </c>
      <c r="G8" s="29"/>
      <c r="H8" s="470" t="s">
        <v>274</v>
      </c>
      <c r="I8" s="470"/>
      <c r="J8" s="470"/>
      <c r="K8" s="30"/>
      <c r="L8" s="31" t="s">
        <v>188</v>
      </c>
      <c r="M8" s="32"/>
      <c r="N8" s="32"/>
      <c r="O8" s="32"/>
      <c r="P8" s="30"/>
    </row>
    <row r="9" spans="1:16" s="14" customFormat="1" ht="12.75">
      <c r="A9" s="25"/>
      <c r="C9" s="493"/>
      <c r="D9" s="493"/>
      <c r="E9" s="494"/>
      <c r="F9" s="25"/>
      <c r="H9" s="468" t="s">
        <v>223</v>
      </c>
      <c r="I9" s="468"/>
      <c r="J9" s="468"/>
      <c r="K9" s="18"/>
      <c r="L9" s="315"/>
      <c r="M9" s="316"/>
      <c r="N9" s="66"/>
      <c r="O9" s="66"/>
      <c r="P9" s="99"/>
    </row>
    <row r="10" spans="1:16" s="14" customFormat="1" ht="12.75">
      <c r="A10" s="25"/>
      <c r="C10" s="493"/>
      <c r="D10" s="493"/>
      <c r="E10" s="494"/>
      <c r="F10" s="25"/>
      <c r="H10" s="468" t="s">
        <v>224</v>
      </c>
      <c r="I10" s="468"/>
      <c r="J10" s="468"/>
      <c r="K10" s="18"/>
      <c r="L10" s="317"/>
      <c r="M10" s="316"/>
      <c r="N10" s="66"/>
      <c r="O10" s="66"/>
      <c r="P10" s="99"/>
    </row>
    <row r="11" spans="1:16" s="14" customFormat="1" ht="12.75">
      <c r="A11" s="25"/>
      <c r="C11" s="493"/>
      <c r="D11" s="493"/>
      <c r="E11" s="494"/>
      <c r="F11" s="25"/>
      <c r="H11" s="468" t="s">
        <v>225</v>
      </c>
      <c r="I11" s="468"/>
      <c r="J11" s="468"/>
      <c r="K11" s="18"/>
      <c r="L11" s="315"/>
      <c r="M11" s="318">
        <v>43200</v>
      </c>
      <c r="N11" s="66"/>
      <c r="O11" s="164">
        <v>43208</v>
      </c>
      <c r="P11" s="99"/>
    </row>
    <row r="12" spans="1:16" s="14" customFormat="1" ht="12.75">
      <c r="A12" s="25"/>
      <c r="C12" s="493"/>
      <c r="D12" s="493"/>
      <c r="E12" s="494"/>
      <c r="F12" s="25"/>
      <c r="H12" s="169"/>
      <c r="I12" s="169"/>
      <c r="J12" s="169"/>
      <c r="K12" s="18"/>
      <c r="L12" s="315"/>
      <c r="M12" s="318"/>
      <c r="N12" s="66"/>
      <c r="O12" s="164"/>
      <c r="P12" s="99"/>
    </row>
    <row r="13" spans="1:16" s="14" customFormat="1" ht="12.75">
      <c r="A13" s="25"/>
      <c r="C13" s="493"/>
      <c r="D13" s="493"/>
      <c r="E13" s="494"/>
      <c r="F13" s="16" t="s">
        <v>206</v>
      </c>
      <c r="H13" s="468" t="s">
        <v>261</v>
      </c>
      <c r="I13" s="468"/>
      <c r="J13" s="468"/>
      <c r="K13" s="18"/>
      <c r="L13" s="315"/>
      <c r="M13" s="316"/>
      <c r="N13" s="66"/>
      <c r="O13" s="66"/>
      <c r="P13" s="99"/>
    </row>
    <row r="14" spans="1:16" s="14" customFormat="1" ht="12.75" hidden="1">
      <c r="A14" s="25"/>
      <c r="C14" s="493"/>
      <c r="D14" s="493"/>
      <c r="E14" s="494"/>
      <c r="F14" s="16"/>
      <c r="H14" s="503"/>
      <c r="I14" s="503"/>
      <c r="J14" s="503"/>
      <c r="K14" s="18"/>
      <c r="L14" s="98"/>
      <c r="M14" s="66"/>
      <c r="N14" s="66"/>
      <c r="O14" s="66"/>
      <c r="P14" s="99"/>
    </row>
    <row r="15" spans="1:16" s="14" customFormat="1" ht="12.75" hidden="1">
      <c r="A15" s="25"/>
      <c r="F15" s="16"/>
      <c r="G15" s="24"/>
      <c r="H15" s="503"/>
      <c r="I15" s="503"/>
      <c r="J15" s="503"/>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77" t="s">
        <v>150</v>
      </c>
      <c r="B21" s="478"/>
      <c r="C21" s="478"/>
      <c r="D21" s="478"/>
      <c r="E21" s="478"/>
      <c r="F21" s="479"/>
      <c r="G21" s="480" t="s">
        <v>276</v>
      </c>
      <c r="H21" s="481"/>
      <c r="I21" s="481"/>
      <c r="J21" s="481"/>
      <c r="K21" s="481"/>
      <c r="L21" s="481"/>
      <c r="M21" s="481"/>
      <c r="N21" s="481"/>
      <c r="O21" s="481"/>
      <c r="P21" s="482"/>
      <c r="Q21" s="15"/>
      <c r="R21" s="15"/>
    </row>
    <row r="22" spans="1:18" s="74" customFormat="1" ht="24">
      <c r="A22" s="483" t="s">
        <v>167</v>
      </c>
      <c r="B22" s="48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85"/>
      <c r="B23" s="48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87"/>
      <c r="B24" s="488"/>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509"/>
      <c r="B30" s="51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505">
        <f>P33</f>
        <v>2319638.4593336</v>
      </c>
      <c r="F40" s="505"/>
      <c r="J40" s="506"/>
      <c r="K40" s="50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7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8"/>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42" t="s">
        <v>213</v>
      </c>
      <c r="B66" s="343"/>
      <c r="C66" s="343"/>
      <c r="D66" s="408" t="s">
        <v>212</v>
      </c>
      <c r="E66" s="501"/>
      <c r="F66" s="502" t="s">
        <v>155</v>
      </c>
      <c r="G66" s="502"/>
      <c r="H66" s="502" t="s">
        <v>241</v>
      </c>
      <c r="I66" s="502"/>
      <c r="J66" s="502" t="s">
        <v>242</v>
      </c>
      <c r="K66" s="507"/>
      <c r="L66" s="508" t="s">
        <v>146</v>
      </c>
      <c r="M66" s="508"/>
      <c r="N66" s="508"/>
      <c r="O66" s="508"/>
      <c r="P66" s="508"/>
    </row>
    <row r="67" spans="1:16">
      <c r="A67" s="419"/>
      <c r="B67" s="420"/>
      <c r="C67" s="420"/>
      <c r="D67" s="413"/>
      <c r="E67" s="455"/>
      <c r="F67" s="456"/>
      <c r="G67" s="456"/>
      <c r="H67" s="456"/>
      <c r="I67" s="456"/>
      <c r="J67" s="456"/>
      <c r="K67" s="457"/>
      <c r="L67" s="458" t="s">
        <v>208</v>
      </c>
      <c r="M67" s="459"/>
      <c r="N67" s="83" t="s">
        <v>152</v>
      </c>
      <c r="O67" s="460" t="s">
        <v>209</v>
      </c>
      <c r="P67" s="460"/>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39">
        <v>400000</v>
      </c>
      <c r="M70" s="340"/>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39"/>
      <c r="M71" s="340"/>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8">
        <f>SUM(L69:M72)</f>
        <v>5350000</v>
      </c>
      <c r="M73" s="399"/>
      <c r="N73" s="185"/>
      <c r="O73" s="398">
        <f>SUM(O69:P72)</f>
        <v>5761950</v>
      </c>
      <c r="P73" s="398"/>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39">
        <v>1545642.6</v>
      </c>
      <c r="M80" s="340"/>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39">
        <v>10000</v>
      </c>
      <c r="M81" s="340"/>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39">
        <v>20000</v>
      </c>
      <c r="M82" s="340"/>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39">
        <v>-10000</v>
      </c>
      <c r="M83" s="340"/>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39">
        <v>2153796.1368</v>
      </c>
      <c r="M84" s="340"/>
      <c r="N84" s="182">
        <v>7.6999999999999999E-2</v>
      </c>
      <c r="O84" s="520">
        <f>IF(L84&lt;&gt;"",L84*(1+N84),"")</f>
        <v>2319638.4393336</v>
      </c>
      <c r="P84" s="520"/>
    </row>
    <row r="85" spans="1:16" ht="12.75">
      <c r="A85" s="272"/>
      <c r="B85" s="265"/>
      <c r="C85" s="279"/>
      <c r="D85" s="265"/>
      <c r="E85" s="270"/>
      <c r="F85" s="302"/>
      <c r="G85" s="307"/>
      <c r="H85" s="310"/>
      <c r="I85" s="311"/>
      <c r="J85" s="521"/>
      <c r="K85" s="522"/>
      <c r="L85" s="339"/>
      <c r="M85" s="340"/>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39"/>
      <c r="M86" s="340"/>
      <c r="N86" s="182">
        <v>7.6999999999999999E-2</v>
      </c>
      <c r="O86" s="520" t="str">
        <f t="shared" si="1"/>
        <v/>
      </c>
      <c r="P86" s="520"/>
    </row>
    <row r="87" spans="1:16" ht="12.75">
      <c r="A87" s="272"/>
      <c r="B87" s="265"/>
      <c r="C87" s="279"/>
      <c r="D87" s="265"/>
      <c r="E87" s="270"/>
      <c r="F87" s="302"/>
      <c r="G87" s="307"/>
      <c r="H87" s="310"/>
      <c r="I87" s="311"/>
      <c r="J87" s="521"/>
      <c r="K87" s="522"/>
      <c r="L87" s="339"/>
      <c r="M87" s="340"/>
      <c r="N87" s="182">
        <v>7.6999999999999999E-2</v>
      </c>
      <c r="O87" s="520" t="str">
        <f t="shared" si="1"/>
        <v/>
      </c>
      <c r="P87" s="520"/>
    </row>
    <row r="88" spans="1:16" ht="12.75">
      <c r="A88" s="272"/>
      <c r="B88" s="265"/>
      <c r="C88" s="279"/>
      <c r="D88" s="265"/>
      <c r="E88" s="270"/>
      <c r="F88" s="302"/>
      <c r="G88" s="307"/>
      <c r="H88" s="310"/>
      <c r="I88" s="311"/>
      <c r="J88" s="521"/>
      <c r="K88" s="522"/>
      <c r="L88" s="339"/>
      <c r="M88" s="340"/>
      <c r="N88" s="182">
        <v>7.6999999999999999E-2</v>
      </c>
      <c r="O88" s="520" t="str">
        <f t="shared" si="1"/>
        <v/>
      </c>
      <c r="P88" s="520"/>
    </row>
    <row r="89" spans="1:16" ht="12.75">
      <c r="A89" s="272"/>
      <c r="B89" s="265"/>
      <c r="C89" s="279"/>
      <c r="D89" s="265"/>
      <c r="E89" s="270"/>
      <c r="F89" s="302"/>
      <c r="G89" s="307"/>
      <c r="H89" s="310"/>
      <c r="I89" s="311"/>
      <c r="J89" s="521"/>
      <c r="K89" s="522"/>
      <c r="L89" s="339"/>
      <c r="M89" s="340"/>
      <c r="N89" s="182">
        <v>7.6999999999999999E-2</v>
      </c>
      <c r="O89" s="520" t="str">
        <f t="shared" si="1"/>
        <v/>
      </c>
      <c r="P89" s="520"/>
    </row>
    <row r="90" spans="1:16" ht="12.75">
      <c r="A90" s="272"/>
      <c r="B90" s="265"/>
      <c r="C90" s="279"/>
      <c r="D90" s="265"/>
      <c r="E90" s="270"/>
      <c r="F90" s="302"/>
      <c r="G90" s="307"/>
      <c r="H90" s="310"/>
      <c r="I90" s="311"/>
      <c r="J90" s="521"/>
      <c r="K90" s="522"/>
      <c r="L90" s="339"/>
      <c r="M90" s="340"/>
      <c r="N90" s="182">
        <v>7.6999999999999999E-2</v>
      </c>
      <c r="O90" s="520" t="str">
        <f t="shared" si="1"/>
        <v/>
      </c>
      <c r="P90" s="520"/>
    </row>
    <row r="91" spans="1:16" ht="12.75">
      <c r="A91" s="272"/>
      <c r="B91" s="265"/>
      <c r="C91" s="279"/>
      <c r="D91" s="265"/>
      <c r="E91" s="270"/>
      <c r="F91" s="302"/>
      <c r="G91" s="307"/>
      <c r="H91" s="310"/>
      <c r="I91" s="311"/>
      <c r="J91" s="521"/>
      <c r="K91" s="522"/>
      <c r="L91" s="339"/>
      <c r="M91" s="340"/>
      <c r="N91" s="182">
        <v>7.6999999999999999E-2</v>
      </c>
      <c r="O91" s="520" t="str">
        <f t="shared" si="1"/>
        <v/>
      </c>
      <c r="P91" s="520"/>
    </row>
    <row r="92" spans="1:16" ht="12.75">
      <c r="A92" s="272"/>
      <c r="B92" s="265"/>
      <c r="C92" s="279"/>
      <c r="D92" s="265"/>
      <c r="E92" s="270"/>
      <c r="F92" s="302"/>
      <c r="G92" s="307"/>
      <c r="H92" s="310"/>
      <c r="I92" s="311"/>
      <c r="J92" s="521"/>
      <c r="K92" s="522"/>
      <c r="L92" s="339"/>
      <c r="M92" s="340"/>
      <c r="N92" s="182">
        <v>7.6999999999999999E-2</v>
      </c>
      <c r="O92" s="520" t="str">
        <f t="shared" si="1"/>
        <v/>
      </c>
      <c r="P92" s="520"/>
    </row>
    <row r="93" spans="1:16" ht="12.75">
      <c r="A93" s="272"/>
      <c r="B93" s="265"/>
      <c r="C93" s="279"/>
      <c r="D93" s="265"/>
      <c r="E93" s="270"/>
      <c r="F93" s="302"/>
      <c r="G93" s="307"/>
      <c r="H93" s="310"/>
      <c r="I93" s="311"/>
      <c r="J93" s="521"/>
      <c r="K93" s="522"/>
      <c r="L93" s="339"/>
      <c r="M93" s="340"/>
      <c r="N93" s="182">
        <v>7.6999999999999999E-2</v>
      </c>
      <c r="O93" s="520" t="str">
        <f t="shared" si="1"/>
        <v/>
      </c>
      <c r="P93" s="520"/>
    </row>
    <row r="94" spans="1:16" ht="12.75">
      <c r="A94" s="273"/>
      <c r="B94" s="265"/>
      <c r="C94" s="275"/>
      <c r="D94" s="265"/>
      <c r="E94" s="269"/>
      <c r="F94" s="306" t="s">
        <v>2</v>
      </c>
      <c r="G94" s="307"/>
      <c r="H94" s="310"/>
      <c r="I94" s="312"/>
      <c r="J94" s="521"/>
      <c r="K94" s="522"/>
      <c r="L94" s="339"/>
      <c r="M94" s="340"/>
      <c r="N94" s="182">
        <v>7.6999999999999999E-2</v>
      </c>
      <c r="O94" s="520" t="str">
        <f>IF(L94&lt;&gt;"",L94*(1+N94),"")</f>
        <v/>
      </c>
      <c r="P94" s="520"/>
    </row>
    <row r="95" spans="1:16" ht="6" customHeight="1">
      <c r="A95" s="81"/>
      <c r="C95" s="277"/>
      <c r="D95" s="394"/>
      <c r="E95" s="395"/>
      <c r="F95" s="396"/>
      <c r="G95" s="39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8">
        <f>-SUMIF(J80:K95,'Dropdowns Bau'!B9,L80:M95)+L97</f>
        <v>3719438.7368000001</v>
      </c>
      <c r="M96" s="399"/>
      <c r="N96" s="185"/>
      <c r="O96" s="398">
        <f>-SUMIF(J80:K95,'Dropdowns Bau'!B9,O80:P95)+O97</f>
        <v>4005835.5195335997</v>
      </c>
      <c r="P96" s="398"/>
    </row>
    <row r="97" spans="1:16" s="42" customFormat="1" ht="12.75">
      <c r="A97" s="26" t="s">
        <v>182</v>
      </c>
      <c r="B97" s="63"/>
      <c r="C97" s="63"/>
      <c r="D97" s="236"/>
      <c r="E97" s="236"/>
      <c r="F97" s="236"/>
      <c r="G97" s="236"/>
      <c r="H97" s="236"/>
      <c r="I97" s="236"/>
      <c r="J97" s="236"/>
      <c r="K97" s="237"/>
      <c r="L97" s="332">
        <f>SUM(L80:M95)</f>
        <v>3719438.7368000001</v>
      </c>
      <c r="M97" s="376"/>
      <c r="N97" s="186"/>
      <c r="O97" s="332">
        <f>SUM(O80:P95)</f>
        <v>4005835.5195335997</v>
      </c>
      <c r="P97" s="33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32">
        <f>SUMIF(J80:K95,'Dropdowns DL'!B4,L80:M95)</f>
        <v>3699438.7368000001</v>
      </c>
      <c r="M99" s="376"/>
      <c r="N99" s="183"/>
      <c r="O99" s="332">
        <f>SUMIF(J80:K95,'Dropdowns DL'!B4,O80:P95)</f>
        <v>3984295.5195335997</v>
      </c>
      <c r="P99" s="333"/>
    </row>
    <row r="100" spans="1:16" ht="12.75">
      <c r="A100" s="44"/>
      <c r="J100" s="42" t="s">
        <v>278</v>
      </c>
      <c r="K100" s="17"/>
      <c r="L100" s="332">
        <f>SUMIF(J80:K95,'Dropdowns DL'!B6,L80:M95)</f>
        <v>20000</v>
      </c>
      <c r="M100" s="376"/>
      <c r="N100" s="183"/>
      <c r="O100" s="332">
        <f>SUMIF(J80:K95,'Dropdowns DL'!B6,O80:P95)</f>
        <v>21540</v>
      </c>
      <c r="P100" s="333"/>
    </row>
    <row r="101" spans="1:16" ht="12.75">
      <c r="A101" s="44"/>
      <c r="J101" s="42" t="s">
        <v>193</v>
      </c>
      <c r="K101" s="17"/>
      <c r="L101" s="332">
        <f>SUMIF(J80:K95,'Dropdowns DL'!B5,L80:M95)</f>
        <v>10000</v>
      </c>
      <c r="M101" s="376"/>
      <c r="N101" s="183"/>
      <c r="O101" s="332">
        <f>SUMIF(J80:K95,'Dropdowns DL'!B5,O80:P95)</f>
        <v>10770</v>
      </c>
      <c r="P101" s="333"/>
    </row>
    <row r="102" spans="1:16" ht="12.75" hidden="1">
      <c r="A102" s="44"/>
      <c r="J102" s="42" t="s">
        <v>194</v>
      </c>
      <c r="K102" s="17"/>
      <c r="L102" s="332">
        <f>SUMIF(J80:K95,'Dropdowns Bau'!B5,L80:M95)</f>
        <v>0</v>
      </c>
      <c r="M102" s="376"/>
      <c r="N102" s="183"/>
      <c r="O102" s="332">
        <f>SUMIF(J80:K95,'Dropdowns Bau'!B5,O80:P95)</f>
        <v>0</v>
      </c>
      <c r="P102" s="333"/>
    </row>
    <row r="103" spans="1:16" ht="6" customHeight="1">
      <c r="A103" s="81"/>
      <c r="B103" s="87"/>
      <c r="C103" s="87"/>
      <c r="D103" s="87"/>
      <c r="E103" s="87"/>
      <c r="F103" s="87"/>
      <c r="G103" s="87"/>
      <c r="H103" s="87"/>
      <c r="I103" s="87"/>
      <c r="J103" s="87"/>
      <c r="K103" s="82"/>
      <c r="L103" s="334"/>
      <c r="M103" s="335"/>
      <c r="N103" s="188"/>
      <c r="O103" s="336"/>
      <c r="P103" s="336"/>
    </row>
    <row r="104" spans="1:16" ht="6" customHeight="1"/>
    <row r="106" spans="1:16" ht="15">
      <c r="A106" s="167" t="s">
        <v>183</v>
      </c>
      <c r="B106" s="156"/>
      <c r="C106" s="156"/>
      <c r="D106" s="156"/>
      <c r="E106" s="156"/>
      <c r="F106" s="156"/>
      <c r="G106" s="156"/>
      <c r="H106" s="157"/>
      <c r="I106" s="356" t="s">
        <v>210</v>
      </c>
      <c r="J106" s="356"/>
      <c r="K106" s="356"/>
      <c r="L106" s="356"/>
      <c r="M106" s="356"/>
      <c r="N106" s="356"/>
      <c r="O106" s="356"/>
      <c r="P106" s="356"/>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57" t="s">
        <v>208</v>
      </c>
      <c r="E108" s="358"/>
      <c r="F108" s="359" t="s">
        <v>209</v>
      </c>
      <c r="G108" s="360"/>
      <c r="H108" s="23"/>
      <c r="I108" s="361" t="s">
        <v>253</v>
      </c>
      <c r="J108" s="362"/>
      <c r="K108" s="367" t="s">
        <v>277</v>
      </c>
      <c r="L108" s="368"/>
      <c r="M108" s="368"/>
      <c r="N108" s="368"/>
      <c r="O108" s="368"/>
      <c r="P108" s="369"/>
    </row>
    <row r="109" spans="1:16" ht="12.75">
      <c r="A109" s="342" t="s">
        <v>215</v>
      </c>
      <c r="B109" s="343"/>
      <c r="C109" s="344"/>
      <c r="D109" s="383">
        <f>L73</f>
        <v>5350000</v>
      </c>
      <c r="E109" s="384"/>
      <c r="F109" s="385">
        <f>O73</f>
        <v>5761950</v>
      </c>
      <c r="G109" s="386"/>
      <c r="H109" s="91"/>
      <c r="I109" s="363"/>
      <c r="J109" s="364"/>
      <c r="K109" s="370"/>
      <c r="L109" s="371"/>
      <c r="M109" s="371"/>
      <c r="N109" s="371"/>
      <c r="O109" s="371"/>
      <c r="P109" s="372"/>
    </row>
    <row r="110" spans="1:16" ht="12.75">
      <c r="A110" s="387" t="s">
        <v>181</v>
      </c>
      <c r="B110" s="388"/>
      <c r="C110" s="389"/>
      <c r="D110" s="390">
        <f>L96</f>
        <v>3719438.7368000001</v>
      </c>
      <c r="E110" s="391"/>
      <c r="F110" s="392">
        <f>O96</f>
        <v>4005835.5195335997</v>
      </c>
      <c r="G110" s="393"/>
      <c r="H110" s="91"/>
      <c r="I110" s="363"/>
      <c r="J110" s="364"/>
      <c r="K110" s="370"/>
      <c r="L110" s="371"/>
      <c r="M110" s="371"/>
      <c r="N110" s="371"/>
      <c r="O110" s="371"/>
      <c r="P110" s="372"/>
    </row>
    <row r="111" spans="1:16" ht="12" customHeight="1">
      <c r="A111" s="342" t="s">
        <v>178</v>
      </c>
      <c r="B111" s="343"/>
      <c r="C111" s="344"/>
      <c r="D111" s="348">
        <f>D109-D110</f>
        <v>1630561.2631999999</v>
      </c>
      <c r="E111" s="349"/>
      <c r="F111" s="352">
        <f>F109-F110</f>
        <v>1756114.4804664003</v>
      </c>
      <c r="G111" s="353"/>
      <c r="H111" s="92"/>
      <c r="I111" s="363"/>
      <c r="J111" s="364"/>
      <c r="K111" s="370"/>
      <c r="L111" s="371"/>
      <c r="M111" s="371"/>
      <c r="N111" s="371"/>
      <c r="O111" s="371"/>
      <c r="P111" s="372"/>
    </row>
    <row r="112" spans="1:16" ht="12" customHeight="1">
      <c r="A112" s="345"/>
      <c r="B112" s="346"/>
      <c r="C112" s="347"/>
      <c r="D112" s="350"/>
      <c r="E112" s="351"/>
      <c r="F112" s="354"/>
      <c r="G112" s="355"/>
      <c r="H112" s="92"/>
      <c r="I112" s="363"/>
      <c r="J112" s="364"/>
      <c r="K112" s="370"/>
      <c r="L112" s="371"/>
      <c r="M112" s="371"/>
      <c r="N112" s="371"/>
      <c r="O112" s="371"/>
      <c r="P112" s="372"/>
    </row>
    <row r="113" spans="1:16" ht="12.75">
      <c r="A113" s="377" t="s">
        <v>177</v>
      </c>
      <c r="B113" s="378"/>
      <c r="C113" s="379"/>
      <c r="D113" s="380">
        <f>IF(D110&lt;&gt;0,D110/D109,0)</f>
        <v>0.69522219379439254</v>
      </c>
      <c r="E113" s="381"/>
      <c r="F113" s="380">
        <f>IF(D110&lt;&gt;0,F110/F109,0)</f>
        <v>0.69522219379439243</v>
      </c>
      <c r="G113" s="382"/>
      <c r="H113" s="93"/>
      <c r="I113" s="365"/>
      <c r="J113" s="366"/>
      <c r="K113" s="373"/>
      <c r="L113" s="374"/>
      <c r="M113" s="374"/>
      <c r="N113" s="374"/>
      <c r="O113" s="374"/>
      <c r="P113" s="375"/>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2022-05-03T09:49:18Z</cp:lastPrinted>
  <dcterms:created xsi:type="dcterms:W3CDTF">1996-10-14T23:33:28Z</dcterms:created>
  <dcterms:modified xsi:type="dcterms:W3CDTF">2022-05-10T10:34:50Z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