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9_Bewertung\2022\"/>
    </mc:Choice>
  </mc:AlternateContent>
  <bookViews>
    <workbookView xWindow="120" yWindow="120" windowWidth="24915" windowHeight="11820" firstSheet="5" activeTab="8"/>
  </bookViews>
  <sheets>
    <sheet name="Ausgangslage - Triage" sheetId="2" r:id="rId1"/>
    <sheet name="Budget EK-MK-AP (2-2020)" sheetId="3" r:id="rId2"/>
    <sheet name="Budget EK-MK-AP (3-2020)" sheetId="4" r:id="rId3"/>
    <sheet name="Budget EK-MK-AP (1-2021)" sheetId="5" r:id="rId4"/>
    <sheet name="Budget EK-MK-AP (2-2021)" sheetId="6" r:id="rId5"/>
    <sheet name="Budget EK-MK-AP (3-2021)" sheetId="7" r:id="rId6"/>
    <sheet name="Ausgangslage - Triage ergänzt" sheetId="8" r:id="rId7"/>
    <sheet name="Budget EK-MK-AP (1-2022)" sheetId="9" r:id="rId8"/>
    <sheet name="Budget EK-MK-AP (2-2022)" sheetId="10" r:id="rId9"/>
  </sheets>
  <definedNames>
    <definedName name="_xlnm.Print_Area" localSheetId="3">'Budget EK-MK-AP (1-2021)'!$A$36:$U$66</definedName>
    <definedName name="_xlnm.Print_Area" localSheetId="7">'Budget EK-MK-AP (1-2022)'!$A$61:$AA$91</definedName>
    <definedName name="_xlnm.Print_Area" localSheetId="4">'Budget EK-MK-AP (2-2021)'!$A$36:$U$66</definedName>
    <definedName name="_xlnm.Print_Area" localSheetId="8">'Budget EK-MK-AP (2-2022)'!$A$61:$AA$91</definedName>
    <definedName name="_xlnm.Print_Area" localSheetId="2">'Budget EK-MK-AP (3-2020)'!$A$36:$U$65</definedName>
    <definedName name="_xlnm.Print_Area" localSheetId="5">'Budget EK-MK-AP (3-2021)'!$A$36:$U$67</definedName>
  </definedNames>
  <calcPr calcId="162913"/>
</workbook>
</file>

<file path=xl/calcChain.xml><?xml version="1.0" encoding="utf-8"?>
<calcChain xmlns="http://schemas.openxmlformats.org/spreadsheetml/2006/main">
  <c r="O79" i="10" l="1"/>
  <c r="P79" i="10"/>
  <c r="J79" i="10"/>
  <c r="C83" i="10" l="1"/>
  <c r="C87" i="10" s="1"/>
  <c r="G103" i="10" l="1"/>
  <c r="G101" i="10"/>
  <c r="K100" i="10"/>
  <c r="K98" i="10"/>
  <c r="K96" i="10"/>
  <c r="G96" i="10"/>
  <c r="K95" i="10"/>
  <c r="G95" i="10"/>
  <c r="K94" i="10"/>
  <c r="K93" i="10"/>
  <c r="G93" i="10"/>
  <c r="R86" i="10"/>
  <c r="O86" i="10"/>
  <c r="M86" i="10"/>
  <c r="J86" i="10"/>
  <c r="H86" i="10"/>
  <c r="E86" i="10"/>
  <c r="R85" i="10"/>
  <c r="T85" i="10" s="1"/>
  <c r="O85" i="10"/>
  <c r="M85" i="10"/>
  <c r="N85" i="10" s="1"/>
  <c r="P85" i="10" s="1"/>
  <c r="S85" i="10" s="1"/>
  <c r="J85" i="10"/>
  <c r="R84" i="10"/>
  <c r="O84" i="10"/>
  <c r="M84" i="10"/>
  <c r="J84" i="10"/>
  <c r="H84" i="10"/>
  <c r="N84" i="10" s="1"/>
  <c r="P84" i="10" s="1"/>
  <c r="S84" i="10" s="1"/>
  <c r="E84" i="10"/>
  <c r="L83" i="10"/>
  <c r="L87" i="10" s="1"/>
  <c r="K83" i="10"/>
  <c r="I83" i="10"/>
  <c r="I87" i="10" s="1"/>
  <c r="G83" i="10"/>
  <c r="G87" i="10" s="1"/>
  <c r="D83" i="10"/>
  <c r="D87" i="10" s="1"/>
  <c r="O82" i="10"/>
  <c r="M82" i="10"/>
  <c r="J82" i="10"/>
  <c r="H82" i="10"/>
  <c r="N82" i="10" s="1"/>
  <c r="F82" i="10"/>
  <c r="R82" i="10" s="1"/>
  <c r="N81" i="10"/>
  <c r="M81" i="10"/>
  <c r="J81" i="10"/>
  <c r="H81" i="10"/>
  <c r="F81" i="10"/>
  <c r="K101" i="10" s="1"/>
  <c r="R80" i="10"/>
  <c r="O80" i="10"/>
  <c r="M80" i="10"/>
  <c r="J80" i="10"/>
  <c r="H80" i="10"/>
  <c r="E80" i="10"/>
  <c r="H79" i="10"/>
  <c r="E79" i="10"/>
  <c r="T78" i="10"/>
  <c r="O78" i="10"/>
  <c r="M78" i="10"/>
  <c r="H78" i="10"/>
  <c r="N78" i="10" s="1"/>
  <c r="P78" i="10" s="1"/>
  <c r="R77" i="10"/>
  <c r="O77" i="10"/>
  <c r="M77" i="10"/>
  <c r="J77" i="10"/>
  <c r="H77" i="10"/>
  <c r="N77" i="10" s="1"/>
  <c r="P77" i="10" s="1"/>
  <c r="S77" i="10" s="1"/>
  <c r="T77" i="10" s="1"/>
  <c r="E77" i="10"/>
  <c r="R76" i="10"/>
  <c r="M76" i="10"/>
  <c r="J76" i="10"/>
  <c r="H76" i="10"/>
  <c r="F76" i="10"/>
  <c r="O76" i="10" s="1"/>
  <c r="E76" i="10"/>
  <c r="R75" i="10"/>
  <c r="O75" i="10"/>
  <c r="M75" i="10"/>
  <c r="J75" i="10"/>
  <c r="H75" i="10"/>
  <c r="E75" i="10"/>
  <c r="R74" i="10"/>
  <c r="O74" i="10"/>
  <c r="M74" i="10"/>
  <c r="J74" i="10"/>
  <c r="H74" i="10"/>
  <c r="E74" i="10"/>
  <c r="R73" i="10"/>
  <c r="O73" i="10"/>
  <c r="M73" i="10"/>
  <c r="J73" i="10"/>
  <c r="E73" i="10"/>
  <c r="H73" i="10"/>
  <c r="N73" i="10" s="1"/>
  <c r="P73" i="10" s="1"/>
  <c r="S73" i="10" s="1"/>
  <c r="R72" i="10"/>
  <c r="O72" i="10"/>
  <c r="M72" i="10"/>
  <c r="M83" i="10" s="1"/>
  <c r="J72" i="10"/>
  <c r="J83" i="10" s="1"/>
  <c r="H72" i="10"/>
  <c r="E72" i="10"/>
  <c r="L65" i="10"/>
  <c r="L64" i="10"/>
  <c r="L63" i="10"/>
  <c r="L62" i="10"/>
  <c r="H43" i="10"/>
  <c r="Q40" i="10"/>
  <c r="U40" i="10" s="1"/>
  <c r="I40" i="10"/>
  <c r="I43" i="10" s="1"/>
  <c r="C40" i="10"/>
  <c r="Q39" i="10"/>
  <c r="Q43" i="10" s="1"/>
  <c r="S30" i="10"/>
  <c r="R30" i="10"/>
  <c r="Q30" i="10"/>
  <c r="P30" i="10"/>
  <c r="O30" i="10"/>
  <c r="N30" i="10"/>
  <c r="M30" i="10"/>
  <c r="K30" i="10"/>
  <c r="I30" i="10"/>
  <c r="H30" i="10"/>
  <c r="G30" i="10"/>
  <c r="F30" i="10"/>
  <c r="V29" i="10"/>
  <c r="U29" i="10"/>
  <c r="T29" i="10"/>
  <c r="V28" i="10"/>
  <c r="T28" i="10"/>
  <c r="T27" i="10"/>
  <c r="V27" i="10" s="1"/>
  <c r="V26" i="10"/>
  <c r="T26" i="10"/>
  <c r="U25" i="10"/>
  <c r="T25" i="10"/>
  <c r="V25" i="10" s="1"/>
  <c r="L25" i="10"/>
  <c r="L30" i="10" s="1"/>
  <c r="J24" i="10"/>
  <c r="J30" i="10" s="1"/>
  <c r="U22" i="10"/>
  <c r="E22" i="10"/>
  <c r="U21" i="10"/>
  <c r="E21" i="10"/>
  <c r="U20" i="10"/>
  <c r="E20" i="10"/>
  <c r="U19" i="10"/>
  <c r="E19" i="10"/>
  <c r="E17" i="10" s="1"/>
  <c r="U18" i="10"/>
  <c r="E18" i="10"/>
  <c r="U17" i="10"/>
  <c r="I17" i="10"/>
  <c r="H17" i="10"/>
  <c r="G17" i="10"/>
  <c r="F17" i="10"/>
  <c r="U9" i="10"/>
  <c r="U30" i="10" s="1"/>
  <c r="M39" i="10" s="1"/>
  <c r="D9" i="10"/>
  <c r="D30" i="10" s="1"/>
  <c r="C9" i="10"/>
  <c r="C30" i="10" s="1"/>
  <c r="N74" i="10" l="1"/>
  <c r="P74" i="10" s="1"/>
  <c r="S74" i="10" s="1"/>
  <c r="T74" i="10" s="1"/>
  <c r="N75" i="10"/>
  <c r="P75" i="10" s="1"/>
  <c r="S75" i="10" s="1"/>
  <c r="V75" i="10" s="1"/>
  <c r="N86" i="10"/>
  <c r="P86" i="10" s="1"/>
  <c r="S86" i="10" s="1"/>
  <c r="T86" i="10" s="1"/>
  <c r="H83" i="10"/>
  <c r="H87" i="10" s="1"/>
  <c r="N80" i="10"/>
  <c r="P80" i="10" s="1"/>
  <c r="S80" i="10" s="1"/>
  <c r="T80" i="10" s="1"/>
  <c r="N76" i="10"/>
  <c r="P76" i="10" s="1"/>
  <c r="S76" i="10" s="1"/>
  <c r="T76" i="10"/>
  <c r="J87" i="10"/>
  <c r="M87" i="10"/>
  <c r="J39" i="10"/>
  <c r="K39" i="10" s="1"/>
  <c r="J40" i="10"/>
  <c r="K40" i="10" s="1"/>
  <c r="T73" i="10"/>
  <c r="T84" i="10"/>
  <c r="T17" i="10"/>
  <c r="V17" i="10" s="1"/>
  <c r="E30" i="10"/>
  <c r="E83" i="10"/>
  <c r="E87" i="10" s="1"/>
  <c r="F83" i="10"/>
  <c r="K103" i="10" s="1"/>
  <c r="U10" i="10"/>
  <c r="T24" i="10"/>
  <c r="V24" i="10" s="1"/>
  <c r="U39" i="10"/>
  <c r="S39" i="10" s="1"/>
  <c r="O81" i="10"/>
  <c r="O83" i="10" s="1"/>
  <c r="O87" i="10" s="1"/>
  <c r="P82" i="10"/>
  <c r="S82" i="10" s="1"/>
  <c r="T82" i="10" s="1"/>
  <c r="K102" i="10"/>
  <c r="T9" i="10"/>
  <c r="N72" i="10"/>
  <c r="P81" i="10"/>
  <c r="S81" i="10" s="1"/>
  <c r="E82" i="10"/>
  <c r="K87" i="10"/>
  <c r="E81" i="10"/>
  <c r="R81" i="10"/>
  <c r="J72" i="9"/>
  <c r="O72" i="9"/>
  <c r="K93" i="9"/>
  <c r="H79" i="9"/>
  <c r="E79" i="9"/>
  <c r="C73" i="9"/>
  <c r="E86" i="9"/>
  <c r="E80" i="9"/>
  <c r="E74" i="9"/>
  <c r="F81" i="9"/>
  <c r="T75" i="10" l="1"/>
  <c r="K88" i="10"/>
  <c r="T81" i="10"/>
  <c r="T30" i="10"/>
  <c r="V9" i="10"/>
  <c r="V30" i="10" s="1"/>
  <c r="S40" i="10"/>
  <c r="S43" i="10" s="1"/>
  <c r="N83" i="10"/>
  <c r="N87" i="10" s="1"/>
  <c r="P72" i="10"/>
  <c r="R83" i="10"/>
  <c r="F87" i="10"/>
  <c r="G102" i="10"/>
  <c r="K43" i="10"/>
  <c r="Q39" i="9"/>
  <c r="H43" i="9"/>
  <c r="R87" i="10" l="1"/>
  <c r="M40" i="10"/>
  <c r="V32" i="10"/>
  <c r="P83" i="10"/>
  <c r="S72" i="10"/>
  <c r="T72" i="10" s="1"/>
  <c r="C42" i="10"/>
  <c r="C44" i="10" s="1"/>
  <c r="U31" i="10"/>
  <c r="O39" i="10"/>
  <c r="L69" i="8"/>
  <c r="F28" i="8"/>
  <c r="F38" i="8"/>
  <c r="U58" i="10" l="1"/>
  <c r="U59" i="10"/>
  <c r="U32" i="10"/>
  <c r="O40" i="10"/>
  <c r="O43" i="10" s="1"/>
  <c r="M43" i="10"/>
  <c r="P87" i="10"/>
  <c r="S83" i="10"/>
  <c r="L25" i="9"/>
  <c r="F66" i="8"/>
  <c r="B49" i="8"/>
  <c r="L51" i="8"/>
  <c r="C40" i="9"/>
  <c r="I40" i="9" s="1"/>
  <c r="Q40" i="9" s="1"/>
  <c r="S87" i="10" l="1"/>
  <c r="S88" i="10" s="1"/>
  <c r="T83" i="10"/>
  <c r="T87" i="10" s="1"/>
  <c r="Q43" i="9"/>
  <c r="U39" i="9" s="1"/>
  <c r="S39" i="9" s="1"/>
  <c r="I43" i="9"/>
  <c r="J39" i="9" s="1"/>
  <c r="K39" i="9" s="1"/>
  <c r="G38" i="8"/>
  <c r="G67" i="8" s="1"/>
  <c r="L48" i="8"/>
  <c r="S40" i="9" l="1"/>
  <c r="S43" i="9"/>
  <c r="U40" i="9"/>
  <c r="J40" i="9"/>
  <c r="K40" i="9" s="1"/>
  <c r="K43" i="9" s="1"/>
  <c r="S30" i="9"/>
  <c r="R30" i="9"/>
  <c r="Q30" i="9"/>
  <c r="P30" i="9"/>
  <c r="O30" i="9"/>
  <c r="N30" i="9"/>
  <c r="M30" i="9"/>
  <c r="L30" i="9"/>
  <c r="T28" i="9"/>
  <c r="V28" i="9" s="1"/>
  <c r="T27" i="9"/>
  <c r="V27" i="9" s="1"/>
  <c r="T26" i="9"/>
  <c r="V26" i="9" s="1"/>
  <c r="B34" i="8"/>
  <c r="G103" i="9"/>
  <c r="G101" i="9"/>
  <c r="K100" i="9"/>
  <c r="K96" i="9"/>
  <c r="G96" i="9"/>
  <c r="K95" i="9"/>
  <c r="G95" i="9"/>
  <c r="G93" i="9"/>
  <c r="R86" i="9"/>
  <c r="O86" i="9"/>
  <c r="M86" i="9"/>
  <c r="J86" i="9"/>
  <c r="H86" i="9"/>
  <c r="R85" i="9"/>
  <c r="O85" i="9"/>
  <c r="M85" i="9"/>
  <c r="N85" i="9" s="1"/>
  <c r="P85" i="9" s="1"/>
  <c r="S85" i="9" s="1"/>
  <c r="J85" i="9"/>
  <c r="R84" i="9"/>
  <c r="O84" i="9"/>
  <c r="M84" i="9"/>
  <c r="J84" i="9"/>
  <c r="H84" i="9"/>
  <c r="N84" i="9" s="1"/>
  <c r="P84" i="9" s="1"/>
  <c r="S84" i="9" s="1"/>
  <c r="T84" i="9" s="1"/>
  <c r="E84" i="9"/>
  <c r="L83" i="9"/>
  <c r="L87" i="9" s="1"/>
  <c r="K83" i="9"/>
  <c r="K87" i="9" s="1"/>
  <c r="I83" i="9"/>
  <c r="I87" i="9" s="1"/>
  <c r="G83" i="9"/>
  <c r="D83" i="9"/>
  <c r="D87" i="9" s="1"/>
  <c r="C83" i="9"/>
  <c r="C87" i="9" s="1"/>
  <c r="M82" i="9"/>
  <c r="J82" i="9"/>
  <c r="H82" i="9"/>
  <c r="F82" i="9"/>
  <c r="R82" i="9" s="1"/>
  <c r="M81" i="9"/>
  <c r="J81" i="9"/>
  <c r="H81" i="9"/>
  <c r="K101" i="9"/>
  <c r="M80" i="9"/>
  <c r="J80" i="9"/>
  <c r="H80" i="9"/>
  <c r="R80" i="9"/>
  <c r="T78" i="9"/>
  <c r="O78" i="9"/>
  <c r="M78" i="9"/>
  <c r="H78" i="9"/>
  <c r="N78" i="9" s="1"/>
  <c r="P78" i="9" s="1"/>
  <c r="M77" i="9"/>
  <c r="J77" i="9"/>
  <c r="H77" i="9"/>
  <c r="K98" i="9"/>
  <c r="M76" i="9"/>
  <c r="J76" i="9"/>
  <c r="H76" i="9"/>
  <c r="F76" i="9"/>
  <c r="R75" i="9"/>
  <c r="O75" i="9"/>
  <c r="M75" i="9"/>
  <c r="J75" i="9"/>
  <c r="H75" i="9"/>
  <c r="N75" i="9" s="1"/>
  <c r="P75" i="9" s="1"/>
  <c r="S75" i="9" s="1"/>
  <c r="E75" i="9"/>
  <c r="R74" i="9"/>
  <c r="O74" i="9"/>
  <c r="M74" i="9"/>
  <c r="J74" i="9"/>
  <c r="H74" i="9"/>
  <c r="M73" i="9"/>
  <c r="J73" i="9"/>
  <c r="H73" i="9"/>
  <c r="R72" i="9"/>
  <c r="L62" i="9"/>
  <c r="H72" i="9"/>
  <c r="E72" i="9"/>
  <c r="L65" i="9"/>
  <c r="L64" i="9"/>
  <c r="L63" i="9"/>
  <c r="K30" i="9"/>
  <c r="I30" i="9"/>
  <c r="H30" i="9"/>
  <c r="G30" i="9"/>
  <c r="F30" i="9"/>
  <c r="U29" i="9"/>
  <c r="T29" i="9"/>
  <c r="U25" i="9"/>
  <c r="T25" i="9"/>
  <c r="J24" i="9"/>
  <c r="J30" i="9" s="1"/>
  <c r="U22" i="9"/>
  <c r="E22" i="9"/>
  <c r="U21" i="9"/>
  <c r="E21" i="9"/>
  <c r="U20" i="9"/>
  <c r="E20" i="9"/>
  <c r="U19" i="9"/>
  <c r="E19" i="9"/>
  <c r="U18" i="9"/>
  <c r="E18" i="9"/>
  <c r="I17" i="9"/>
  <c r="H17" i="9"/>
  <c r="G17" i="9"/>
  <c r="F17" i="9"/>
  <c r="U17" i="9" s="1"/>
  <c r="D9" i="9"/>
  <c r="C9" i="9"/>
  <c r="T9" i="9" s="1"/>
  <c r="H38" i="8"/>
  <c r="H67" i="8" s="1"/>
  <c r="I38" i="8"/>
  <c r="I67" i="8" s="1"/>
  <c r="L28" i="8"/>
  <c r="M72" i="9" l="1"/>
  <c r="O76" i="9"/>
  <c r="F83" i="9"/>
  <c r="R76" i="9"/>
  <c r="N72" i="9"/>
  <c r="P72" i="9" s="1"/>
  <c r="N76" i="9"/>
  <c r="P76" i="9" s="1"/>
  <c r="S76" i="9" s="1"/>
  <c r="T85" i="9"/>
  <c r="N82" i="9"/>
  <c r="N81" i="9"/>
  <c r="P81" i="9" s="1"/>
  <c r="S81" i="9" s="1"/>
  <c r="N77" i="9"/>
  <c r="P77" i="9" s="1"/>
  <c r="S77" i="9" s="1"/>
  <c r="H83" i="9"/>
  <c r="H87" i="9" s="1"/>
  <c r="K88" i="9" s="1"/>
  <c r="E76" i="9"/>
  <c r="O80" i="9"/>
  <c r="N73" i="9"/>
  <c r="N80" i="9"/>
  <c r="P80" i="9" s="1"/>
  <c r="S80" i="9" s="1"/>
  <c r="T80" i="9" s="1"/>
  <c r="G102" i="9"/>
  <c r="N86" i="9"/>
  <c r="P86" i="9" s="1"/>
  <c r="S86" i="9" s="1"/>
  <c r="T86" i="9" s="1"/>
  <c r="E77" i="9"/>
  <c r="R77" i="9"/>
  <c r="V25" i="9"/>
  <c r="E17" i="9"/>
  <c r="E30" i="9" s="1"/>
  <c r="V29" i="9"/>
  <c r="E82" i="9"/>
  <c r="G87" i="9"/>
  <c r="E81" i="9"/>
  <c r="R81" i="9"/>
  <c r="V75" i="9"/>
  <c r="T75" i="9"/>
  <c r="C30" i="9"/>
  <c r="P82" i="9"/>
  <c r="S82" i="9" s="1"/>
  <c r="T82" i="9" s="1"/>
  <c r="U9" i="9"/>
  <c r="U30" i="9" s="1"/>
  <c r="M39" i="9" s="1"/>
  <c r="D30" i="9"/>
  <c r="T24" i="9"/>
  <c r="V24" i="9" s="1"/>
  <c r="J83" i="9"/>
  <c r="J87" i="9" s="1"/>
  <c r="M83" i="9"/>
  <c r="M87" i="9" s="1"/>
  <c r="N74" i="9"/>
  <c r="P74" i="9" s="1"/>
  <c r="S74" i="9" s="1"/>
  <c r="T74" i="9" s="1"/>
  <c r="K102" i="9"/>
  <c r="O82" i="9"/>
  <c r="O77" i="9"/>
  <c r="O81" i="9"/>
  <c r="K28" i="8"/>
  <c r="T76" i="9" l="1"/>
  <c r="T77" i="9"/>
  <c r="T17" i="9"/>
  <c r="T81" i="9"/>
  <c r="U10" i="9"/>
  <c r="R73" i="9"/>
  <c r="E73" i="9"/>
  <c r="E83" i="9" s="1"/>
  <c r="E87" i="9" s="1"/>
  <c r="K94" i="9"/>
  <c r="P73" i="9"/>
  <c r="S73" i="9" s="1"/>
  <c r="O73" i="9"/>
  <c r="O83" i="9" s="1"/>
  <c r="O87" i="9" s="1"/>
  <c r="S72" i="9"/>
  <c r="T72" i="9" s="1"/>
  <c r="N83" i="9"/>
  <c r="N87" i="9" s="1"/>
  <c r="V9" i="9"/>
  <c r="T73" i="9" l="1"/>
  <c r="V17" i="9"/>
  <c r="V30" i="9" s="1"/>
  <c r="T30" i="9"/>
  <c r="P83" i="9"/>
  <c r="F87" i="9"/>
  <c r="R83" i="9"/>
  <c r="K103" i="9"/>
  <c r="V32" i="9" l="1"/>
  <c r="C42" i="9"/>
  <c r="C44" i="9" s="1"/>
  <c r="O39" i="9"/>
  <c r="M40" i="9"/>
  <c r="U31" i="9"/>
  <c r="U32" i="9" s="1"/>
  <c r="S83" i="9"/>
  <c r="S87" i="9" s="1"/>
  <c r="P87" i="9"/>
  <c r="R87" i="9"/>
  <c r="O40" i="9" l="1"/>
  <c r="M43" i="9"/>
  <c r="O43" i="9"/>
  <c r="U58" i="9"/>
  <c r="U59" i="9"/>
  <c r="S88" i="9"/>
  <c r="T83" i="9"/>
  <c r="T87" i="9" s="1"/>
  <c r="L50" i="8" l="1"/>
  <c r="K36" i="8"/>
  <c r="J35" i="8"/>
  <c r="F35" i="8"/>
  <c r="E35" i="8"/>
  <c r="D35" i="8"/>
  <c r="C35" i="8"/>
  <c r="B35" i="8"/>
  <c r="J34" i="8"/>
  <c r="F34" i="8"/>
  <c r="E34" i="8"/>
  <c r="D34" i="8"/>
  <c r="C34" i="8"/>
  <c r="B25" i="8"/>
  <c r="K25" i="8" s="1"/>
  <c r="L24" i="8"/>
  <c r="K24" i="8"/>
  <c r="L23" i="8"/>
  <c r="K23" i="8"/>
  <c r="L20" i="8"/>
  <c r="K20" i="8"/>
  <c r="B17" i="8"/>
  <c r="L17" i="8" s="1"/>
  <c r="L16" i="8"/>
  <c r="K16" i="8"/>
  <c r="L15" i="8"/>
  <c r="K15" i="8"/>
  <c r="F12" i="8"/>
  <c r="E12" i="8"/>
  <c r="D12" i="8"/>
  <c r="C12" i="8"/>
  <c r="B12" i="8"/>
  <c r="K11" i="8"/>
  <c r="L10" i="8"/>
  <c r="L35" i="8" s="1"/>
  <c r="K10" i="8"/>
  <c r="L9" i="8"/>
  <c r="K9" i="8"/>
  <c r="L34" i="8" l="1"/>
  <c r="C37" i="8"/>
  <c r="C38" i="8" s="1"/>
  <c r="C67" i="8" s="1"/>
  <c r="J37" i="8"/>
  <c r="J38" i="8" s="1"/>
  <c r="L59" i="8"/>
  <c r="L68" i="8" s="1"/>
  <c r="D37" i="8"/>
  <c r="D38" i="8" s="1"/>
  <c r="C58" i="8"/>
  <c r="C49" i="8"/>
  <c r="K35" i="8"/>
  <c r="B37" i="8"/>
  <c r="B38" i="8" s="1"/>
  <c r="B67" i="8" s="1"/>
  <c r="L25" i="8"/>
  <c r="E37" i="8"/>
  <c r="E38" i="8" s="1"/>
  <c r="E67" i="8" s="1"/>
  <c r="F37" i="8"/>
  <c r="L36" i="8"/>
  <c r="L37" i="8" s="1"/>
  <c r="L38" i="8" s="1"/>
  <c r="K12" i="8"/>
  <c r="L12" i="8"/>
  <c r="K17" i="8"/>
  <c r="K34" i="8"/>
  <c r="O34" i="7"/>
  <c r="O33" i="7"/>
  <c r="P31" i="7"/>
  <c r="O31" i="7"/>
  <c r="P30" i="7"/>
  <c r="O30" i="7"/>
  <c r="P29" i="7"/>
  <c r="O29" i="7"/>
  <c r="E58" i="8" l="1"/>
  <c r="K37" i="8"/>
  <c r="K38" i="8" s="1"/>
  <c r="B58" i="8"/>
  <c r="F57" i="8"/>
  <c r="E49" i="8"/>
  <c r="N37" i="8"/>
  <c r="N39" i="8" s="1"/>
  <c r="O28" i="7"/>
  <c r="O27" i="7"/>
  <c r="L58" i="8" l="1"/>
  <c r="L49" i="8"/>
  <c r="L57" i="8"/>
  <c r="L60" i="8" s="1"/>
  <c r="F63" i="7"/>
  <c r="F67" i="8" l="1"/>
  <c r="L67" i="8" s="1"/>
  <c r="L66" i="8"/>
  <c r="H49" i="7"/>
  <c r="P49" i="7"/>
  <c r="L40" i="7"/>
  <c r="L39" i="7"/>
  <c r="L38" i="7"/>
  <c r="L37" i="7"/>
  <c r="L37" i="3" l="1"/>
  <c r="L38" i="3"/>
  <c r="L39" i="3"/>
  <c r="L40" i="3"/>
  <c r="E47" i="7"/>
  <c r="S63" i="5"/>
  <c r="S62" i="4"/>
  <c r="S61" i="3"/>
  <c r="O47" i="7" l="1"/>
  <c r="F47" i="3"/>
  <c r="G79" i="7"/>
  <c r="G77" i="7"/>
  <c r="K75" i="7"/>
  <c r="G72" i="7"/>
  <c r="G71" i="7"/>
  <c r="K69" i="7"/>
  <c r="G69" i="7"/>
  <c r="R62" i="7"/>
  <c r="O62" i="7"/>
  <c r="M62" i="7"/>
  <c r="J62" i="7"/>
  <c r="H62" i="7"/>
  <c r="N62" i="7" s="1"/>
  <c r="P62" i="7" s="1"/>
  <c r="S62" i="7" s="1"/>
  <c r="T62" i="7" s="1"/>
  <c r="E62" i="7"/>
  <c r="R61" i="7"/>
  <c r="O61" i="7"/>
  <c r="M61" i="7"/>
  <c r="N61" i="7" s="1"/>
  <c r="P61" i="7" s="1"/>
  <c r="S61" i="7" s="1"/>
  <c r="J61" i="7"/>
  <c r="R60" i="7"/>
  <c r="O60" i="7"/>
  <c r="N60" i="7"/>
  <c r="P60" i="7" s="1"/>
  <c r="S60" i="7" s="1"/>
  <c r="M60" i="7"/>
  <c r="J60" i="7"/>
  <c r="H60" i="7"/>
  <c r="E60" i="7"/>
  <c r="L59" i="7"/>
  <c r="L63" i="7" s="1"/>
  <c r="I59" i="7"/>
  <c r="I63" i="7" s="1"/>
  <c r="G59" i="7"/>
  <c r="G63" i="7" s="1"/>
  <c r="D59" i="7"/>
  <c r="D63" i="7" s="1"/>
  <c r="C59" i="7"/>
  <c r="M58" i="7"/>
  <c r="J58" i="7"/>
  <c r="H58" i="7"/>
  <c r="F58" i="7"/>
  <c r="R58" i="7" s="1"/>
  <c r="E58" i="7"/>
  <c r="M57" i="7"/>
  <c r="J57" i="7"/>
  <c r="H57" i="7"/>
  <c r="N57" i="7" s="1"/>
  <c r="F57" i="7"/>
  <c r="K77" i="7" s="1"/>
  <c r="R56" i="7"/>
  <c r="O56" i="7"/>
  <c r="M56" i="7"/>
  <c r="J56" i="7"/>
  <c r="H56" i="7"/>
  <c r="F56" i="7"/>
  <c r="K76" i="7" s="1"/>
  <c r="E56" i="7"/>
  <c r="T54" i="7"/>
  <c r="O54" i="7"/>
  <c r="M54" i="7"/>
  <c r="H54" i="7"/>
  <c r="N54" i="7" s="1"/>
  <c r="P54" i="7" s="1"/>
  <c r="I53" i="7"/>
  <c r="M53" i="7" s="1"/>
  <c r="G53" i="7"/>
  <c r="D53" i="7"/>
  <c r="C53" i="7"/>
  <c r="M52" i="7"/>
  <c r="K74" i="7"/>
  <c r="H52" i="7"/>
  <c r="F52" i="7"/>
  <c r="F53" i="7" s="1"/>
  <c r="E52" i="7"/>
  <c r="E53" i="7" s="1"/>
  <c r="R51" i="7"/>
  <c r="M51" i="7"/>
  <c r="N51" i="7" s="1"/>
  <c r="P51" i="7" s="1"/>
  <c r="S51" i="7" s="1"/>
  <c r="J51" i="7"/>
  <c r="H51" i="7"/>
  <c r="F51" i="7"/>
  <c r="O51" i="7" s="1"/>
  <c r="E51" i="7"/>
  <c r="R50" i="7"/>
  <c r="M50" i="7"/>
  <c r="J50" i="7"/>
  <c r="H50" i="7"/>
  <c r="O50" i="7"/>
  <c r="E50" i="7"/>
  <c r="R49" i="7"/>
  <c r="O49" i="7"/>
  <c r="M49" i="7"/>
  <c r="J49" i="7"/>
  <c r="K71" i="7"/>
  <c r="E49" i="7"/>
  <c r="M48" i="7"/>
  <c r="J48" i="7"/>
  <c r="H48" i="7"/>
  <c r="F48" i="7"/>
  <c r="R48" i="7" s="1"/>
  <c r="R47" i="7"/>
  <c r="M47" i="7"/>
  <c r="J47" i="7"/>
  <c r="H47" i="7"/>
  <c r="M27" i="7"/>
  <c r="L27" i="7"/>
  <c r="K27" i="7"/>
  <c r="I27" i="7"/>
  <c r="H27" i="7"/>
  <c r="G27" i="7"/>
  <c r="F27" i="7"/>
  <c r="O26" i="7"/>
  <c r="N26" i="7"/>
  <c r="O25" i="7"/>
  <c r="N25" i="7"/>
  <c r="P25" i="7" s="1"/>
  <c r="J24" i="7"/>
  <c r="N24" i="7" s="1"/>
  <c r="P24" i="7" s="1"/>
  <c r="O22" i="7"/>
  <c r="E22" i="7"/>
  <c r="O21" i="7"/>
  <c r="E21" i="7"/>
  <c r="O20" i="7"/>
  <c r="E20" i="7"/>
  <c r="O19" i="7"/>
  <c r="E19" i="7"/>
  <c r="O18" i="7"/>
  <c r="E18" i="7"/>
  <c r="I17" i="7"/>
  <c r="H17" i="7"/>
  <c r="G17" i="7"/>
  <c r="F17" i="7"/>
  <c r="O17" i="7" s="1"/>
  <c r="O9" i="7"/>
  <c r="O10" i="7" s="1"/>
  <c r="D9" i="7"/>
  <c r="D27" i="7" s="1"/>
  <c r="C9" i="7"/>
  <c r="N9" i="7" s="1"/>
  <c r="N58" i="7" l="1"/>
  <c r="E17" i="7"/>
  <c r="P26" i="7"/>
  <c r="R57" i="7"/>
  <c r="P57" i="7"/>
  <c r="S57" i="7" s="1"/>
  <c r="N56" i="7"/>
  <c r="P56" i="7" s="1"/>
  <c r="S56" i="7" s="1"/>
  <c r="T56" i="7" s="1"/>
  <c r="E57" i="7"/>
  <c r="N48" i="7"/>
  <c r="H53" i="7"/>
  <c r="N53" i="7" s="1"/>
  <c r="P53" i="7" s="1"/>
  <c r="S53" i="7" s="1"/>
  <c r="N52" i="7"/>
  <c r="P52" i="7" s="1"/>
  <c r="S52" i="7" s="1"/>
  <c r="G78" i="7"/>
  <c r="N50" i="7"/>
  <c r="M59" i="7"/>
  <c r="M63" i="7" s="1"/>
  <c r="N49" i="7"/>
  <c r="S49" i="7" s="1"/>
  <c r="T49" i="7" s="1"/>
  <c r="C63" i="7"/>
  <c r="P58" i="7"/>
  <c r="S58" i="7" s="1"/>
  <c r="T58" i="7" s="1"/>
  <c r="T60" i="7"/>
  <c r="N17" i="7"/>
  <c r="P17" i="7" s="1"/>
  <c r="E27" i="7"/>
  <c r="T51" i="7"/>
  <c r="P9" i="7"/>
  <c r="N27" i="7"/>
  <c r="O53" i="7"/>
  <c r="R53" i="7"/>
  <c r="T61" i="7"/>
  <c r="H59" i="7"/>
  <c r="H63" i="7" s="1"/>
  <c r="J27" i="7"/>
  <c r="N47" i="7"/>
  <c r="P47" i="7" s="1"/>
  <c r="O48" i="7"/>
  <c r="R52" i="7"/>
  <c r="T52" i="7" s="1"/>
  <c r="K70" i="7"/>
  <c r="K72" i="7"/>
  <c r="K78" i="7"/>
  <c r="K53" i="7"/>
  <c r="C27" i="7"/>
  <c r="P48" i="7"/>
  <c r="S48" i="7" s="1"/>
  <c r="T48" i="7" s="1"/>
  <c r="O58" i="7"/>
  <c r="F59" i="7"/>
  <c r="K73" i="7"/>
  <c r="E48" i="7"/>
  <c r="E59" i="7" s="1"/>
  <c r="E63" i="7" s="1"/>
  <c r="J52" i="7"/>
  <c r="J53" i="7" s="1"/>
  <c r="O52" i="7"/>
  <c r="O57" i="7"/>
  <c r="K59" i="7"/>
  <c r="K53" i="6"/>
  <c r="M52" i="6"/>
  <c r="K52" i="6"/>
  <c r="F52" i="6"/>
  <c r="M47" i="6"/>
  <c r="K73" i="6"/>
  <c r="K69" i="6"/>
  <c r="K68" i="6"/>
  <c r="J56" i="6"/>
  <c r="G53" i="6"/>
  <c r="H52" i="6"/>
  <c r="H49" i="6"/>
  <c r="F55" i="6"/>
  <c r="C53" i="6"/>
  <c r="F47" i="6"/>
  <c r="E50" i="6"/>
  <c r="F48" i="6"/>
  <c r="F49" i="6"/>
  <c r="F50" i="6"/>
  <c r="E47" i="6"/>
  <c r="D58" i="6"/>
  <c r="I53" i="6"/>
  <c r="O58" i="6"/>
  <c r="L58" i="6"/>
  <c r="L62" i="6" s="1"/>
  <c r="K58" i="6"/>
  <c r="I58" i="6"/>
  <c r="G58" i="6"/>
  <c r="F58" i="6"/>
  <c r="E58" i="6"/>
  <c r="D53" i="6"/>
  <c r="C58" i="6"/>
  <c r="C62" i="6" s="1"/>
  <c r="G78" i="6"/>
  <c r="G76" i="6"/>
  <c r="K74" i="6"/>
  <c r="G71" i="6"/>
  <c r="G70" i="6"/>
  <c r="G68" i="6"/>
  <c r="R61" i="6"/>
  <c r="O61" i="6"/>
  <c r="M61" i="6"/>
  <c r="J61" i="6"/>
  <c r="H61" i="6"/>
  <c r="E61" i="6"/>
  <c r="R60" i="6"/>
  <c r="O60" i="6"/>
  <c r="M60" i="6"/>
  <c r="N60" i="6" s="1"/>
  <c r="P60" i="6" s="1"/>
  <c r="S60" i="6" s="1"/>
  <c r="J60" i="6"/>
  <c r="R59" i="6"/>
  <c r="O59" i="6"/>
  <c r="M59" i="6"/>
  <c r="N59" i="6" s="1"/>
  <c r="P59" i="6" s="1"/>
  <c r="S59" i="6" s="1"/>
  <c r="J59" i="6"/>
  <c r="H59" i="6"/>
  <c r="E59" i="6"/>
  <c r="M57" i="6"/>
  <c r="N57" i="6" s="1"/>
  <c r="J57" i="6"/>
  <c r="H57" i="6"/>
  <c r="F57" i="6"/>
  <c r="R57" i="6" s="1"/>
  <c r="M56" i="6"/>
  <c r="H56" i="6"/>
  <c r="N56" i="6" s="1"/>
  <c r="F56" i="6"/>
  <c r="K76" i="6" s="1"/>
  <c r="R55" i="6"/>
  <c r="M55" i="6"/>
  <c r="J55" i="6"/>
  <c r="H55" i="6"/>
  <c r="O55" i="6"/>
  <c r="E55" i="6"/>
  <c r="T54" i="6"/>
  <c r="O54" i="6"/>
  <c r="M54" i="6"/>
  <c r="N54" i="6" s="1"/>
  <c r="P54" i="6" s="1"/>
  <c r="H54" i="6"/>
  <c r="M53" i="6"/>
  <c r="D62" i="6"/>
  <c r="F53" i="6"/>
  <c r="E52" i="6"/>
  <c r="E53" i="6" s="1"/>
  <c r="R51" i="6"/>
  <c r="M51" i="6"/>
  <c r="N51" i="6" s="1"/>
  <c r="P51" i="6" s="1"/>
  <c r="S51" i="6" s="1"/>
  <c r="J51" i="6"/>
  <c r="H51" i="6"/>
  <c r="F51" i="6"/>
  <c r="K72" i="6" s="1"/>
  <c r="E51" i="6"/>
  <c r="R50" i="6"/>
  <c r="M50" i="6"/>
  <c r="J50" i="6"/>
  <c r="H50" i="6"/>
  <c r="O50" i="6"/>
  <c r="R49" i="6"/>
  <c r="O49" i="6"/>
  <c r="M49" i="6"/>
  <c r="N49" i="6" s="1"/>
  <c r="P49" i="6" s="1"/>
  <c r="S49" i="6" s="1"/>
  <c r="T49" i="6" s="1"/>
  <c r="J49" i="6"/>
  <c r="K70" i="6"/>
  <c r="E49" i="6"/>
  <c r="M48" i="6"/>
  <c r="J48" i="6"/>
  <c r="H48" i="6"/>
  <c r="R48" i="6"/>
  <c r="R47" i="6"/>
  <c r="J47" i="6"/>
  <c r="H47" i="6"/>
  <c r="M27" i="6"/>
  <c r="L27" i="6"/>
  <c r="K27" i="6"/>
  <c r="I27" i="6"/>
  <c r="H27" i="6"/>
  <c r="G27" i="6"/>
  <c r="F27" i="6"/>
  <c r="O26" i="6"/>
  <c r="N26" i="6"/>
  <c r="P26" i="6" s="1"/>
  <c r="O25" i="6"/>
  <c r="N25" i="6"/>
  <c r="P25" i="6" s="1"/>
  <c r="J24" i="6"/>
  <c r="N24" i="6" s="1"/>
  <c r="P24" i="6" s="1"/>
  <c r="O22" i="6"/>
  <c r="E22" i="6"/>
  <c r="O21" i="6"/>
  <c r="E21" i="6"/>
  <c r="O20" i="6"/>
  <c r="E20" i="6"/>
  <c r="O19" i="6"/>
  <c r="E19" i="6"/>
  <c r="O18" i="6"/>
  <c r="E18" i="6"/>
  <c r="I17" i="6"/>
  <c r="H17" i="6"/>
  <c r="G17" i="6"/>
  <c r="F17" i="6"/>
  <c r="O17" i="6" s="1"/>
  <c r="E17" i="6"/>
  <c r="E27" i="6" s="1"/>
  <c r="O9" i="6"/>
  <c r="O27" i="6" s="1"/>
  <c r="N9" i="6"/>
  <c r="D9" i="6"/>
  <c r="D27" i="6" s="1"/>
  <c r="C9" i="6"/>
  <c r="C27" i="6" s="1"/>
  <c r="P50" i="7" l="1"/>
  <c r="S50" i="7" s="1"/>
  <c r="P27" i="7"/>
  <c r="T57" i="7"/>
  <c r="J59" i="7"/>
  <c r="J63" i="7" s="1"/>
  <c r="N59" i="7"/>
  <c r="N63" i="7" s="1"/>
  <c r="O59" i="7"/>
  <c r="O63" i="7" s="1"/>
  <c r="R59" i="7"/>
  <c r="T53" i="7"/>
  <c r="K79" i="7"/>
  <c r="K63" i="7"/>
  <c r="K64" i="7" s="1"/>
  <c r="N61" i="6"/>
  <c r="P61" i="6" s="1"/>
  <c r="S61" i="6" s="1"/>
  <c r="T61" i="6" s="1"/>
  <c r="M58" i="6"/>
  <c r="M62" i="6" s="1"/>
  <c r="N55" i="6"/>
  <c r="P55" i="6" s="1"/>
  <c r="S55" i="6" s="1"/>
  <c r="T55" i="6" s="1"/>
  <c r="N50" i="6"/>
  <c r="P50" i="6" s="1"/>
  <c r="S50" i="6" s="1"/>
  <c r="V50" i="6" s="1"/>
  <c r="H58" i="6"/>
  <c r="N48" i="6"/>
  <c r="N52" i="6"/>
  <c r="P52" i="6" s="1"/>
  <c r="S52" i="6" s="1"/>
  <c r="T51" i="6"/>
  <c r="N47" i="6"/>
  <c r="P47" i="6" s="1"/>
  <c r="G62" i="6"/>
  <c r="G77" i="6"/>
  <c r="O53" i="6"/>
  <c r="R53" i="6"/>
  <c r="T59" i="6"/>
  <c r="T60" i="6"/>
  <c r="O57" i="6"/>
  <c r="I62" i="6"/>
  <c r="N17" i="6"/>
  <c r="P17" i="6" s="1"/>
  <c r="E56" i="6"/>
  <c r="R56" i="6"/>
  <c r="P9" i="6"/>
  <c r="J27" i="6"/>
  <c r="O48" i="6"/>
  <c r="R52" i="6"/>
  <c r="H53" i="6"/>
  <c r="N53" i="6" s="1"/>
  <c r="P53" i="6" s="1"/>
  <c r="S53" i="6" s="1"/>
  <c r="O10" i="6"/>
  <c r="O47" i="6"/>
  <c r="P48" i="6"/>
  <c r="S48" i="6" s="1"/>
  <c r="T48" i="6" s="1"/>
  <c r="O56" i="6"/>
  <c r="P57" i="6"/>
  <c r="S57" i="6" s="1"/>
  <c r="T57" i="6" s="1"/>
  <c r="K71" i="6"/>
  <c r="K75" i="6"/>
  <c r="K77" i="6"/>
  <c r="E48" i="6"/>
  <c r="O51" i="6"/>
  <c r="J52" i="6"/>
  <c r="J53" i="6" s="1"/>
  <c r="O52" i="6"/>
  <c r="P56" i="6"/>
  <c r="S56" i="6" s="1"/>
  <c r="E57" i="6"/>
  <c r="M49" i="5"/>
  <c r="R53" i="5"/>
  <c r="O53" i="5"/>
  <c r="M53" i="5"/>
  <c r="N53" i="5" s="1"/>
  <c r="P53" i="5" s="1"/>
  <c r="S53" i="5" s="1"/>
  <c r="K53" i="5"/>
  <c r="J53" i="5"/>
  <c r="H53" i="5"/>
  <c r="G53" i="5"/>
  <c r="F53" i="5"/>
  <c r="E53" i="5"/>
  <c r="D53" i="5"/>
  <c r="C53" i="5"/>
  <c r="V50" i="7" l="1"/>
  <c r="T50" i="7"/>
  <c r="P59" i="7"/>
  <c r="S47" i="7"/>
  <c r="T47" i="7" s="1"/>
  <c r="R63" i="7"/>
  <c r="T50" i="6"/>
  <c r="T52" i="6"/>
  <c r="N58" i="6"/>
  <c r="J58" i="6"/>
  <c r="J62" i="6" s="1"/>
  <c r="E62" i="6"/>
  <c r="K78" i="6"/>
  <c r="K62" i="6"/>
  <c r="K63" i="6" s="1"/>
  <c r="P27" i="6"/>
  <c r="T56" i="6"/>
  <c r="T53" i="6"/>
  <c r="N27" i="6"/>
  <c r="R58" i="6"/>
  <c r="F62" i="6"/>
  <c r="O62" i="6"/>
  <c r="T53" i="5"/>
  <c r="S59" i="7" l="1"/>
  <c r="S63" i="7" s="1"/>
  <c r="P63" i="7"/>
  <c r="S47" i="6"/>
  <c r="T47" i="6" s="1"/>
  <c r="P58" i="6"/>
  <c r="H62" i="6"/>
  <c r="R62" i="6"/>
  <c r="M47" i="5"/>
  <c r="S64" i="7" l="1"/>
  <c r="T59" i="7"/>
  <c r="T63" i="7" s="1"/>
  <c r="N62" i="6"/>
  <c r="K68" i="5"/>
  <c r="G68" i="5"/>
  <c r="G78" i="5"/>
  <c r="G76" i="5"/>
  <c r="K74" i="5"/>
  <c r="G71" i="5"/>
  <c r="G70" i="5"/>
  <c r="R61" i="5"/>
  <c r="O61" i="5"/>
  <c r="M61" i="5"/>
  <c r="J61" i="5"/>
  <c r="H61" i="5"/>
  <c r="E61" i="5"/>
  <c r="R60" i="5"/>
  <c r="O60" i="5"/>
  <c r="M60" i="5"/>
  <c r="N60" i="5" s="1"/>
  <c r="P60" i="5" s="1"/>
  <c r="S60" i="5" s="1"/>
  <c r="J60" i="5"/>
  <c r="R59" i="5"/>
  <c r="O59" i="5"/>
  <c r="M59" i="5"/>
  <c r="J59" i="5"/>
  <c r="H59" i="5"/>
  <c r="N59" i="5" s="1"/>
  <c r="P59" i="5" s="1"/>
  <c r="S59" i="5" s="1"/>
  <c r="E59" i="5"/>
  <c r="L58" i="5"/>
  <c r="L62" i="5" s="1"/>
  <c r="I58" i="5"/>
  <c r="G58" i="5"/>
  <c r="G62" i="5" s="1"/>
  <c r="D58" i="5"/>
  <c r="D62" i="5" s="1"/>
  <c r="C58" i="5"/>
  <c r="C62" i="5" s="1"/>
  <c r="M57" i="5"/>
  <c r="J57" i="5"/>
  <c r="H57" i="5"/>
  <c r="F57" i="5"/>
  <c r="R57" i="5" s="1"/>
  <c r="M56" i="5"/>
  <c r="N56" i="5" s="1"/>
  <c r="J56" i="5"/>
  <c r="H56" i="5"/>
  <c r="F56" i="5"/>
  <c r="K76" i="5" s="1"/>
  <c r="R55" i="5"/>
  <c r="M55" i="5"/>
  <c r="J55" i="5"/>
  <c r="H55" i="5"/>
  <c r="N55" i="5" s="1"/>
  <c r="P55" i="5" s="1"/>
  <c r="S55" i="5" s="1"/>
  <c r="F55" i="5"/>
  <c r="O55" i="5" s="1"/>
  <c r="E55" i="5"/>
  <c r="T54" i="5"/>
  <c r="O54" i="5"/>
  <c r="N54" i="5"/>
  <c r="P54" i="5" s="1"/>
  <c r="M54" i="5"/>
  <c r="H54" i="5"/>
  <c r="M52" i="5"/>
  <c r="H52" i="5"/>
  <c r="N52" i="5" s="1"/>
  <c r="F52" i="5"/>
  <c r="R52" i="5" s="1"/>
  <c r="M51" i="5"/>
  <c r="N51" i="5" s="1"/>
  <c r="J51" i="5"/>
  <c r="H51" i="5"/>
  <c r="F51" i="5"/>
  <c r="R51" i="5" s="1"/>
  <c r="R50" i="5"/>
  <c r="M50" i="5"/>
  <c r="J50" i="5"/>
  <c r="H50" i="5"/>
  <c r="F50" i="5"/>
  <c r="O50" i="5" s="1"/>
  <c r="E50" i="5"/>
  <c r="O49" i="5"/>
  <c r="J49" i="5"/>
  <c r="H49" i="5"/>
  <c r="F49" i="5"/>
  <c r="K70" i="5" s="1"/>
  <c r="E49" i="5"/>
  <c r="M48" i="5"/>
  <c r="J48" i="5"/>
  <c r="H48" i="5"/>
  <c r="J47" i="5"/>
  <c r="H47" i="5"/>
  <c r="F47" i="5"/>
  <c r="R47" i="5" s="1"/>
  <c r="M27" i="5"/>
  <c r="L27" i="5"/>
  <c r="K27" i="5"/>
  <c r="I27" i="5"/>
  <c r="H27" i="5"/>
  <c r="G27" i="5"/>
  <c r="F27" i="5"/>
  <c r="P26" i="5"/>
  <c r="O26" i="5"/>
  <c r="N26" i="5"/>
  <c r="O25" i="5"/>
  <c r="N25" i="5"/>
  <c r="P25" i="5" s="1"/>
  <c r="J24" i="5"/>
  <c r="J27" i="5" s="1"/>
  <c r="O22" i="5"/>
  <c r="E22" i="5"/>
  <c r="O21" i="5"/>
  <c r="E21" i="5"/>
  <c r="O20" i="5"/>
  <c r="E20" i="5"/>
  <c r="O19" i="5"/>
  <c r="E19" i="5"/>
  <c r="O18" i="5"/>
  <c r="E18" i="5"/>
  <c r="O17" i="5"/>
  <c r="I17" i="5"/>
  <c r="H17" i="5"/>
  <c r="G17" i="5"/>
  <c r="F17" i="5"/>
  <c r="O9" i="5"/>
  <c r="O27" i="5" s="1"/>
  <c r="D9" i="5"/>
  <c r="F48" i="5" s="1"/>
  <c r="C9" i="5"/>
  <c r="N9" i="5" s="1"/>
  <c r="P62" i="6" l="1"/>
  <c r="S58" i="6"/>
  <c r="O57" i="5"/>
  <c r="E17" i="5"/>
  <c r="N17" i="5" s="1"/>
  <c r="N48" i="5"/>
  <c r="P48" i="5" s="1"/>
  <c r="S48" i="5" s="1"/>
  <c r="N57" i="5"/>
  <c r="N61" i="5"/>
  <c r="P61" i="5" s="1"/>
  <c r="S61" i="5" s="1"/>
  <c r="M58" i="5"/>
  <c r="M62" i="5" s="1"/>
  <c r="N49" i="5"/>
  <c r="P49" i="5" s="1"/>
  <c r="S49" i="5" s="1"/>
  <c r="N47" i="5"/>
  <c r="I62" i="5"/>
  <c r="T60" i="5"/>
  <c r="N50" i="5"/>
  <c r="P50" i="5" s="1"/>
  <c r="S50" i="5" s="1"/>
  <c r="H58" i="5"/>
  <c r="G77" i="5"/>
  <c r="E27" i="5"/>
  <c r="T59" i="5"/>
  <c r="H62" i="5"/>
  <c r="P9" i="5"/>
  <c r="R48" i="5"/>
  <c r="E48" i="5"/>
  <c r="O48" i="5"/>
  <c r="K69" i="5"/>
  <c r="T55" i="5"/>
  <c r="T61" i="5"/>
  <c r="F58" i="5"/>
  <c r="O10" i="5"/>
  <c r="N24" i="5"/>
  <c r="P24" i="5" s="1"/>
  <c r="C27" i="5"/>
  <c r="O47" i="5"/>
  <c r="R49" i="5"/>
  <c r="O51" i="5"/>
  <c r="O52" i="5"/>
  <c r="O56" i="5"/>
  <c r="P57" i="5"/>
  <c r="S57" i="5" s="1"/>
  <c r="T57" i="5" s="1"/>
  <c r="K71" i="5"/>
  <c r="K75" i="5"/>
  <c r="K77" i="5"/>
  <c r="D27" i="5"/>
  <c r="P47" i="5"/>
  <c r="S47" i="5" s="1"/>
  <c r="T47" i="5" s="1"/>
  <c r="P51" i="5"/>
  <c r="S51" i="5" s="1"/>
  <c r="T51" i="5" s="1"/>
  <c r="E52" i="5"/>
  <c r="K52" i="5"/>
  <c r="P52" i="5"/>
  <c r="S52" i="5" s="1"/>
  <c r="T52" i="5" s="1"/>
  <c r="P56" i="5"/>
  <c r="S56" i="5" s="1"/>
  <c r="E57" i="5"/>
  <c r="K72" i="5"/>
  <c r="E47" i="5"/>
  <c r="E51" i="5"/>
  <c r="E56" i="5"/>
  <c r="R56" i="5"/>
  <c r="H51" i="4"/>
  <c r="H52" i="4"/>
  <c r="E52" i="4"/>
  <c r="F52" i="4"/>
  <c r="M52" i="4"/>
  <c r="N52" i="4" s="1"/>
  <c r="P52" i="4" s="1"/>
  <c r="S52" i="4" s="1"/>
  <c r="T52" i="4" s="1"/>
  <c r="K52" i="4"/>
  <c r="K72" i="4" s="1"/>
  <c r="K73" i="4"/>
  <c r="T53" i="4"/>
  <c r="R52" i="4"/>
  <c r="O53" i="4"/>
  <c r="O52" i="4"/>
  <c r="F54" i="4"/>
  <c r="K74" i="4" s="1"/>
  <c r="O25" i="4"/>
  <c r="N25" i="4"/>
  <c r="P25" i="4" s="1"/>
  <c r="L27" i="4"/>
  <c r="M27" i="4"/>
  <c r="K27" i="4"/>
  <c r="F50" i="2"/>
  <c r="E51" i="2"/>
  <c r="I51" i="2"/>
  <c r="C51" i="2"/>
  <c r="B51" i="2"/>
  <c r="B42" i="2"/>
  <c r="I52" i="2"/>
  <c r="I50" i="2"/>
  <c r="I53" i="2" s="1"/>
  <c r="E42" i="2"/>
  <c r="O26" i="3"/>
  <c r="N24" i="3"/>
  <c r="N27" i="3"/>
  <c r="G69" i="4"/>
  <c r="G70" i="4"/>
  <c r="G75" i="4"/>
  <c r="G77" i="4"/>
  <c r="G67" i="4"/>
  <c r="S62" i="6" l="1"/>
  <c r="S63" i="6" s="1"/>
  <c r="T58" i="6"/>
  <c r="T62" i="6" s="1"/>
  <c r="P17" i="5"/>
  <c r="N27" i="5"/>
  <c r="P27" i="5"/>
  <c r="J52" i="4"/>
  <c r="T50" i="5"/>
  <c r="V50" i="5"/>
  <c r="T49" i="5"/>
  <c r="N58" i="5"/>
  <c r="N62" i="5" s="1"/>
  <c r="R58" i="5"/>
  <c r="F62" i="5"/>
  <c r="O58" i="5"/>
  <c r="O62" i="5" s="1"/>
  <c r="T56" i="5"/>
  <c r="K73" i="5"/>
  <c r="K58" i="5"/>
  <c r="J52" i="5"/>
  <c r="J58" i="5" s="1"/>
  <c r="J62" i="5" s="1"/>
  <c r="E58" i="5"/>
  <c r="E62" i="5" s="1"/>
  <c r="T48" i="5"/>
  <c r="F47" i="4"/>
  <c r="K67" i="4" s="1"/>
  <c r="M47" i="4"/>
  <c r="R60" i="4"/>
  <c r="O60" i="4"/>
  <c r="M60" i="4"/>
  <c r="J60" i="4"/>
  <c r="H60" i="4"/>
  <c r="E60" i="4"/>
  <c r="R59" i="4"/>
  <c r="O59" i="4"/>
  <c r="M59" i="4"/>
  <c r="N59" i="4" s="1"/>
  <c r="P59" i="4" s="1"/>
  <c r="S59" i="4" s="1"/>
  <c r="J59" i="4"/>
  <c r="R58" i="4"/>
  <c r="O58" i="4"/>
  <c r="M58" i="4"/>
  <c r="J58" i="4"/>
  <c r="H58" i="4"/>
  <c r="E58" i="4"/>
  <c r="L57" i="4"/>
  <c r="L61" i="4" s="1"/>
  <c r="K57" i="4"/>
  <c r="K61" i="4" s="1"/>
  <c r="I57" i="4"/>
  <c r="I61" i="4" s="1"/>
  <c r="G57" i="4"/>
  <c r="G61" i="4" s="1"/>
  <c r="D57" i="4"/>
  <c r="D61" i="4" s="1"/>
  <c r="C57" i="4"/>
  <c r="M56" i="4"/>
  <c r="N56" i="4" s="1"/>
  <c r="J56" i="4"/>
  <c r="H56" i="4"/>
  <c r="F56" i="4"/>
  <c r="M55" i="4"/>
  <c r="J55" i="4"/>
  <c r="H55" i="4"/>
  <c r="F55" i="4"/>
  <c r="E55" i="4"/>
  <c r="R54" i="4"/>
  <c r="O54" i="4"/>
  <c r="M54" i="4"/>
  <c r="J54" i="4"/>
  <c r="H54" i="4"/>
  <c r="E54" i="4"/>
  <c r="M53" i="4"/>
  <c r="H53" i="4"/>
  <c r="M51" i="4"/>
  <c r="N51" i="4" s="1"/>
  <c r="J51" i="4"/>
  <c r="F51" i="4"/>
  <c r="M50" i="4"/>
  <c r="J50" i="4"/>
  <c r="H50" i="4"/>
  <c r="F50" i="4"/>
  <c r="R50" i="4" s="1"/>
  <c r="M49" i="4"/>
  <c r="J49" i="4"/>
  <c r="H49" i="4"/>
  <c r="F49" i="4"/>
  <c r="K69" i="4" s="1"/>
  <c r="E49" i="4"/>
  <c r="M48" i="4"/>
  <c r="J48" i="4"/>
  <c r="H48" i="4"/>
  <c r="F48" i="4"/>
  <c r="O48" i="4" s="1"/>
  <c r="J47" i="4"/>
  <c r="H47" i="4"/>
  <c r="R47" i="4"/>
  <c r="I27" i="4"/>
  <c r="H27" i="4"/>
  <c r="G27" i="4"/>
  <c r="F27" i="4"/>
  <c r="D27" i="4"/>
  <c r="O26" i="4"/>
  <c r="N26" i="4"/>
  <c r="P26" i="4" s="1"/>
  <c r="J24" i="4"/>
  <c r="O22" i="4"/>
  <c r="E22" i="4"/>
  <c r="O21" i="4"/>
  <c r="E21" i="4"/>
  <c r="O20" i="4"/>
  <c r="E20" i="4"/>
  <c r="O19" i="4"/>
  <c r="E19" i="4"/>
  <c r="E17" i="4" s="1"/>
  <c r="E27" i="4" s="1"/>
  <c r="O18" i="4"/>
  <c r="E18" i="4"/>
  <c r="I17" i="4"/>
  <c r="H17" i="4"/>
  <c r="G17" i="4"/>
  <c r="F17" i="4"/>
  <c r="O17" i="4" s="1"/>
  <c r="O9" i="4"/>
  <c r="O10" i="4" s="1"/>
  <c r="N9" i="4"/>
  <c r="P9" i="4" s="1"/>
  <c r="D9" i="4"/>
  <c r="C9" i="4"/>
  <c r="C27" i="4" s="1"/>
  <c r="J27" i="4" l="1"/>
  <c r="N24" i="4"/>
  <c r="P24" i="4" s="1"/>
  <c r="R51" i="4"/>
  <c r="K71" i="4"/>
  <c r="O27" i="4"/>
  <c r="O49" i="4"/>
  <c r="R48" i="4"/>
  <c r="K68" i="4"/>
  <c r="E50" i="4"/>
  <c r="O50" i="4"/>
  <c r="K70" i="4"/>
  <c r="R49" i="4"/>
  <c r="O55" i="4"/>
  <c r="K75" i="4"/>
  <c r="R56" i="4"/>
  <c r="K76" i="4"/>
  <c r="T59" i="4"/>
  <c r="P58" i="5"/>
  <c r="P62" i="5" s="1"/>
  <c r="R62" i="5"/>
  <c r="K78" i="5"/>
  <c r="K62" i="5"/>
  <c r="C61" i="4"/>
  <c r="G76" i="4"/>
  <c r="N55" i="4"/>
  <c r="P55" i="4" s="1"/>
  <c r="S55" i="4" s="1"/>
  <c r="N58" i="4"/>
  <c r="P58" i="4" s="1"/>
  <c r="S58" i="4" s="1"/>
  <c r="T58" i="4" s="1"/>
  <c r="N17" i="4"/>
  <c r="N27" i="4" s="1"/>
  <c r="R55" i="4"/>
  <c r="N54" i="4"/>
  <c r="P54" i="4" s="1"/>
  <c r="S54" i="4" s="1"/>
  <c r="T54" i="4" s="1"/>
  <c r="N48" i="4"/>
  <c r="N60" i="4"/>
  <c r="P60" i="4" s="1"/>
  <c r="S60" i="4" s="1"/>
  <c r="T60" i="4" s="1"/>
  <c r="N53" i="4"/>
  <c r="P53" i="4" s="1"/>
  <c r="N49" i="4"/>
  <c r="P49" i="4" s="1"/>
  <c r="S49" i="4" s="1"/>
  <c r="T49" i="4" s="1"/>
  <c r="J57" i="4"/>
  <c r="J61" i="4" s="1"/>
  <c r="N50" i="4"/>
  <c r="P50" i="4" s="1"/>
  <c r="S50" i="4" s="1"/>
  <c r="T50" i="4" s="1"/>
  <c r="H57" i="4"/>
  <c r="H61" i="4" s="1"/>
  <c r="N47" i="4"/>
  <c r="P47" i="4" s="1"/>
  <c r="S47" i="4" s="1"/>
  <c r="T47" i="4" s="1"/>
  <c r="M57" i="4"/>
  <c r="M61" i="4" s="1"/>
  <c r="O56" i="4"/>
  <c r="F57" i="4"/>
  <c r="K77" i="4" s="1"/>
  <c r="O47" i="4"/>
  <c r="P48" i="4"/>
  <c r="S48" i="4" s="1"/>
  <c r="T48" i="4" s="1"/>
  <c r="O51" i="4"/>
  <c r="E48" i="4"/>
  <c r="P51" i="4"/>
  <c r="S51" i="4" s="1"/>
  <c r="T51" i="4" s="1"/>
  <c r="P56" i="4"/>
  <c r="S56" i="4" s="1"/>
  <c r="T56" i="4" s="1"/>
  <c r="E47" i="4"/>
  <c r="E51" i="4"/>
  <c r="E56" i="4"/>
  <c r="O27" i="3"/>
  <c r="S60" i="3"/>
  <c r="T60" i="3"/>
  <c r="R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C60" i="3"/>
  <c r="O10" i="3"/>
  <c r="J58" i="3"/>
  <c r="M57" i="3"/>
  <c r="J57" i="3"/>
  <c r="H57" i="3"/>
  <c r="E57" i="3"/>
  <c r="T48" i="3"/>
  <c r="T49" i="3"/>
  <c r="T50" i="3"/>
  <c r="T51" i="3"/>
  <c r="T52" i="3"/>
  <c r="T53" i="3"/>
  <c r="T54" i="3"/>
  <c r="T55" i="3"/>
  <c r="T56" i="3"/>
  <c r="S48" i="3"/>
  <c r="S49" i="3"/>
  <c r="S50" i="3"/>
  <c r="S51" i="3"/>
  <c r="S52" i="3"/>
  <c r="S53" i="3"/>
  <c r="S54" i="3"/>
  <c r="S55" i="3"/>
  <c r="S56" i="3"/>
  <c r="R48" i="3"/>
  <c r="R49" i="3"/>
  <c r="R50" i="3"/>
  <c r="R51" i="3"/>
  <c r="R52" i="3"/>
  <c r="R53" i="3"/>
  <c r="R54" i="3"/>
  <c r="R55" i="3"/>
  <c r="R56" i="3"/>
  <c r="R57" i="3"/>
  <c r="R58" i="3"/>
  <c r="R59" i="3"/>
  <c r="P48" i="3"/>
  <c r="P49" i="3"/>
  <c r="P50" i="3"/>
  <c r="P51" i="3"/>
  <c r="P52" i="3"/>
  <c r="P53" i="3"/>
  <c r="P54" i="3"/>
  <c r="P55" i="3"/>
  <c r="P56" i="3"/>
  <c r="O48" i="3"/>
  <c r="O49" i="3"/>
  <c r="O50" i="3"/>
  <c r="O51" i="3"/>
  <c r="O52" i="3"/>
  <c r="O53" i="3"/>
  <c r="O54" i="3"/>
  <c r="O55" i="3"/>
  <c r="O56" i="3"/>
  <c r="O57" i="3"/>
  <c r="O58" i="3"/>
  <c r="O59" i="3"/>
  <c r="N48" i="3"/>
  <c r="N49" i="3"/>
  <c r="N51" i="3"/>
  <c r="N52" i="3"/>
  <c r="N58" i="3"/>
  <c r="P58" i="3" s="1"/>
  <c r="S58" i="3" s="1"/>
  <c r="T58" i="3" s="1"/>
  <c r="M58" i="3"/>
  <c r="M48" i="3"/>
  <c r="M49" i="3"/>
  <c r="M50" i="3"/>
  <c r="N50" i="3" s="1"/>
  <c r="M51" i="3"/>
  <c r="M52" i="3"/>
  <c r="M53" i="3"/>
  <c r="N53" i="3" s="1"/>
  <c r="M54" i="3"/>
  <c r="N54" i="3" s="1"/>
  <c r="M55" i="3"/>
  <c r="N55" i="3" s="1"/>
  <c r="M59" i="3"/>
  <c r="N59" i="3" s="1"/>
  <c r="P59" i="3" s="1"/>
  <c r="S59" i="3" s="1"/>
  <c r="I56" i="3"/>
  <c r="J56" i="3"/>
  <c r="K56" i="3"/>
  <c r="L56" i="3"/>
  <c r="M56" i="3" s="1"/>
  <c r="J48" i="3"/>
  <c r="J49" i="3"/>
  <c r="J50" i="3"/>
  <c r="J51" i="3"/>
  <c r="J52" i="3"/>
  <c r="J53" i="3"/>
  <c r="J54" i="3"/>
  <c r="J55" i="3"/>
  <c r="E55" i="3"/>
  <c r="E48" i="3"/>
  <c r="E49" i="3"/>
  <c r="E50" i="3"/>
  <c r="E51" i="3"/>
  <c r="E52" i="3"/>
  <c r="E53" i="3"/>
  <c r="E54" i="3"/>
  <c r="O47" i="3"/>
  <c r="F55" i="3"/>
  <c r="F56" i="3" s="1"/>
  <c r="H48" i="3"/>
  <c r="H49" i="3"/>
  <c r="H50" i="3"/>
  <c r="H51" i="3"/>
  <c r="H52" i="3"/>
  <c r="H53" i="3"/>
  <c r="H54" i="3"/>
  <c r="H55" i="3"/>
  <c r="D56" i="3"/>
  <c r="G56" i="3"/>
  <c r="F54" i="3"/>
  <c r="F52" i="3"/>
  <c r="F51" i="3"/>
  <c r="F50" i="3"/>
  <c r="F49" i="3"/>
  <c r="F53" i="3"/>
  <c r="F48" i="3"/>
  <c r="E47" i="3"/>
  <c r="C56" i="3"/>
  <c r="J59" i="3"/>
  <c r="H59" i="3"/>
  <c r="E59" i="3"/>
  <c r="M47" i="3"/>
  <c r="J47" i="3"/>
  <c r="H47" i="3"/>
  <c r="P17" i="4" l="1"/>
  <c r="P27" i="4" s="1"/>
  <c r="S58" i="5"/>
  <c r="S62" i="5" s="1"/>
  <c r="T55" i="4"/>
  <c r="E57" i="4"/>
  <c r="E61" i="4" s="1"/>
  <c r="F61" i="4"/>
  <c r="O57" i="4"/>
  <c r="O61" i="4" s="1"/>
  <c r="R57" i="4"/>
  <c r="N57" i="4"/>
  <c r="N61" i="4" s="1"/>
  <c r="T59" i="3"/>
  <c r="N57" i="3"/>
  <c r="P57" i="3" s="1"/>
  <c r="S57" i="3" s="1"/>
  <c r="T57" i="3" s="1"/>
  <c r="E56" i="3"/>
  <c r="H56" i="3"/>
  <c r="N56" i="3" s="1"/>
  <c r="R47" i="3"/>
  <c r="N47" i="3"/>
  <c r="P47" i="3" s="1"/>
  <c r="S47" i="3" s="1"/>
  <c r="T47" i="3" s="1"/>
  <c r="T58" i="5" l="1"/>
  <c r="T62" i="5" s="1"/>
  <c r="R61" i="4"/>
  <c r="P57" i="4"/>
  <c r="I44" i="2"/>
  <c r="I43" i="2"/>
  <c r="H31" i="2"/>
  <c r="H30" i="2"/>
  <c r="H29" i="2"/>
  <c r="H28" i="2"/>
  <c r="H16" i="2"/>
  <c r="H17" i="2"/>
  <c r="H20" i="2"/>
  <c r="H23" i="2"/>
  <c r="H24" i="2"/>
  <c r="H25" i="2"/>
  <c r="H15" i="2"/>
  <c r="H10" i="2"/>
  <c r="H11" i="2"/>
  <c r="H12" i="2"/>
  <c r="H9" i="2"/>
  <c r="O21" i="3"/>
  <c r="O22" i="3"/>
  <c r="O19" i="3"/>
  <c r="O20" i="3"/>
  <c r="O18" i="3"/>
  <c r="F17" i="3"/>
  <c r="O17" i="3" s="1"/>
  <c r="G17" i="3"/>
  <c r="H17" i="3"/>
  <c r="I17" i="3"/>
  <c r="K27" i="3"/>
  <c r="G27" i="3"/>
  <c r="H27" i="3"/>
  <c r="I27" i="3"/>
  <c r="F27" i="3"/>
  <c r="N26" i="3"/>
  <c r="I30" i="2"/>
  <c r="J24" i="3"/>
  <c r="P24" i="3" s="1"/>
  <c r="E19" i="3"/>
  <c r="E20" i="3"/>
  <c r="E21" i="3"/>
  <c r="E22" i="3"/>
  <c r="E18" i="3"/>
  <c r="D9" i="3"/>
  <c r="D27" i="3" s="1"/>
  <c r="C9" i="3"/>
  <c r="N9" i="3" s="1"/>
  <c r="I41" i="2"/>
  <c r="C42" i="2"/>
  <c r="I42" i="2" s="1"/>
  <c r="C28" i="2"/>
  <c r="C31" i="2" s="1"/>
  <c r="D28" i="2"/>
  <c r="D31" i="2" s="1"/>
  <c r="E28" i="2"/>
  <c r="E31" i="2" s="1"/>
  <c r="F28" i="2"/>
  <c r="F31" i="2" s="1"/>
  <c r="G28" i="2"/>
  <c r="C29" i="2"/>
  <c r="D29" i="2"/>
  <c r="E29" i="2"/>
  <c r="F29" i="2"/>
  <c r="G29" i="2"/>
  <c r="B29" i="2"/>
  <c r="B28" i="2"/>
  <c r="B31" i="2" s="1"/>
  <c r="I16" i="2"/>
  <c r="I17" i="2"/>
  <c r="I20" i="2"/>
  <c r="I23" i="2"/>
  <c r="I24" i="2"/>
  <c r="I15" i="2"/>
  <c r="B25" i="2"/>
  <c r="I25" i="2" s="1"/>
  <c r="B17" i="2"/>
  <c r="I9" i="2"/>
  <c r="I12" i="2" s="1"/>
  <c r="C12" i="2"/>
  <c r="D12" i="2"/>
  <c r="E12" i="2"/>
  <c r="F12" i="2"/>
  <c r="B12" i="2"/>
  <c r="I10" i="2"/>
  <c r="I29" i="2" s="1"/>
  <c r="P61" i="4" l="1"/>
  <c r="S57" i="4"/>
  <c r="O9" i="3"/>
  <c r="P9" i="3" s="1"/>
  <c r="C27" i="3"/>
  <c r="P26" i="3"/>
  <c r="P27" i="3" s="1"/>
  <c r="J27" i="3"/>
  <c r="G31" i="2"/>
  <c r="E17" i="3"/>
  <c r="I28" i="2"/>
  <c r="I31" i="2"/>
  <c r="K31" i="2" s="1"/>
  <c r="K32" i="2" s="1"/>
  <c r="S61" i="4" l="1"/>
  <c r="T57" i="4"/>
  <c r="T61" i="4" s="1"/>
  <c r="E27" i="3"/>
  <c r="N17" i="3"/>
  <c r="P17" i="3" l="1"/>
</calcChain>
</file>

<file path=xl/comments1.xml><?xml version="1.0" encoding="utf-8"?>
<comments xmlns="http://schemas.openxmlformats.org/spreadsheetml/2006/main">
  <authors>
    <author>Fuchs Christian</author>
  </authors>
  <commentList>
    <comment ref="C43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Honorar Total</t>
        </r>
      </text>
    </comment>
    <comment ref="D43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bereits verrechnet</t>
        </r>
      </text>
    </comment>
  </commentList>
</comments>
</file>

<file path=xl/comments2.xml><?xml version="1.0" encoding="utf-8"?>
<comments xmlns="http://schemas.openxmlformats.org/spreadsheetml/2006/main">
  <authors>
    <author>Fuchs Christian</author>
  </authors>
  <commentList>
    <comment ref="C68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Potentiell verrechenbares Honorar = Budget</t>
        </r>
      </text>
    </comment>
    <comment ref="D68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bereits verrechnet</t>
        </r>
      </text>
    </comment>
  </commentList>
</comments>
</file>

<file path=xl/comments3.xml><?xml version="1.0" encoding="utf-8"?>
<comments xmlns="http://schemas.openxmlformats.org/spreadsheetml/2006/main">
  <authors>
    <author>Fuchs Christian</author>
  </authors>
  <commentList>
    <comment ref="C68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Potentiell verrechenbares Honorar = Budget</t>
        </r>
      </text>
    </comment>
    <comment ref="D68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bereits verrechnet</t>
        </r>
      </text>
    </comment>
    <comment ref="I68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Potentiell verrechenbares Honorar = Budget</t>
        </r>
      </text>
    </comment>
  </commentList>
</comments>
</file>

<file path=xl/sharedStrings.xml><?xml version="1.0" encoding="utf-8"?>
<sst xmlns="http://schemas.openxmlformats.org/spreadsheetml/2006/main" count="1068" uniqueCount="151">
  <si>
    <t>Index</t>
  </si>
  <si>
    <t>Was</t>
  </si>
  <si>
    <t>Honorar</t>
  </si>
  <si>
    <t>gestellt</t>
  </si>
  <si>
    <t>Rest</t>
  </si>
  <si>
    <t>Total</t>
  </si>
  <si>
    <t>plus 2 Trim.</t>
  </si>
  <si>
    <t>Bew.zeitpt</t>
  </si>
  <si>
    <t>plus 2 Trim</t>
  </si>
  <si>
    <t>10 = 6 + 9</t>
  </si>
  <si>
    <t>Progn.Erg.</t>
  </si>
  <si>
    <t>Aufwand</t>
  </si>
  <si>
    <t>Total Vertrag</t>
  </si>
  <si>
    <t>2 = 3-1</t>
  </si>
  <si>
    <t>7  = 8-6</t>
  </si>
  <si>
    <t>11 = 5-10</t>
  </si>
  <si>
    <t>Berechnung Trimester-Prognose</t>
  </si>
  <si>
    <t>Vollrechnung</t>
  </si>
  <si>
    <t>Rest Bewert.-</t>
  </si>
  <si>
    <t>relevant</t>
  </si>
  <si>
    <t>Index .800 wird erst nach Auslösung in Bewertung berücksichtigt</t>
  </si>
  <si>
    <t>13=3-11-6</t>
  </si>
  <si>
    <t>15=13+6</t>
  </si>
  <si>
    <t>16=14-15</t>
  </si>
  <si>
    <t>Kontrolle</t>
  </si>
  <si>
    <t>i.o</t>
  </si>
  <si>
    <t>Bewertung per 31.08.2020</t>
  </si>
  <si>
    <t>Grundvertrag</t>
  </si>
  <si>
    <t>NO3</t>
  </si>
  <si>
    <t>NO2</t>
  </si>
  <si>
    <t>5 = 0+4</t>
  </si>
  <si>
    <t>Myparm</t>
  </si>
  <si>
    <t>verr. per 31.08.</t>
  </si>
  <si>
    <t>Li Hon.Kontr.</t>
  </si>
  <si>
    <t>Eingabe in Myparm</t>
  </si>
  <si>
    <t>12 = 3-1</t>
  </si>
  <si>
    <t>Bewert.honor</t>
  </si>
  <si>
    <t>Bewert.aufw.</t>
  </si>
  <si>
    <t>14=3</t>
  </si>
  <si>
    <t>Aufw per 31.08.</t>
  </si>
  <si>
    <t>Total gem. Myparm</t>
  </si>
  <si>
    <t>N03, EP Rh-Fr</t>
  </si>
  <si>
    <t>EK</t>
  </si>
  <si>
    <t>MK</t>
  </si>
  <si>
    <t>Zuschläge</t>
  </si>
  <si>
    <t>NK verr</t>
  </si>
  <si>
    <t>EK/GP</t>
  </si>
  <si>
    <t>AP/MK</t>
  </si>
  <si>
    <t>PGV</t>
  </si>
  <si>
    <t>Opt Lärm</t>
  </si>
  <si>
    <t>Opt SABA</t>
  </si>
  <si>
    <t>Res BH</t>
  </si>
  <si>
    <t>NO2, GIS</t>
  </si>
  <si>
    <t>NO1 Dig. Archiv</t>
  </si>
  <si>
    <t>NO3, Er. Dig. Archiv</t>
  </si>
  <si>
    <t>Grundvertrag inkl. NO1-NO3</t>
  </si>
  <si>
    <t>GV, NO1, NO2</t>
  </si>
  <si>
    <t>erteilt:</t>
  </si>
  <si>
    <t>besprochen, akzeptiert, schriftlich noch nicht vorliegend:</t>
  </si>
  <si>
    <t>1. Ausgangslage Vertrag</t>
  </si>
  <si>
    <t>Status per 31.08.2020</t>
  </si>
  <si>
    <t>Mehr-/Minderhon.</t>
  </si>
  <si>
    <t>2. Triage EK-MK (Juli 2020)</t>
  </si>
  <si>
    <t>3. IG Budget EK-MK/AP</t>
  </si>
  <si>
    <t>exkl NO3</t>
  </si>
  <si>
    <t>exkl NO3, inkl. MWSt</t>
  </si>
  <si>
    <t>Ant. AeBo</t>
  </si>
  <si>
    <t>PL</t>
  </si>
  <si>
    <t>Zw-Total</t>
  </si>
  <si>
    <t>MK / T-U</t>
  </si>
  <si>
    <t>MK / K</t>
  </si>
  <si>
    <t>MK / T-G</t>
  </si>
  <si>
    <t>MK / BSA</t>
  </si>
  <si>
    <t>AP Lärm</t>
  </si>
  <si>
    <t>AP SABA</t>
  </si>
  <si>
    <t>NK vb</t>
  </si>
  <si>
    <t>Federführ.</t>
  </si>
  <si>
    <t>NK nvb</t>
  </si>
  <si>
    <t>Teuerung</t>
  </si>
  <si>
    <t>Tot MK</t>
  </si>
  <si>
    <t>Grundleist.</t>
  </si>
  <si>
    <t>NO1+NO3</t>
  </si>
  <si>
    <t>Mehrl. Okt</t>
  </si>
  <si>
    <t>Erg. ZU K/SM</t>
  </si>
  <si>
    <t>SABA-Konz</t>
  </si>
  <si>
    <t>Erg. ZU K/SM und SABA-Konzept über den Daumen abgeschätzt</t>
  </si>
  <si>
    <t>Mehrleistung Oktober: prozentual je Thema abgeschätzt gemäss Liste</t>
  </si>
  <si>
    <t>Ant. JS</t>
  </si>
  <si>
    <t>Ant. Lei</t>
  </si>
  <si>
    <t>Ant. Hol</t>
  </si>
  <si>
    <t>gem. Nachtrag N3</t>
  </si>
  <si>
    <t>zur Kontrolle (Stand exkl Nachtragsofferte NO3):</t>
  </si>
  <si>
    <t>Fremdleist.</t>
  </si>
  <si>
    <t>Ant. NK vb: 100% von NO1 und NO3, sowie 50%Grundauftrag</t>
  </si>
  <si>
    <t>Zwtotal</t>
  </si>
  <si>
    <t>EK,AP/MK,Lärm</t>
  </si>
  <si>
    <t>Total Triage</t>
  </si>
  <si>
    <t xml:space="preserve">Total EK - MK - AP Lärm - AP SABA </t>
  </si>
  <si>
    <t>Indizes 300 und 400 werdenin Myparm nicht bebucht</t>
  </si>
  <si>
    <t>4. Bewertung</t>
  </si>
  <si>
    <t>NK Archiv vb</t>
  </si>
  <si>
    <t>PL (MK)</t>
  </si>
  <si>
    <t>Total exkl NO1, NO3</t>
  </si>
  <si>
    <t>verr. per 31.12.</t>
  </si>
  <si>
    <t>FCh</t>
  </si>
  <si>
    <t>???</t>
  </si>
  <si>
    <t>Bewertung per 31.12.2020</t>
  </si>
  <si>
    <t>Aufw per 31.12.</t>
  </si>
  <si>
    <t>2. Triage EK-MK (Dez 2020)</t>
  </si>
  <si>
    <t>Bewertung per 30.04.2021</t>
  </si>
  <si>
    <t>verr. per 30.04..</t>
  </si>
  <si>
    <t>Aufw per 30.04.</t>
  </si>
  <si>
    <t>Hon.Kontr.</t>
  </si>
  <si>
    <t>Bewertung per 31.08.2021</t>
  </si>
  <si>
    <t>Indizes 300 und 400 werden in Myparm nicht bebucht</t>
  </si>
  <si>
    <t>ZL GHGW</t>
  </si>
  <si>
    <t>Effektiver Bedarf</t>
  </si>
  <si>
    <t>Monate Januar/Februar 2022</t>
  </si>
  <si>
    <t>später</t>
  </si>
  <si>
    <t>IST Vertrag</t>
  </si>
  <si>
    <t xml:space="preserve">Vertrag mit NO </t>
  </si>
  <si>
    <t>GHGW</t>
  </si>
  <si>
    <t>AP LE</t>
  </si>
  <si>
    <t>AP AS Frick Bypass Kreisel</t>
  </si>
  <si>
    <t>NOXX, Sammelleistungen</t>
  </si>
  <si>
    <t>Total inkl. NOXX</t>
  </si>
  <si>
    <t>Teilhonorare</t>
  </si>
  <si>
    <t>Total aktualisiert</t>
  </si>
  <si>
    <t>2. Triage EK-MK (April 2022)</t>
  </si>
  <si>
    <t>AP AS Frick</t>
  </si>
  <si>
    <t>AeBo</t>
  </si>
  <si>
    <t>JS</t>
  </si>
  <si>
    <t>Lei</t>
  </si>
  <si>
    <t>Hol</t>
  </si>
  <si>
    <t>Soll</t>
  </si>
  <si>
    <t>Ist</t>
  </si>
  <si>
    <t>RDB ASTRA</t>
  </si>
  <si>
    <t>Bewertung per 30.04.2022</t>
  </si>
  <si>
    <t>verrechnet</t>
  </si>
  <si>
    <t>Kostendach</t>
  </si>
  <si>
    <t>geplant</t>
  </si>
  <si>
    <t>Differenz</t>
  </si>
  <si>
    <t>zzgl 190000</t>
  </si>
  <si>
    <t>Budget gem Vertrags-Kostendach auf Basis Ist</t>
  </si>
  <si>
    <t>% nach Zahlen Arbeiten</t>
  </si>
  <si>
    <t>Budget gemäss Prognose Arbeiten oben</t>
  </si>
  <si>
    <t>Budget nach IST plus Prognose ohne Vertragskostendach</t>
  </si>
  <si>
    <t>Budget nach Prognose und Vertragskostendach ohne Erhöhung</t>
  </si>
  <si>
    <t>verr. per 30.04</t>
  </si>
  <si>
    <t>Aufw per 30.04</t>
  </si>
  <si>
    <t>verr. per 31.08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</si>
</sst>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0.0000"/>
    <numFmt numFmtId="166" formatCode="_ * #,##0.000_ ;_ * \-#,##0.000_ ;_ * &quot;-&quot;??_ ;_ @_ "/>
    <numFmt numFmtId="167" formatCode="#,##0_ ;\-#,##0\ "/>
    <numFmt numFmtId="168" formatCode="mm\/yyyy"/>
  </numFmts>
  <fonts count="2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u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0" tint="-0.499984740745262"/>
      <name val="Arial"/>
      <family val="2"/>
    </font>
    <font>
      <sz val="10"/>
      <color theme="0" tint="-0.499984740745262"/>
      <name val="Arial Narrow"/>
      <family val="2"/>
    </font>
    <font>
      <b/>
      <sz val="10"/>
      <color theme="0" tint="-0.499984740745262"/>
      <name val="Arial Narrow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61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9C6500"/>
      <name val="Arial"/>
      <family val="2"/>
    </font>
    <font>
      <sz val="10"/>
      <color theme="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6EFCE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7" borderId="0" applyNumberFormat="0" applyBorder="0" applyAlignment="0" applyProtection="0"/>
    <xf numFmtId="0" fontId="23" fillId="12" borderId="0" applyNumberFormat="0" applyBorder="0" applyAlignment="0" applyProtection="0"/>
  </cellStyleXfs>
  <cellXfs count="27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0" fillId="0" borderId="4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164" fontId="6" fillId="0" borderId="7" xfId="1" applyNumberFormat="1" applyFont="1" applyBorder="1"/>
    <xf numFmtId="164" fontId="6" fillId="0" borderId="11" xfId="1" applyNumberFormat="1" applyFont="1" applyBorder="1"/>
    <xf numFmtId="164" fontId="6" fillId="0" borderId="1" xfId="1" applyNumberFormat="1" applyFont="1" applyBorder="1"/>
    <xf numFmtId="164" fontId="6" fillId="0" borderId="8" xfId="1" applyNumberFormat="1" applyFont="1" applyBorder="1"/>
    <xf numFmtId="0" fontId="6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/>
    <xf numFmtId="164" fontId="6" fillId="2" borderId="1" xfId="1" applyNumberFormat="1" applyFont="1" applyFill="1" applyBorder="1"/>
    <xf numFmtId="0" fontId="0" fillId="2" borderId="0" xfId="0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0" fillId="0" borderId="12" xfId="0" applyBorder="1" applyAlignment="1">
      <alignment horizontal="center"/>
    </xf>
    <xf numFmtId="0" fontId="4" fillId="0" borderId="13" xfId="0" applyFont="1" applyBorder="1"/>
    <xf numFmtId="164" fontId="6" fillId="3" borderId="8" xfId="1" applyNumberFormat="1" applyFont="1" applyFill="1" applyBorder="1"/>
    <xf numFmtId="164" fontId="7" fillId="0" borderId="9" xfId="1" applyNumberFormat="1" applyFont="1" applyBorder="1"/>
    <xf numFmtId="0" fontId="0" fillId="3" borderId="0" xfId="0" applyFill="1"/>
    <xf numFmtId="164" fontId="0" fillId="3" borderId="0" xfId="1" applyNumberFormat="1" applyFont="1" applyFill="1"/>
    <xf numFmtId="164" fontId="6" fillId="0" borderId="1" xfId="1" applyNumberFormat="1" applyFont="1" applyFill="1" applyBorder="1"/>
    <xf numFmtId="0" fontId="2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0" borderId="15" xfId="0" applyBorder="1"/>
    <xf numFmtId="164" fontId="7" fillId="3" borderId="15" xfId="1" applyNumberFormat="1" applyFont="1" applyFill="1" applyBorder="1"/>
    <xf numFmtId="164" fontId="7" fillId="0" borderId="15" xfId="1" applyNumberFormat="1" applyFont="1" applyBorder="1"/>
    <xf numFmtId="0" fontId="7" fillId="0" borderId="3" xfId="0" applyFont="1" applyFill="1" applyBorder="1" applyAlignment="1">
      <alignment horizontal="center"/>
    </xf>
    <xf numFmtId="0" fontId="0" fillId="0" borderId="2" xfId="0" applyFont="1" applyBorder="1"/>
    <xf numFmtId="0" fontId="8" fillId="0" borderId="7" xfId="0" applyFont="1" applyBorder="1" applyAlignment="1">
      <alignment horizontal="center"/>
    </xf>
    <xf numFmtId="164" fontId="6" fillId="0" borderId="15" xfId="1" applyNumberFormat="1" applyFont="1" applyBorder="1"/>
    <xf numFmtId="0" fontId="6" fillId="0" borderId="15" xfId="0" applyFont="1" applyFill="1" applyBorder="1" applyAlignment="1">
      <alignment horizontal="center"/>
    </xf>
    <xf numFmtId="164" fontId="0" fillId="2" borderId="15" xfId="0" applyNumberFormat="1" applyFill="1" applyBorder="1"/>
    <xf numFmtId="164" fontId="0" fillId="0" borderId="1" xfId="0" applyNumberFormat="1" applyBorder="1"/>
    <xf numFmtId="0" fontId="0" fillId="4" borderId="16" xfId="0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2" fillId="0" borderId="1" xfId="0" applyNumberFormat="1" applyFont="1" applyBorder="1"/>
    <xf numFmtId="0" fontId="2" fillId="0" borderId="0" xfId="0" applyFont="1" applyBorder="1"/>
    <xf numFmtId="0" fontId="4" fillId="0" borderId="0" xfId="0" applyFont="1" applyBorder="1"/>
    <xf numFmtId="164" fontId="5" fillId="0" borderId="0" xfId="1" applyNumberFormat="1" applyFont="1" applyBorder="1"/>
    <xf numFmtId="164" fontId="0" fillId="0" borderId="0" xfId="1" applyNumberFormat="1" applyFont="1" applyBorder="1"/>
    <xf numFmtId="0" fontId="0" fillId="0" borderId="0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Fill="1" applyBorder="1"/>
    <xf numFmtId="0" fontId="10" fillId="0" borderId="0" xfId="0" applyFont="1"/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0" fillId="4" borderId="1" xfId="1" applyNumberFormat="1" applyFont="1" applyFill="1" applyBorder="1"/>
    <xf numFmtId="43" fontId="0" fillId="0" borderId="0" xfId="0" applyNumberFormat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0" borderId="0" xfId="0" applyAlignment="1"/>
    <xf numFmtId="0" fontId="11" fillId="0" borderId="1" xfId="0" applyFont="1" applyBorder="1"/>
    <xf numFmtId="0" fontId="2" fillId="0" borderId="1" xfId="0" applyFont="1" applyFill="1" applyBorder="1"/>
    <xf numFmtId="164" fontId="2" fillId="4" borderId="1" xfId="1" applyNumberFormat="1" applyFont="1" applyFill="1" applyBorder="1"/>
    <xf numFmtId="164" fontId="2" fillId="5" borderId="1" xfId="1" applyNumberFormat="1" applyFont="1" applyFill="1" applyBorder="1"/>
    <xf numFmtId="1" fontId="0" fillId="0" borderId="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4" fontId="0" fillId="0" borderId="19" xfId="1" applyNumberFormat="1" applyFont="1" applyBorder="1"/>
    <xf numFmtId="164" fontId="0" fillId="0" borderId="20" xfId="1" applyNumberFormat="1" applyFont="1" applyFill="1" applyBorder="1"/>
    <xf numFmtId="164" fontId="0" fillId="0" borderId="21" xfId="1" applyNumberFormat="1" applyFont="1" applyBorder="1"/>
    <xf numFmtId="164" fontId="0" fillId="0" borderId="18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0" xfId="1" applyNumberFormat="1" applyFont="1" applyBorder="1"/>
    <xf numFmtId="164" fontId="0" fillId="0" borderId="25" xfId="1" applyNumberFormat="1" applyFont="1" applyBorder="1"/>
    <xf numFmtId="164" fontId="0" fillId="0" borderId="11" xfId="1" applyNumberFormat="1" applyFont="1" applyBorder="1"/>
    <xf numFmtId="164" fontId="0" fillId="0" borderId="2" xfId="1" applyNumberFormat="1" applyFont="1" applyBorder="1"/>
    <xf numFmtId="164" fontId="0" fillId="0" borderId="16" xfId="1" applyNumberFormat="1" applyFont="1" applyBorder="1"/>
    <xf numFmtId="0" fontId="2" fillId="0" borderId="1" xfId="0" applyFont="1" applyBorder="1" applyAlignment="1">
      <alignment horizontal="center"/>
    </xf>
    <xf numFmtId="164" fontId="2" fillId="0" borderId="2" xfId="1" applyNumberFormat="1" applyFont="1" applyBorder="1"/>
    <xf numFmtId="1" fontId="0" fillId="2" borderId="1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4" fontId="6" fillId="0" borderId="2" xfId="1" applyNumberFormat="1" applyFont="1" applyBorder="1"/>
    <xf numFmtId="164" fontId="0" fillId="0" borderId="1" xfId="0" applyNumberFormat="1" applyFill="1" applyBorder="1"/>
    <xf numFmtId="0" fontId="7" fillId="0" borderId="15" xfId="0" applyFont="1" applyFill="1" applyBorder="1" applyAlignment="1">
      <alignment horizontal="center"/>
    </xf>
    <xf numFmtId="0" fontId="2" fillId="0" borderId="26" xfId="0" applyFont="1" applyBorder="1"/>
    <xf numFmtId="0" fontId="6" fillId="0" borderId="3" xfId="0" applyFont="1" applyFill="1" applyBorder="1" applyAlignment="1">
      <alignment horizontal="center"/>
    </xf>
    <xf numFmtId="0" fontId="0" fillId="0" borderId="27" xfId="0" applyBorder="1"/>
    <xf numFmtId="164" fontId="0" fillId="2" borderId="3" xfId="0" applyNumberFormat="1" applyFill="1" applyBorder="1"/>
    <xf numFmtId="0" fontId="6" fillId="0" borderId="11" xfId="0" applyFont="1" applyBorder="1" applyAlignment="1">
      <alignment horizontal="center"/>
    </xf>
    <xf numFmtId="164" fontId="7" fillId="3" borderId="8" xfId="1" applyNumberFormat="1" applyFont="1" applyFill="1" applyBorder="1"/>
    <xf numFmtId="164" fontId="2" fillId="2" borderId="15" xfId="0" applyNumberFormat="1" applyFont="1" applyFill="1" applyBorder="1"/>
    <xf numFmtId="164" fontId="2" fillId="2" borderId="3" xfId="0" applyNumberFormat="1" applyFont="1" applyFill="1" applyBorder="1"/>
    <xf numFmtId="164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4" borderId="1" xfId="0" quotePrefix="1" applyNumberForma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13" fillId="3" borderId="8" xfId="1" applyNumberFormat="1" applyFont="1" applyFill="1" applyBorder="1"/>
    <xf numFmtId="164" fontId="13" fillId="0" borderId="11" xfId="1" applyNumberFormat="1" applyFont="1" applyBorder="1"/>
    <xf numFmtId="164" fontId="14" fillId="3" borderId="15" xfId="1" applyNumberFormat="1" applyFont="1" applyFill="1" applyBorder="1"/>
    <xf numFmtId="164" fontId="12" fillId="2" borderId="15" xfId="0" applyNumberFormat="1" applyFont="1" applyFill="1" applyBorder="1"/>
    <xf numFmtId="164" fontId="12" fillId="2" borderId="3" xfId="0" applyNumberFormat="1" applyFont="1" applyFill="1" applyBorder="1"/>
    <xf numFmtId="164" fontId="12" fillId="0" borderId="1" xfId="0" applyNumberFormat="1" applyFont="1" applyFill="1" applyBorder="1"/>
    <xf numFmtId="164" fontId="12" fillId="0" borderId="1" xfId="0" applyNumberFormat="1" applyFont="1" applyBorder="1"/>
    <xf numFmtId="0" fontId="15" fillId="0" borderId="1" xfId="0" applyFont="1" applyBorder="1" applyAlignment="1">
      <alignment horizontal="center"/>
    </xf>
    <xf numFmtId="164" fontId="16" fillId="0" borderId="7" xfId="1" applyNumberFormat="1" applyFont="1" applyBorder="1"/>
    <xf numFmtId="164" fontId="16" fillId="0" borderId="1" xfId="1" applyNumberFormat="1" applyFont="1" applyBorder="1"/>
    <xf numFmtId="164" fontId="16" fillId="2" borderId="1" xfId="1" applyNumberFormat="1" applyFont="1" applyFill="1" applyBorder="1"/>
    <xf numFmtId="164" fontId="16" fillId="0" borderId="1" xfId="1" applyNumberFormat="1" applyFont="1" applyFill="1" applyBorder="1"/>
    <xf numFmtId="164" fontId="16" fillId="3" borderId="8" xfId="1" applyNumberFormat="1" applyFont="1" applyFill="1" applyBorder="1"/>
    <xf numFmtId="164" fontId="16" fillId="0" borderId="11" xfId="1" applyNumberFormat="1" applyFont="1" applyBorder="1"/>
    <xf numFmtId="164" fontId="17" fillId="3" borderId="15" xfId="1" applyNumberFormat="1" applyFont="1" applyFill="1" applyBorder="1"/>
    <xf numFmtId="164" fontId="15" fillId="2" borderId="15" xfId="0" applyNumberFormat="1" applyFont="1" applyFill="1" applyBorder="1"/>
    <xf numFmtId="164" fontId="15" fillId="2" borderId="3" xfId="0" applyNumberFormat="1" applyFont="1" applyFill="1" applyBorder="1"/>
    <xf numFmtId="0" fontId="15" fillId="0" borderId="0" xfId="0" applyFont="1"/>
    <xf numFmtId="164" fontId="15" fillId="0" borderId="1" xfId="0" applyNumberFormat="1" applyFont="1" applyFill="1" applyBorder="1"/>
    <xf numFmtId="164" fontId="15" fillId="0" borderId="1" xfId="0" applyNumberFormat="1" applyFont="1" applyBorder="1"/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1" fontId="6" fillId="0" borderId="1" xfId="1" applyNumberFormat="1" applyFont="1" applyBorder="1"/>
    <xf numFmtId="166" fontId="0" fillId="0" borderId="0" xfId="1" applyNumberFormat="1" applyFont="1"/>
    <xf numFmtId="43" fontId="0" fillId="0" borderId="0" xfId="0" applyNumberFormat="1" applyFill="1" applyBorder="1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9" fontId="0" fillId="0" borderId="0" xfId="2" applyFont="1"/>
    <xf numFmtId="164" fontId="20" fillId="7" borderId="0" xfId="3" applyNumberFormat="1"/>
    <xf numFmtId="43" fontId="0" fillId="0" borderId="0" xfId="1" applyNumberFormat="1" applyFont="1"/>
    <xf numFmtId="164" fontId="2" fillId="2" borderId="1" xfId="0" applyNumberFormat="1" applyFont="1" applyFill="1" applyBorder="1"/>
    <xf numFmtId="0" fontId="0" fillId="0" borderId="1" xfId="0" applyFill="1" applyBorder="1"/>
    <xf numFmtId="164" fontId="0" fillId="0" borderId="1" xfId="1" applyNumberFormat="1" applyFont="1" applyFill="1" applyBorder="1"/>
    <xf numFmtId="164" fontId="2" fillId="0" borderId="1" xfId="1" applyNumberFormat="1" applyFont="1" applyFill="1" applyBorder="1"/>
    <xf numFmtId="0" fontId="0" fillId="0" borderId="0" xfId="0" applyFill="1"/>
    <xf numFmtId="164" fontId="0" fillId="8" borderId="1" xfId="1" applyNumberFormat="1" applyFont="1" applyFill="1" applyBorder="1"/>
    <xf numFmtId="164" fontId="2" fillId="8" borderId="1" xfId="1" applyNumberFormat="1" applyFont="1" applyFill="1" applyBorder="1"/>
    <xf numFmtId="164" fontId="0" fillId="8" borderId="0" xfId="1" applyNumberFormat="1" applyFont="1" applyFill="1"/>
    <xf numFmtId="0" fontId="0" fillId="8" borderId="0" xfId="0" applyFill="1"/>
    <xf numFmtId="164" fontId="2" fillId="8" borderId="1" xfId="0" applyNumberFormat="1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164" fontId="2" fillId="0" borderId="0" xfId="0" applyNumberFormat="1" applyFont="1" applyBorder="1"/>
    <xf numFmtId="164" fontId="0" fillId="0" borderId="0" xfId="1" applyNumberFormat="1" applyFont="1" applyFill="1" applyBorder="1"/>
    <xf numFmtId="0" fontId="2" fillId="8" borderId="1" xfId="0" applyFont="1" applyFill="1" applyBorder="1"/>
    <xf numFmtId="0" fontId="2" fillId="8" borderId="0" xfId="0" applyFont="1" applyFill="1"/>
    <xf numFmtId="43" fontId="0" fillId="8" borderId="0" xfId="1" applyNumberFormat="1" applyFont="1" applyFill="1"/>
    <xf numFmtId="164" fontId="0" fillId="0" borderId="21" xfId="1" applyNumberFormat="1" applyFont="1" applyFill="1" applyBorder="1"/>
    <xf numFmtId="164" fontId="0" fillId="0" borderId="22" xfId="1" applyNumberFormat="1" applyFont="1" applyFill="1" applyBorder="1"/>
    <xf numFmtId="164" fontId="0" fillId="0" borderId="25" xfId="1" applyNumberFormat="1" applyFont="1" applyFill="1" applyBorder="1"/>
    <xf numFmtId="164" fontId="0" fillId="0" borderId="17" xfId="1" applyNumberFormat="1" applyFont="1" applyBorder="1"/>
    <xf numFmtId="164" fontId="0" fillId="0" borderId="28" xfId="1" applyNumberFormat="1" applyFont="1" applyBorder="1"/>
    <xf numFmtId="164" fontId="2" fillId="0" borderId="18" xfId="0" applyNumberFormat="1" applyFont="1" applyBorder="1"/>
    <xf numFmtId="164" fontId="0" fillId="0" borderId="29" xfId="1" applyNumberFormat="1" applyFont="1" applyBorder="1"/>
    <xf numFmtId="164" fontId="2" fillId="0" borderId="23" xfId="0" applyNumberFormat="1" applyFont="1" applyBorder="1"/>
    <xf numFmtId="0" fontId="0" fillId="0" borderId="21" xfId="0" applyBorder="1"/>
    <xf numFmtId="0" fontId="0" fillId="0" borderId="18" xfId="0" applyBorder="1"/>
    <xf numFmtId="0" fontId="0" fillId="0" borderId="0" xfId="0" applyBorder="1"/>
    <xf numFmtId="164" fontId="2" fillId="5" borderId="11" xfId="1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164" fontId="2" fillId="9" borderId="1" xfId="1" applyNumberFormat="1" applyFont="1" applyFill="1" applyBorder="1"/>
    <xf numFmtId="164" fontId="2" fillId="9" borderId="2" xfId="1" applyNumberFormat="1" applyFont="1" applyFill="1" applyBorder="1"/>
    <xf numFmtId="0" fontId="22" fillId="10" borderId="1" xfId="0" applyFont="1" applyFill="1" applyBorder="1" applyAlignment="1">
      <alignment horizontal="center"/>
    </xf>
    <xf numFmtId="164" fontId="21" fillId="1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1" applyNumberFormat="1" applyFont="1"/>
    <xf numFmtId="167" fontId="0" fillId="4" borderId="0" xfId="1" applyNumberFormat="1" applyFont="1" applyFill="1"/>
    <xf numFmtId="0" fontId="22" fillId="10" borderId="2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3" fontId="0" fillId="0" borderId="1" xfId="0" applyNumberFormat="1" applyBorder="1"/>
    <xf numFmtId="167" fontId="0" fillId="0" borderId="1" xfId="1" applyNumberFormat="1" applyFont="1" applyBorder="1"/>
    <xf numFmtId="167" fontId="2" fillId="0" borderId="0" xfId="1" applyNumberFormat="1" applyFont="1"/>
    <xf numFmtId="164" fontId="0" fillId="5" borderId="0" xfId="1" applyNumberFormat="1" applyFont="1" applyFill="1"/>
    <xf numFmtId="164" fontId="2" fillId="4" borderId="0" xfId="1" applyNumberFormat="1" applyFont="1" applyFill="1" applyAlignment="1">
      <alignment horizontal="right"/>
    </xf>
    <xf numFmtId="14" fontId="2" fillId="4" borderId="0" xfId="1" applyNumberFormat="1" applyFont="1" applyFill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2" xfId="1" applyNumberFormat="1" applyFont="1" applyFill="1" applyBorder="1"/>
    <xf numFmtId="164" fontId="2" fillId="2" borderId="1" xfId="1" applyNumberFormat="1" applyFont="1" applyFill="1" applyBorder="1"/>
    <xf numFmtId="164" fontId="2" fillId="11" borderId="1" xfId="1" applyNumberFormat="1" applyFont="1" applyFill="1" applyBorder="1"/>
    <xf numFmtId="164" fontId="0" fillId="6" borderId="1" xfId="1" applyNumberFormat="1" applyFont="1" applyFill="1" applyBorder="1"/>
    <xf numFmtId="164" fontId="0" fillId="8" borderId="17" xfId="1" applyNumberFormat="1" applyFont="1" applyFill="1" applyBorder="1"/>
    <xf numFmtId="164" fontId="0" fillId="5" borderId="1" xfId="1" applyNumberFormat="1" applyFont="1" applyFill="1" applyBorder="1"/>
    <xf numFmtId="164" fontId="2" fillId="5" borderId="1" xfId="0" applyNumberFormat="1" applyFont="1" applyFill="1" applyBorder="1"/>
    <xf numFmtId="0" fontId="0" fillId="6" borderId="17" xfId="0" applyFill="1" applyBorder="1" applyAlignment="1">
      <alignment horizontal="center"/>
    </xf>
    <xf numFmtId="164" fontId="2" fillId="6" borderId="1" xfId="1" applyNumberFormat="1" applyFont="1" applyFill="1" applyBorder="1"/>
    <xf numFmtId="168" fontId="0" fillId="0" borderId="0" xfId="1" applyNumberFormat="1" applyFont="1"/>
    <xf numFmtId="10" fontId="0" fillId="0" borderId="1" xfId="2" applyNumberFormat="1" applyFont="1" applyBorder="1" applyAlignment="1">
      <alignment horizontal="center"/>
    </xf>
    <xf numFmtId="164" fontId="0" fillId="13" borderId="21" xfId="1" applyNumberFormat="1" applyFont="1" applyFill="1" applyBorder="1"/>
    <xf numFmtId="164" fontId="0" fillId="13" borderId="18" xfId="1" applyNumberFormat="1" applyFont="1" applyFill="1" applyBorder="1"/>
    <xf numFmtId="164" fontId="20" fillId="7" borderId="1" xfId="3" applyNumberFormat="1" applyBorder="1"/>
    <xf numFmtId="164" fontId="23" fillId="12" borderId="1" xfId="4" applyNumberFormat="1" applyBorder="1"/>
    <xf numFmtId="0" fontId="12" fillId="0" borderId="7" xfId="0" applyFont="1" applyBorder="1"/>
    <xf numFmtId="164" fontId="13" fillId="0" borderId="7" xfId="1" applyNumberFormat="1" applyFont="1" applyBorder="1"/>
    <xf numFmtId="164" fontId="13" fillId="2" borderId="1" xfId="1" applyNumberFormat="1" applyFont="1" applyFill="1" applyBorder="1"/>
    <xf numFmtId="164" fontId="13" fillId="0" borderId="1" xfId="1" applyNumberFormat="1" applyFont="1" applyBorder="1"/>
    <xf numFmtId="164" fontId="13" fillId="0" borderId="1" xfId="1" applyNumberFormat="1" applyFont="1" applyFill="1" applyBorder="1"/>
    <xf numFmtId="0" fontId="12" fillId="0" borderId="0" xfId="0" applyFont="1"/>
    <xf numFmtId="0" fontId="0" fillId="14" borderId="1" xfId="0" applyFill="1" applyBorder="1" applyAlignment="1">
      <alignment horizontal="center"/>
    </xf>
    <xf numFmtId="164" fontId="6" fillId="14" borderId="7" xfId="1" applyNumberFormat="1" applyFont="1" applyFill="1" applyBorder="1"/>
    <xf numFmtId="0" fontId="12" fillId="14" borderId="1" xfId="0" applyFont="1" applyFill="1" applyBorder="1" applyAlignment="1">
      <alignment horizontal="center"/>
    </xf>
    <xf numFmtId="164" fontId="13" fillId="14" borderId="7" xfId="1" applyNumberFormat="1" applyFont="1" applyFill="1" applyBorder="1"/>
    <xf numFmtId="164" fontId="6" fillId="0" borderId="2" xfId="1" applyNumberFormat="1" applyFont="1" applyFill="1" applyBorder="1"/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0" fillId="0" borderId="0" xfId="1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7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164" fontId="6" fillId="0" borderId="19" xfId="1" applyNumberFormat="1" applyFont="1" applyBorder="1" applyAlignment="1">
      <alignment horizontal="center" vertical="top" wrapText="1"/>
    </xf>
    <xf numFmtId="164" fontId="6" fillId="0" borderId="20" xfId="1" applyNumberFormat="1" applyFont="1" applyBorder="1" applyAlignment="1">
      <alignment horizontal="center" vertical="top" wrapText="1"/>
    </xf>
    <xf numFmtId="164" fontId="21" fillId="10" borderId="1" xfId="1" applyNumberFormat="1" applyFont="1" applyFill="1" applyBorder="1" applyAlignment="1">
      <alignment horizontal="right"/>
    </xf>
    <xf numFmtId="3" fontId="2" fillId="0" borderId="1" xfId="1" applyNumberFormat="1" applyFont="1" applyBorder="1" applyAlignment="1">
      <alignment horizontal="right" vertical="center"/>
    </xf>
    <xf numFmtId="164" fontId="0" fillId="0" borderId="24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9" fontId="0" fillId="0" borderId="21" xfId="2" applyFont="1" applyBorder="1" applyAlignment="1">
      <alignment horizontal="right" vertical="center"/>
    </xf>
    <xf numFmtId="167" fontId="0" fillId="0" borderId="1" xfId="0" applyNumberFormat="1" applyBorder="1" applyAlignment="1">
      <alignment horizontal="center"/>
    </xf>
    <xf numFmtId="3" fontId="0" fillId="0" borderId="1" xfId="1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 vertical="center"/>
    </xf>
    <xf numFmtId="164" fontId="24" fillId="13" borderId="19" xfId="1" applyNumberFormat="1" applyFont="1" applyFill="1" applyBorder="1" applyAlignment="1">
      <alignment horizontal="center" vertical="top" wrapText="1"/>
    </xf>
    <xf numFmtId="164" fontId="24" fillId="13" borderId="20" xfId="1" applyNumberFormat="1" applyFont="1" applyFill="1" applyBorder="1" applyAlignment="1">
      <alignment horizontal="center" vertical="top" wrapText="1"/>
    </xf>
    <xf numFmtId="3" fontId="2" fillId="13" borderId="1" xfId="1" applyNumberFormat="1" applyFont="1" applyFill="1" applyBorder="1" applyAlignment="1">
      <alignment horizontal="right" vertical="center"/>
    </xf>
    <xf numFmtId="167" fontId="0" fillId="0" borderId="1" xfId="1" applyNumberFormat="1" applyFont="1" applyBorder="1" applyAlignment="1">
      <alignment horizontal="right" vertical="center"/>
    </xf>
    <xf numFmtId="164" fontId="0" fillId="13" borderId="24" xfId="1" applyNumberFormat="1" applyFont="1" applyFill="1" applyBorder="1" applyAlignment="1">
      <alignment horizontal="center"/>
    </xf>
  </cellXfs>
  <cellStyles count="5">
    <cellStyle name="Gut" xfId="3" builtinId="26"/>
    <cellStyle name="Komma" xfId="1" builtinId="3"/>
    <cellStyle name="Neutral" xfId="4" builtinId="28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FFFF99"/>
      <color rgb="FFFF66FF"/>
      <color rgb="FFCCFFCC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26</xdr:row>
      <xdr:rowOff>114300</xdr:rowOff>
    </xdr:from>
    <xdr:to>
      <xdr:col>17</xdr:col>
      <xdr:colOff>447675</xdr:colOff>
      <xdr:row>35</xdr:row>
      <xdr:rowOff>123825</xdr:rowOff>
    </xdr:to>
    <xdr:sp macro="" textlink="">
      <xdr:nvSpPr>
        <xdr:cNvPr id="2" name="Ellipse 1"/>
        <xdr:cNvSpPr/>
      </xdr:nvSpPr>
      <xdr:spPr>
        <a:xfrm>
          <a:off x="6648450" y="4391025"/>
          <a:ext cx="4495800" cy="1466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workbookViewId="0">
      <selection activeCell="D35" sqref="D35"/>
    </sheetView>
  </sheetViews>
  <sheetFormatPr baseColWidth="10" defaultRowHeight="12.75" x14ac:dyDescent="0.2"/>
  <cols>
    <col min="1" max="1" width="15.42578125" customWidth="1"/>
    <col min="10" max="10" width="3.7109375" customWidth="1"/>
    <col min="11" max="12" width="12.28515625" bestFit="1" customWidth="1"/>
  </cols>
  <sheetData>
    <row r="1" spans="1:9" ht="15" x14ac:dyDescent="0.25">
      <c r="A1" s="3" t="s">
        <v>41</v>
      </c>
    </row>
    <row r="2" spans="1:9" ht="15.75" x14ac:dyDescent="0.25">
      <c r="A2" s="2" t="s">
        <v>26</v>
      </c>
    </row>
    <row r="4" spans="1:9" x14ac:dyDescent="0.2">
      <c r="A4" s="1" t="s">
        <v>59</v>
      </c>
    </row>
    <row r="7" spans="1:9" x14ac:dyDescent="0.2">
      <c r="A7" s="5"/>
      <c r="B7" s="55" t="s">
        <v>46</v>
      </c>
      <c r="C7" s="55" t="s">
        <v>47</v>
      </c>
      <c r="D7" s="55" t="s">
        <v>48</v>
      </c>
      <c r="E7" s="55" t="s">
        <v>49</v>
      </c>
      <c r="F7" s="55" t="s">
        <v>50</v>
      </c>
      <c r="G7" s="55" t="s">
        <v>51</v>
      </c>
      <c r="H7" s="55" t="s">
        <v>94</v>
      </c>
      <c r="I7" s="67" t="s">
        <v>5</v>
      </c>
    </row>
    <row r="8" spans="1:9" x14ac:dyDescent="0.2">
      <c r="A8" s="7" t="s">
        <v>27</v>
      </c>
      <c r="B8" s="5"/>
      <c r="C8" s="5"/>
      <c r="D8" s="5"/>
      <c r="E8" s="5"/>
      <c r="F8" s="5"/>
      <c r="G8" s="5"/>
      <c r="H8" s="77" t="s">
        <v>95</v>
      </c>
      <c r="I8" s="7"/>
    </row>
    <row r="9" spans="1:9" x14ac:dyDescent="0.2">
      <c r="A9" s="5" t="s">
        <v>2</v>
      </c>
      <c r="B9" s="6">
        <v>1030475</v>
      </c>
      <c r="C9" s="6">
        <v>1129675</v>
      </c>
      <c r="D9" s="6">
        <v>92075</v>
      </c>
      <c r="E9" s="6">
        <v>136575</v>
      </c>
      <c r="F9" s="6">
        <v>688725</v>
      </c>
      <c r="G9" s="6">
        <v>371784.94</v>
      </c>
      <c r="H9" s="6">
        <f>B9+C9+E9</f>
        <v>2296725</v>
      </c>
      <c r="I9" s="58">
        <f>SUM(B9:G9)</f>
        <v>3449309.94</v>
      </c>
    </row>
    <row r="10" spans="1:9" x14ac:dyDescent="0.2">
      <c r="A10" s="5" t="s">
        <v>44</v>
      </c>
      <c r="B10" s="6">
        <v>10171.879999999999</v>
      </c>
      <c r="C10" s="6">
        <v>4068.75</v>
      </c>
      <c r="D10" s="6"/>
      <c r="E10" s="6">
        <v>3729.69</v>
      </c>
      <c r="F10" s="6">
        <v>2712.5</v>
      </c>
      <c r="G10" s="6"/>
      <c r="H10" s="6">
        <f t="shared" ref="H10:H12" si="0">B10+C10+E10</f>
        <v>17970.32</v>
      </c>
      <c r="I10" s="58">
        <f>SUM(B10:F10)</f>
        <v>20682.82</v>
      </c>
    </row>
    <row r="11" spans="1:9" x14ac:dyDescent="0.2">
      <c r="A11" s="5" t="s">
        <v>45</v>
      </c>
      <c r="B11" s="6"/>
      <c r="C11" s="6"/>
      <c r="D11" s="6"/>
      <c r="E11" s="6"/>
      <c r="F11" s="6"/>
      <c r="G11" s="6"/>
      <c r="H11" s="6">
        <f t="shared" si="0"/>
        <v>0</v>
      </c>
      <c r="I11" s="8">
        <v>39525</v>
      </c>
    </row>
    <row r="12" spans="1:9" x14ac:dyDescent="0.2">
      <c r="A12" s="7" t="s">
        <v>5</v>
      </c>
      <c r="B12" s="8">
        <f>SUM(B9:B11)</f>
        <v>1040646.88</v>
      </c>
      <c r="C12" s="8">
        <f t="shared" ref="C12:I12" si="1">SUM(C9:C11)</f>
        <v>1133743.75</v>
      </c>
      <c r="D12" s="8">
        <f t="shared" si="1"/>
        <v>92075</v>
      </c>
      <c r="E12" s="8">
        <f t="shared" si="1"/>
        <v>140304.69</v>
      </c>
      <c r="F12" s="8">
        <f t="shared" si="1"/>
        <v>691437.5</v>
      </c>
      <c r="G12" s="8"/>
      <c r="H12" s="6">
        <f t="shared" si="0"/>
        <v>2314695.3199999998</v>
      </c>
      <c r="I12" s="8">
        <f t="shared" si="1"/>
        <v>3509517.76</v>
      </c>
    </row>
    <row r="13" spans="1:9" x14ac:dyDescent="0.2">
      <c r="B13" s="4"/>
      <c r="C13" s="4"/>
      <c r="D13" s="4"/>
      <c r="E13" s="4"/>
      <c r="F13" s="4"/>
      <c r="G13" s="4"/>
      <c r="H13" s="4"/>
    </row>
    <row r="14" spans="1:9" x14ac:dyDescent="0.2">
      <c r="A14" s="1" t="s">
        <v>53</v>
      </c>
      <c r="B14" s="4"/>
      <c r="C14" s="4"/>
      <c r="D14" s="4"/>
      <c r="E14" s="4"/>
      <c r="F14" s="4"/>
      <c r="G14" s="4"/>
      <c r="H14" s="4"/>
    </row>
    <row r="15" spans="1:9" x14ac:dyDescent="0.2">
      <c r="A15" s="5" t="s">
        <v>2</v>
      </c>
      <c r="B15" s="6">
        <v>150933</v>
      </c>
      <c r="C15" s="6"/>
      <c r="D15" s="6"/>
      <c r="E15" s="6"/>
      <c r="F15" s="6"/>
      <c r="G15" s="6"/>
      <c r="H15" s="6">
        <f>B15</f>
        <v>150933</v>
      </c>
      <c r="I15" s="58">
        <f>SUM(B15:G15)</f>
        <v>150933</v>
      </c>
    </row>
    <row r="16" spans="1:9" x14ac:dyDescent="0.2">
      <c r="A16" s="68" t="s">
        <v>45</v>
      </c>
      <c r="B16" s="6">
        <v>17860</v>
      </c>
      <c r="C16" s="6"/>
      <c r="D16" s="6"/>
      <c r="E16" s="6"/>
      <c r="F16" s="6"/>
      <c r="G16" s="6"/>
      <c r="H16" s="6">
        <f t="shared" ref="H16:H25" si="2">B16</f>
        <v>17860</v>
      </c>
      <c r="I16" s="58">
        <f t="shared" ref="I16:I25" si="3">SUM(B16:G16)</f>
        <v>17860</v>
      </c>
    </row>
    <row r="17" spans="1:12" x14ac:dyDescent="0.2">
      <c r="A17" s="7" t="s">
        <v>5</v>
      </c>
      <c r="B17" s="6">
        <f>SUM(B15:B16)</f>
        <v>168793</v>
      </c>
      <c r="C17" s="6"/>
      <c r="D17" s="6"/>
      <c r="E17" s="6"/>
      <c r="F17" s="6"/>
      <c r="G17" s="6"/>
      <c r="H17" s="6">
        <f t="shared" si="2"/>
        <v>168793</v>
      </c>
      <c r="I17" s="58">
        <f t="shared" si="3"/>
        <v>168793</v>
      </c>
    </row>
    <row r="18" spans="1:12" x14ac:dyDescent="0.2">
      <c r="B18" s="4"/>
      <c r="C18" s="4"/>
      <c r="D18" s="4"/>
      <c r="E18" s="4"/>
      <c r="F18" s="4"/>
      <c r="G18" s="4"/>
      <c r="H18" s="6"/>
      <c r="I18" s="57"/>
    </row>
    <row r="19" spans="1:12" x14ac:dyDescent="0.2">
      <c r="A19" s="1" t="s">
        <v>52</v>
      </c>
      <c r="B19" s="4"/>
      <c r="C19" s="4"/>
      <c r="D19" s="4"/>
      <c r="E19" s="4"/>
      <c r="F19" s="4"/>
      <c r="G19" s="4"/>
      <c r="H19" s="6"/>
      <c r="I19" s="57"/>
    </row>
    <row r="20" spans="1:12" x14ac:dyDescent="0.2">
      <c r="A20" s="7" t="s">
        <v>2</v>
      </c>
      <c r="B20" s="6">
        <v>69900</v>
      </c>
      <c r="C20" s="6"/>
      <c r="D20" s="6"/>
      <c r="E20" s="6"/>
      <c r="F20" s="6"/>
      <c r="G20" s="6"/>
      <c r="H20" s="6">
        <f t="shared" si="2"/>
        <v>69900</v>
      </c>
      <c r="I20" s="58">
        <f t="shared" si="3"/>
        <v>69900</v>
      </c>
    </row>
    <row r="21" spans="1:12" x14ac:dyDescent="0.2">
      <c r="B21" s="4"/>
      <c r="C21" s="4"/>
      <c r="D21" s="4"/>
      <c r="E21" s="4"/>
      <c r="F21" s="4"/>
      <c r="G21" s="4"/>
      <c r="H21" s="6"/>
      <c r="I21" s="57"/>
    </row>
    <row r="22" spans="1:12" x14ac:dyDescent="0.2">
      <c r="A22" s="1" t="s">
        <v>54</v>
      </c>
      <c r="B22" s="4"/>
      <c r="C22" s="4"/>
      <c r="D22" s="4"/>
      <c r="E22" s="4"/>
      <c r="F22" s="4"/>
      <c r="G22" s="4"/>
      <c r="H22" s="6"/>
      <c r="I22" s="57"/>
    </row>
    <row r="23" spans="1:12" x14ac:dyDescent="0.2">
      <c r="A23" s="5" t="s">
        <v>2</v>
      </c>
      <c r="B23" s="6">
        <v>162587.75</v>
      </c>
      <c r="C23" s="6"/>
      <c r="D23" s="6"/>
      <c r="E23" s="6"/>
      <c r="F23" s="6"/>
      <c r="G23" s="6"/>
      <c r="H23" s="6">
        <f t="shared" si="2"/>
        <v>162587.75</v>
      </c>
      <c r="I23" s="58">
        <f t="shared" si="3"/>
        <v>162587.75</v>
      </c>
    </row>
    <row r="24" spans="1:12" x14ac:dyDescent="0.2">
      <c r="A24" s="68" t="s">
        <v>45</v>
      </c>
      <c r="B24" s="6">
        <v>12255.6</v>
      </c>
      <c r="C24" s="6"/>
      <c r="D24" s="6"/>
      <c r="E24" s="6"/>
      <c r="F24" s="6"/>
      <c r="G24" s="6"/>
      <c r="H24" s="6">
        <f t="shared" si="2"/>
        <v>12255.6</v>
      </c>
      <c r="I24" s="58">
        <f t="shared" si="3"/>
        <v>12255.6</v>
      </c>
    </row>
    <row r="25" spans="1:12" x14ac:dyDescent="0.2">
      <c r="A25" s="7" t="s">
        <v>5</v>
      </c>
      <c r="B25" s="6">
        <f>SUM(B23:B24)</f>
        <v>174843.35</v>
      </c>
      <c r="C25" s="6"/>
      <c r="D25" s="6"/>
      <c r="E25" s="6"/>
      <c r="F25" s="6"/>
      <c r="G25" s="6"/>
      <c r="H25" s="6">
        <f t="shared" si="2"/>
        <v>174843.35</v>
      </c>
      <c r="I25" s="58">
        <f t="shared" si="3"/>
        <v>174843.35</v>
      </c>
    </row>
    <row r="26" spans="1:12" x14ac:dyDescent="0.2">
      <c r="B26" s="4"/>
      <c r="C26" s="4"/>
      <c r="D26" s="4"/>
      <c r="E26" s="4"/>
      <c r="F26" s="4"/>
      <c r="G26" s="4"/>
      <c r="H26" s="4"/>
    </row>
    <row r="27" spans="1:12" x14ac:dyDescent="0.2">
      <c r="A27" s="1" t="s">
        <v>55</v>
      </c>
    </row>
    <row r="28" spans="1:12" x14ac:dyDescent="0.2">
      <c r="A28" s="5" t="s">
        <v>2</v>
      </c>
      <c r="B28" s="50">
        <f>B9+B15+B20+B23</f>
        <v>1413895.75</v>
      </c>
      <c r="C28" s="50">
        <f t="shared" ref="C28:I28" si="4">C9+C15+C20+C23</f>
        <v>1129675</v>
      </c>
      <c r="D28" s="50">
        <f t="shared" si="4"/>
        <v>92075</v>
      </c>
      <c r="E28" s="50">
        <f t="shared" si="4"/>
        <v>136575</v>
      </c>
      <c r="F28" s="50">
        <f t="shared" si="4"/>
        <v>688725</v>
      </c>
      <c r="G28" s="50">
        <f t="shared" si="4"/>
        <v>371784.94</v>
      </c>
      <c r="H28" s="6">
        <f t="shared" ref="H28:H31" si="5">B28+C28+E28</f>
        <v>2680145.75</v>
      </c>
      <c r="I28" s="50">
        <f t="shared" si="4"/>
        <v>3832730.69</v>
      </c>
    </row>
    <row r="29" spans="1:12" x14ac:dyDescent="0.2">
      <c r="A29" s="5" t="s">
        <v>44</v>
      </c>
      <c r="B29" s="50">
        <f>B10</f>
        <v>10171.879999999999</v>
      </c>
      <c r="C29" s="50">
        <f t="shared" ref="C29:I29" si="6">C10</f>
        <v>4068.75</v>
      </c>
      <c r="D29" s="50">
        <f t="shared" si="6"/>
        <v>0</v>
      </c>
      <c r="E29" s="50">
        <f t="shared" si="6"/>
        <v>3729.69</v>
      </c>
      <c r="F29" s="50">
        <f t="shared" si="6"/>
        <v>2712.5</v>
      </c>
      <c r="G29" s="50">
        <f t="shared" si="6"/>
        <v>0</v>
      </c>
      <c r="H29" s="6">
        <f t="shared" si="5"/>
        <v>17970.32</v>
      </c>
      <c r="I29" s="50">
        <f t="shared" si="6"/>
        <v>20682.82</v>
      </c>
      <c r="K29" t="s">
        <v>91</v>
      </c>
    </row>
    <row r="30" spans="1:12" x14ac:dyDescent="0.2">
      <c r="A30" s="5" t="s">
        <v>45</v>
      </c>
      <c r="B30" s="5"/>
      <c r="C30" s="5"/>
      <c r="D30" s="5"/>
      <c r="E30" s="5"/>
      <c r="F30" s="5"/>
      <c r="G30" s="5"/>
      <c r="H30" s="6">
        <f t="shared" si="5"/>
        <v>0</v>
      </c>
      <c r="I30" s="50">
        <f>I11+I16+I24</f>
        <v>69640.600000000006</v>
      </c>
    </row>
    <row r="31" spans="1:12" x14ac:dyDescent="0.2">
      <c r="A31" s="7" t="s">
        <v>5</v>
      </c>
      <c r="B31" s="58">
        <f>SUM(B28:B30)</f>
        <v>1424067.63</v>
      </c>
      <c r="C31" s="58">
        <f t="shared" ref="C31:I31" si="7">SUM(C28:C30)</f>
        <v>1133743.75</v>
      </c>
      <c r="D31" s="58">
        <f t="shared" si="7"/>
        <v>92075</v>
      </c>
      <c r="E31" s="58">
        <f t="shared" si="7"/>
        <v>140304.69</v>
      </c>
      <c r="F31" s="58">
        <f t="shared" si="7"/>
        <v>691437.5</v>
      </c>
      <c r="G31" s="58">
        <f t="shared" si="7"/>
        <v>371784.94</v>
      </c>
      <c r="H31" s="6">
        <f t="shared" si="5"/>
        <v>2698116.07</v>
      </c>
      <c r="I31" s="58">
        <f t="shared" si="7"/>
        <v>3923054.11</v>
      </c>
      <c r="K31" s="56">
        <f>I31-I25</f>
        <v>3748210.76</v>
      </c>
      <c r="L31" s="73" t="s">
        <v>64</v>
      </c>
    </row>
    <row r="32" spans="1:12" x14ac:dyDescent="0.2">
      <c r="K32" s="56">
        <f>K31*1.077</f>
        <v>4036822.9885199997</v>
      </c>
      <c r="L32" t="s">
        <v>65</v>
      </c>
    </row>
    <row r="33" spans="1:12" x14ac:dyDescent="0.2">
      <c r="A33" s="69" t="s">
        <v>60</v>
      </c>
      <c r="K33" s="4">
        <v>4036823</v>
      </c>
      <c r="L33" t="s">
        <v>90</v>
      </c>
    </row>
    <row r="34" spans="1:12" x14ac:dyDescent="0.2">
      <c r="A34" t="s">
        <v>57</v>
      </c>
      <c r="E34" t="s">
        <v>56</v>
      </c>
    </row>
    <row r="35" spans="1:12" x14ac:dyDescent="0.2">
      <c r="A35" t="s">
        <v>58</v>
      </c>
      <c r="E35" t="s">
        <v>28</v>
      </c>
    </row>
    <row r="38" spans="1:12" x14ac:dyDescent="0.2">
      <c r="A38" s="1" t="s">
        <v>62</v>
      </c>
    </row>
    <row r="39" spans="1:12" x14ac:dyDescent="0.2">
      <c r="A39" s="1"/>
    </row>
    <row r="40" spans="1:12" x14ac:dyDescent="0.2">
      <c r="B40" s="70" t="s">
        <v>46</v>
      </c>
      <c r="C40" s="70" t="s">
        <v>47</v>
      </c>
      <c r="D40" s="70" t="s">
        <v>48</v>
      </c>
      <c r="E40" s="70" t="s">
        <v>49</v>
      </c>
      <c r="F40" s="70" t="s">
        <v>50</v>
      </c>
      <c r="G40" s="70" t="s">
        <v>51</v>
      </c>
      <c r="H40" s="70"/>
      <c r="I40" s="71" t="s">
        <v>5</v>
      </c>
    </row>
    <row r="41" spans="1:12" x14ac:dyDescent="0.2">
      <c r="A41" s="7" t="s">
        <v>2</v>
      </c>
      <c r="B41" s="8">
        <v>1418754.75</v>
      </c>
      <c r="C41" s="8">
        <v>1399659</v>
      </c>
      <c r="D41" s="79"/>
      <c r="E41" s="8">
        <v>88266</v>
      </c>
      <c r="F41" s="79"/>
      <c r="G41" s="79"/>
      <c r="H41" s="79"/>
      <c r="I41" s="8">
        <f>SUM(B41:G41)</f>
        <v>2906679.75</v>
      </c>
    </row>
    <row r="42" spans="1:12" x14ac:dyDescent="0.2">
      <c r="A42" s="5" t="s">
        <v>61</v>
      </c>
      <c r="B42" s="6">
        <f>B41-B31</f>
        <v>-5312.8799999998882</v>
      </c>
      <c r="C42" s="6">
        <f t="shared" ref="C42" si="8">C41-C31</f>
        <v>265915.25</v>
      </c>
      <c r="D42" s="72"/>
      <c r="E42" s="6">
        <f>E41-E31</f>
        <v>-52038.69</v>
      </c>
      <c r="F42" s="72"/>
      <c r="G42" s="72"/>
      <c r="H42" s="72"/>
      <c r="I42" s="6">
        <f>SUM(B42:G42)</f>
        <v>208563.68000000011</v>
      </c>
    </row>
    <row r="43" spans="1:12" x14ac:dyDescent="0.2">
      <c r="A43" s="78" t="s">
        <v>75</v>
      </c>
      <c r="B43" s="8"/>
      <c r="C43" s="8"/>
      <c r="D43" s="8"/>
      <c r="E43" s="8"/>
      <c r="F43" s="8"/>
      <c r="G43" s="8"/>
      <c r="H43" s="8"/>
      <c r="I43" s="8">
        <f>I11+B16+B24</f>
        <v>69640.600000000006</v>
      </c>
    </row>
    <row r="44" spans="1:12" x14ac:dyDescent="0.2">
      <c r="A44" s="78" t="s">
        <v>96</v>
      </c>
      <c r="B44" s="8"/>
      <c r="C44" s="8"/>
      <c r="D44" s="8"/>
      <c r="E44" s="8"/>
      <c r="F44" s="8"/>
      <c r="G44" s="8"/>
      <c r="H44" s="8"/>
      <c r="I44" s="80">
        <f>I41+I43</f>
        <v>2976320.35</v>
      </c>
    </row>
    <row r="45" spans="1:12" x14ac:dyDescent="0.2">
      <c r="B45" s="4"/>
      <c r="C45" s="4"/>
      <c r="D45" s="4"/>
      <c r="E45" s="4"/>
      <c r="F45" s="4"/>
      <c r="G45" s="4"/>
      <c r="H45" s="4"/>
      <c r="I45" s="4"/>
    </row>
    <row r="46" spans="1:12" x14ac:dyDescent="0.2">
      <c r="B46" s="4"/>
      <c r="C46" s="4"/>
      <c r="D46" s="4"/>
      <c r="E46" s="4"/>
      <c r="F46" s="4"/>
      <c r="G46" s="4"/>
      <c r="H46" s="4"/>
      <c r="I46" s="4"/>
    </row>
    <row r="47" spans="1:12" x14ac:dyDescent="0.2">
      <c r="A47" s="1" t="s">
        <v>108</v>
      </c>
    </row>
    <row r="48" spans="1:12" x14ac:dyDescent="0.2">
      <c r="A48" s="1"/>
    </row>
    <row r="49" spans="1:9" x14ac:dyDescent="0.2">
      <c r="B49" s="70" t="s">
        <v>46</v>
      </c>
      <c r="C49" s="70" t="s">
        <v>47</v>
      </c>
      <c r="D49" s="70" t="s">
        <v>48</v>
      </c>
      <c r="E49" s="70" t="s">
        <v>49</v>
      </c>
      <c r="F49" s="70" t="s">
        <v>50</v>
      </c>
      <c r="G49" s="70" t="s">
        <v>51</v>
      </c>
      <c r="H49" s="70"/>
      <c r="I49" s="71" t="s">
        <v>5</v>
      </c>
    </row>
    <row r="50" spans="1:9" x14ac:dyDescent="0.2">
      <c r="A50" s="7" t="s">
        <v>2</v>
      </c>
      <c r="B50" s="8">
        <v>1418754.75</v>
      </c>
      <c r="C50" s="8">
        <v>1399659</v>
      </c>
      <c r="D50" s="79"/>
      <c r="E50" s="8">
        <v>88266</v>
      </c>
      <c r="F50" s="79">
        <f>F31</f>
        <v>691437.5</v>
      </c>
      <c r="G50" s="79"/>
      <c r="H50" s="79"/>
      <c r="I50" s="8">
        <f>SUM(B50:G50)</f>
        <v>3598117.25</v>
      </c>
    </row>
    <row r="51" spans="1:9" x14ac:dyDescent="0.2">
      <c r="A51" s="5" t="s">
        <v>61</v>
      </c>
      <c r="B51" s="6">
        <f>B50-B31</f>
        <v>-5312.8799999998882</v>
      </c>
      <c r="C51" s="6">
        <f>C50-C31</f>
        <v>265915.25</v>
      </c>
      <c r="D51" s="72"/>
      <c r="E51" s="6">
        <f>E50-E31</f>
        <v>-52038.69</v>
      </c>
      <c r="F51" s="72"/>
      <c r="G51" s="72"/>
      <c r="H51" s="72"/>
      <c r="I51" s="6">
        <f>SUM(B51:G51)</f>
        <v>208563.68000000011</v>
      </c>
    </row>
    <row r="52" spans="1:9" x14ac:dyDescent="0.2">
      <c r="A52" s="78" t="s">
        <v>75</v>
      </c>
      <c r="B52" s="8"/>
      <c r="C52" s="8"/>
      <c r="D52" s="8"/>
      <c r="E52" s="8"/>
      <c r="F52" s="8"/>
      <c r="G52" s="8"/>
      <c r="H52" s="8"/>
      <c r="I52" s="8">
        <f>I20+B25+B33</f>
        <v>244743.35</v>
      </c>
    </row>
    <row r="53" spans="1:9" x14ac:dyDescent="0.2">
      <c r="A53" s="78" t="s">
        <v>96</v>
      </c>
      <c r="B53" s="8"/>
      <c r="C53" s="8"/>
      <c r="D53" s="8"/>
      <c r="E53" s="8"/>
      <c r="F53" s="8"/>
      <c r="G53" s="8"/>
      <c r="H53" s="8"/>
      <c r="I53" s="80">
        <f>I50+I52</f>
        <v>3842860.6</v>
      </c>
    </row>
    <row r="54" spans="1:9" x14ac:dyDescent="0.2">
      <c r="B54" s="4"/>
      <c r="C54" s="4"/>
      <c r="D54" s="4"/>
      <c r="E54" s="4"/>
      <c r="F54" s="4"/>
      <c r="G54" s="4"/>
      <c r="H54" s="4"/>
      <c r="I54" s="4"/>
    </row>
    <row r="55" spans="1:9" x14ac:dyDescent="0.2">
      <c r="B55" s="4"/>
      <c r="C55" s="4"/>
      <c r="D55" s="4"/>
      <c r="E55" s="4"/>
      <c r="F55" s="4"/>
      <c r="G55" s="4"/>
      <c r="H55" s="4"/>
      <c r="I55" s="4"/>
    </row>
    <row r="56" spans="1:9" x14ac:dyDescent="0.2">
      <c r="B56" s="4"/>
      <c r="C56" s="4"/>
      <c r="D56" s="4"/>
      <c r="E56" s="4"/>
      <c r="F56" s="4"/>
      <c r="G56" s="4"/>
      <c r="H56" s="4"/>
      <c r="I56" s="4"/>
    </row>
    <row r="57" spans="1:9" x14ac:dyDescent="0.2">
      <c r="B57" s="4"/>
      <c r="C57" s="4"/>
      <c r="D57" s="4"/>
      <c r="E57" s="4"/>
      <c r="F57" s="4"/>
      <c r="G57" s="4"/>
      <c r="H57" s="4"/>
      <c r="I57" s="4"/>
    </row>
    <row r="58" spans="1:9" x14ac:dyDescent="0.2">
      <c r="B58" s="4"/>
      <c r="C58" s="4"/>
      <c r="D58" s="4"/>
      <c r="E58" s="4"/>
      <c r="F58" s="4"/>
      <c r="G58" s="4"/>
      <c r="H58" s="4"/>
      <c r="I58" s="4"/>
    </row>
    <row r="59" spans="1:9" x14ac:dyDescent="0.2">
      <c r="B59" s="4"/>
      <c r="C59" s="4"/>
      <c r="D59" s="4"/>
      <c r="E59" s="4"/>
      <c r="F59" s="4"/>
      <c r="G59" s="4"/>
      <c r="H59" s="4"/>
      <c r="I59" s="4"/>
    </row>
    <row r="60" spans="1:9" x14ac:dyDescent="0.2">
      <c r="B60" s="4"/>
      <c r="C60" s="4"/>
      <c r="D60" s="4"/>
      <c r="E60" s="4"/>
      <c r="F60" s="4"/>
      <c r="G60" s="4"/>
      <c r="H60" s="4"/>
      <c r="I60" s="4"/>
    </row>
    <row r="61" spans="1:9" x14ac:dyDescent="0.2">
      <c r="B61" s="4"/>
      <c r="C61" s="4"/>
      <c r="D61" s="4"/>
      <c r="E61" s="4"/>
      <c r="F61" s="4"/>
      <c r="G61" s="4"/>
      <c r="H61" s="4"/>
      <c r="I61" s="4"/>
    </row>
    <row r="62" spans="1:9" x14ac:dyDescent="0.2">
      <c r="B62" s="4"/>
      <c r="C62" s="4"/>
      <c r="D62" s="4"/>
      <c r="E62" s="4"/>
      <c r="F62" s="4"/>
      <c r="G62" s="4"/>
      <c r="H62" s="4"/>
      <c r="I62" s="4"/>
    </row>
    <row r="63" spans="1:9" x14ac:dyDescent="0.2">
      <c r="B63" s="4"/>
      <c r="C63" s="4"/>
      <c r="D63" s="4"/>
      <c r="E63" s="4"/>
      <c r="F63" s="4"/>
      <c r="G63" s="4"/>
      <c r="H63" s="4"/>
      <c r="I63" s="4"/>
    </row>
  </sheetData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opLeftCell="A31" workbookViewId="0">
      <selection activeCell="E59" sqref="E59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9" width="8.28515625" customWidth="1"/>
    <col min="10" max="10" width="8.7109375" customWidth="1"/>
    <col min="11" max="11" width="9.140625" customWidth="1"/>
    <col min="12" max="12" width="8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26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249" t="s">
        <v>42</v>
      </c>
      <c r="D6" s="249"/>
      <c r="E6" s="249" t="s">
        <v>43</v>
      </c>
      <c r="F6" s="249"/>
      <c r="G6" s="249"/>
      <c r="H6" s="249"/>
      <c r="I6" s="249"/>
      <c r="J6" s="250" t="s">
        <v>73</v>
      </c>
      <c r="K6" s="251"/>
      <c r="L6" s="250" t="s">
        <v>74</v>
      </c>
      <c r="M6" s="251"/>
      <c r="N6" s="249" t="s">
        <v>97</v>
      </c>
      <c r="O6" s="249"/>
      <c r="P6" s="249"/>
      <c r="Q6" s="76"/>
      <c r="R6" s="76"/>
    </row>
    <row r="7" spans="1:20" x14ac:dyDescent="0.2">
      <c r="A7" s="55" t="s">
        <v>0</v>
      </c>
      <c r="B7" s="55" t="s">
        <v>1</v>
      </c>
      <c r="C7" s="55" t="s">
        <v>5</v>
      </c>
      <c r="D7" s="55" t="s">
        <v>66</v>
      </c>
      <c r="E7" s="55" t="s">
        <v>5</v>
      </c>
      <c r="F7" s="55" t="s">
        <v>66</v>
      </c>
      <c r="G7" s="55" t="s">
        <v>87</v>
      </c>
      <c r="H7" s="55" t="s">
        <v>88</v>
      </c>
      <c r="I7" s="55" t="s">
        <v>89</v>
      </c>
      <c r="J7" s="55" t="s">
        <v>5</v>
      </c>
      <c r="K7" s="55" t="s">
        <v>87</v>
      </c>
      <c r="L7" s="55" t="s">
        <v>5</v>
      </c>
      <c r="M7" s="55" t="s">
        <v>66</v>
      </c>
      <c r="N7" s="55" t="s">
        <v>5</v>
      </c>
      <c r="O7" s="55" t="s">
        <v>66</v>
      </c>
      <c r="P7" s="5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67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5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248" t="s">
        <v>102</v>
      </c>
      <c r="S10" s="248"/>
      <c r="T10" s="248"/>
    </row>
    <row r="11" spans="1:20" x14ac:dyDescent="0.2">
      <c r="A11" s="81">
        <v>500</v>
      </c>
      <c r="B11" s="5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5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5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5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5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5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5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5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5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5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>
        <v>425</v>
      </c>
      <c r="B22" s="5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2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92"/>
      <c r="M25" s="92"/>
      <c r="N25" s="6"/>
      <c r="O25" s="6"/>
      <c r="P25" s="6"/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/>
      <c r="M27" s="8"/>
      <c r="N27" s="80">
        <f>SUM(N9:N26)</f>
        <v>2976321.35</v>
      </c>
      <c r="O27" s="8">
        <f>O9+O17+O26</f>
        <v>1475942.1</v>
      </c>
      <c r="P27" s="8">
        <f>P9+P17+P24+P26</f>
        <v>1500379.25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  <c r="L37" s="63">
        <f t="shared" ref="L37:L39" si="3">L47/G47</f>
        <v>1.3142857142857143</v>
      </c>
    </row>
    <row r="38" spans="1:20" x14ac:dyDescent="0.2">
      <c r="L38" s="63">
        <f t="shared" si="3"/>
        <v>1.2444444444444445</v>
      </c>
    </row>
    <row r="39" spans="1:20" x14ac:dyDescent="0.2">
      <c r="L39" s="63">
        <f t="shared" si="3"/>
        <v>1.25</v>
      </c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>
        <f>L50/G50</f>
        <v>1.25</v>
      </c>
      <c r="M40" s="63"/>
      <c r="N40" s="63"/>
      <c r="O40" s="63"/>
    </row>
    <row r="41" spans="1:20" ht="13.5" thickBot="1" x14ac:dyDescent="0.25">
      <c r="R41" s="241" t="s">
        <v>24</v>
      </c>
      <c r="S41" s="241"/>
      <c r="T41" s="241"/>
    </row>
    <row r="42" spans="1:20" x14ac:dyDescent="0.2">
      <c r="A42" s="15" t="s">
        <v>0</v>
      </c>
      <c r="B42" s="31" t="s">
        <v>1</v>
      </c>
      <c r="C42" s="242" t="s">
        <v>2</v>
      </c>
      <c r="D42" s="243"/>
      <c r="E42" s="243"/>
      <c r="F42" s="243"/>
      <c r="G42" s="243"/>
      <c r="H42" s="244"/>
      <c r="I42" s="245" t="s">
        <v>11</v>
      </c>
      <c r="J42" s="243"/>
      <c r="K42" s="243"/>
      <c r="L42" s="243"/>
      <c r="M42" s="244"/>
      <c r="N42" s="38" t="s">
        <v>10</v>
      </c>
      <c r="O42" s="38" t="s">
        <v>2</v>
      </c>
      <c r="P42" s="102" t="s">
        <v>11</v>
      </c>
      <c r="R42" s="241" t="s">
        <v>5</v>
      </c>
      <c r="S42" s="241"/>
      <c r="T42" s="241"/>
    </row>
    <row r="43" spans="1:20" ht="13.5" x14ac:dyDescent="0.25">
      <c r="A43" s="11"/>
      <c r="B43" s="9"/>
      <c r="C43" s="46" t="s">
        <v>32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39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55" t="s">
        <v>36</v>
      </c>
      <c r="S43" s="5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246" t="s">
        <v>17</v>
      </c>
      <c r="K44" s="247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23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55" t="s">
        <v>38</v>
      </c>
      <c r="S45" s="55" t="s">
        <v>22</v>
      </c>
      <c r="T45" s="5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2135</v>
      </c>
      <c r="D47" s="20">
        <v>0</v>
      </c>
      <c r="E47" s="27">
        <f>F47-D47</f>
        <v>82178</v>
      </c>
      <c r="F47" s="37">
        <f>F18</f>
        <v>82178</v>
      </c>
      <c r="G47" s="20">
        <v>35000</v>
      </c>
      <c r="H47" s="33">
        <f t="shared" ref="H47:H57" si="4">C47+G47</f>
        <v>37135</v>
      </c>
      <c r="I47" s="19">
        <v>3087</v>
      </c>
      <c r="J47" s="37">
        <f>K47-I47</f>
        <v>106913</v>
      </c>
      <c r="K47" s="20">
        <v>110000</v>
      </c>
      <c r="L47" s="37">
        <v>46000</v>
      </c>
      <c r="M47" s="33">
        <f>I47+L47</f>
        <v>49087</v>
      </c>
      <c r="N47" s="42">
        <f>H47-M47</f>
        <v>-11952</v>
      </c>
      <c r="O47" s="49">
        <f>F47-D47</f>
        <v>82178</v>
      </c>
      <c r="P47" s="105">
        <f>F47-N47-I47</f>
        <v>91043</v>
      </c>
      <c r="R47" s="100">
        <f>F47</f>
        <v>82178</v>
      </c>
      <c r="S47" s="100">
        <f>P47+I47</f>
        <v>94130</v>
      </c>
      <c r="T47" s="50">
        <f>R47-S47</f>
        <v>-11952</v>
      </c>
    </row>
    <row r="48" spans="1:20" x14ac:dyDescent="0.2">
      <c r="A48" s="12">
        <v>200</v>
      </c>
      <c r="B48" s="10" t="s">
        <v>42</v>
      </c>
      <c r="C48" s="18">
        <v>574174</v>
      </c>
      <c r="D48" s="20">
        <v>518889</v>
      </c>
      <c r="E48" s="27">
        <f t="shared" ref="E48:E54" si="5">F48-D48</f>
        <v>84585</v>
      </c>
      <c r="F48" s="37">
        <f>D9-D11</f>
        <v>603474</v>
      </c>
      <c r="G48" s="20">
        <v>90000</v>
      </c>
      <c r="H48" s="33">
        <f t="shared" si="4"/>
        <v>664174</v>
      </c>
      <c r="I48" s="19">
        <v>706973</v>
      </c>
      <c r="J48" s="37">
        <f t="shared" ref="J48:J58" si="6">K48-I48</f>
        <v>35027</v>
      </c>
      <c r="K48" s="20">
        <v>742000</v>
      </c>
      <c r="L48" s="37">
        <v>112000</v>
      </c>
      <c r="M48" s="33">
        <f t="shared" ref="M48:M59" si="7">I48+L48</f>
        <v>818973</v>
      </c>
      <c r="N48" s="42">
        <f t="shared" ref="N48:N59" si="8">H48-M48</f>
        <v>-154799</v>
      </c>
      <c r="O48" s="49">
        <f t="shared" ref="O48:O59" si="9">F48-D48</f>
        <v>84585</v>
      </c>
      <c r="P48" s="105">
        <f t="shared" ref="P48:P59" si="10">F48-N48-I48</f>
        <v>51300</v>
      </c>
      <c r="R48" s="100">
        <f t="shared" ref="R48:R59" si="11">F48</f>
        <v>603474</v>
      </c>
      <c r="S48" s="100">
        <f t="shared" ref="S48:S59" si="12">P48+I48</f>
        <v>758273</v>
      </c>
      <c r="T48" s="50">
        <f t="shared" ref="T48:T59" si="13">R48-S48</f>
        <v>-154799</v>
      </c>
    </row>
    <row r="49" spans="1:21" x14ac:dyDescent="0.2">
      <c r="A49" s="12">
        <v>310</v>
      </c>
      <c r="B49" s="55" t="s">
        <v>69</v>
      </c>
      <c r="C49" s="18">
        <v>1360</v>
      </c>
      <c r="D49" s="20">
        <v>0</v>
      </c>
      <c r="E49" s="27">
        <f t="shared" si="5"/>
        <v>320809</v>
      </c>
      <c r="F49" s="37">
        <f>F19</f>
        <v>320809</v>
      </c>
      <c r="G49" s="20">
        <v>160000</v>
      </c>
      <c r="H49" s="33">
        <f t="shared" si="4"/>
        <v>161360</v>
      </c>
      <c r="I49" s="19">
        <v>1726</v>
      </c>
      <c r="J49" s="37">
        <f t="shared" si="6"/>
        <v>398274</v>
      </c>
      <c r="K49" s="20">
        <v>400000</v>
      </c>
      <c r="L49" s="37">
        <v>200000</v>
      </c>
      <c r="M49" s="33">
        <f t="shared" si="7"/>
        <v>201726</v>
      </c>
      <c r="N49" s="42">
        <f t="shared" si="8"/>
        <v>-40366</v>
      </c>
      <c r="O49" s="49">
        <f t="shared" si="9"/>
        <v>320809</v>
      </c>
      <c r="P49" s="105">
        <f t="shared" si="10"/>
        <v>359449</v>
      </c>
      <c r="R49" s="100">
        <f t="shared" si="11"/>
        <v>320809</v>
      </c>
      <c r="S49" s="100">
        <f t="shared" si="12"/>
        <v>361175</v>
      </c>
      <c r="T49" s="50">
        <f t="shared" si="13"/>
        <v>-40366</v>
      </c>
    </row>
    <row r="50" spans="1:21" x14ac:dyDescent="0.2">
      <c r="A50" s="12">
        <v>320</v>
      </c>
      <c r="B50" s="55" t="s">
        <v>70</v>
      </c>
      <c r="C50" s="18">
        <v>13652</v>
      </c>
      <c r="D50" s="20">
        <v>0</v>
      </c>
      <c r="E50" s="27">
        <f t="shared" si="5"/>
        <v>242455</v>
      </c>
      <c r="F50" s="37">
        <f>F20</f>
        <v>242455</v>
      </c>
      <c r="G50" s="20">
        <v>120000</v>
      </c>
      <c r="H50" s="33">
        <f t="shared" si="4"/>
        <v>133652</v>
      </c>
      <c r="I50" s="19">
        <v>16885</v>
      </c>
      <c r="J50" s="37">
        <f t="shared" si="6"/>
        <v>283115</v>
      </c>
      <c r="K50" s="20">
        <v>300000</v>
      </c>
      <c r="L50" s="37">
        <v>150000</v>
      </c>
      <c r="M50" s="33">
        <f t="shared" si="7"/>
        <v>166885</v>
      </c>
      <c r="N50" s="42">
        <f t="shared" si="8"/>
        <v>-33233</v>
      </c>
      <c r="O50" s="49">
        <f t="shared" si="9"/>
        <v>242455</v>
      </c>
      <c r="P50" s="105">
        <f t="shared" si="10"/>
        <v>258803</v>
      </c>
      <c r="R50" s="100">
        <f t="shared" si="11"/>
        <v>242455</v>
      </c>
      <c r="S50" s="100">
        <f t="shared" si="12"/>
        <v>275688</v>
      </c>
      <c r="T50" s="50">
        <f t="shared" si="13"/>
        <v>-33233</v>
      </c>
    </row>
    <row r="51" spans="1:21" x14ac:dyDescent="0.2">
      <c r="A51" s="12">
        <v>330</v>
      </c>
      <c r="B51" s="5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1" x14ac:dyDescent="0.2">
      <c r="A52" s="12">
        <v>420</v>
      </c>
      <c r="B52" s="55" t="s">
        <v>72</v>
      </c>
      <c r="C52" s="18"/>
      <c r="D52" s="20">
        <v>0</v>
      </c>
      <c r="E52" s="27">
        <f t="shared" si="5"/>
        <v>0</v>
      </c>
      <c r="F52" s="37">
        <f>M25</f>
        <v>0</v>
      </c>
      <c r="G52" s="20"/>
      <c r="H52" s="33">
        <f t="shared" si="4"/>
        <v>0</v>
      </c>
      <c r="I52" s="19"/>
      <c r="J52" s="37">
        <f t="shared" si="6"/>
        <v>0</v>
      </c>
      <c r="K52" s="20"/>
      <c r="L52" s="37"/>
      <c r="M52" s="33">
        <f t="shared" si="7"/>
        <v>0</v>
      </c>
      <c r="N52" s="42">
        <f t="shared" si="8"/>
        <v>0</v>
      </c>
      <c r="O52" s="49">
        <f t="shared" si="9"/>
        <v>0</v>
      </c>
      <c r="P52" s="105">
        <f t="shared" si="10"/>
        <v>0</v>
      </c>
      <c r="R52" s="100">
        <f t="shared" si="11"/>
        <v>0</v>
      </c>
      <c r="S52" s="100">
        <f t="shared" si="12"/>
        <v>0</v>
      </c>
      <c r="T52" s="50">
        <f t="shared" si="13"/>
        <v>0</v>
      </c>
    </row>
    <row r="53" spans="1:21" x14ac:dyDescent="0.2">
      <c r="A53" s="12">
        <v>500</v>
      </c>
      <c r="B53" s="55" t="s">
        <v>81</v>
      </c>
      <c r="C53" s="18">
        <v>178011</v>
      </c>
      <c r="D53" s="20">
        <v>177053</v>
      </c>
      <c r="E53" s="27">
        <f t="shared" si="5"/>
        <v>95</v>
      </c>
      <c r="F53" s="37">
        <f>D11</f>
        <v>177148</v>
      </c>
      <c r="G53" s="20">
        <v>0</v>
      </c>
      <c r="H53" s="33">
        <f t="shared" si="4"/>
        <v>178011</v>
      </c>
      <c r="I53" s="19">
        <v>223095</v>
      </c>
      <c r="J53" s="37">
        <f t="shared" si="6"/>
        <v>0</v>
      </c>
      <c r="K53" s="20">
        <v>223095</v>
      </c>
      <c r="L53" s="37">
        <v>0</v>
      </c>
      <c r="M53" s="33">
        <f t="shared" si="7"/>
        <v>223095</v>
      </c>
      <c r="N53" s="42">
        <f t="shared" si="8"/>
        <v>-45084</v>
      </c>
      <c r="O53" s="49">
        <f t="shared" si="9"/>
        <v>95</v>
      </c>
      <c r="P53" s="105">
        <f t="shared" si="10"/>
        <v>-863</v>
      </c>
      <c r="R53" s="100">
        <f t="shared" si="11"/>
        <v>177148</v>
      </c>
      <c r="S53" s="100">
        <f t="shared" si="12"/>
        <v>222232</v>
      </c>
      <c r="T53" s="50">
        <f t="shared" si="13"/>
        <v>-45084</v>
      </c>
    </row>
    <row r="54" spans="1:21" x14ac:dyDescent="0.2">
      <c r="A54" s="12">
        <v>500</v>
      </c>
      <c r="B54" s="10" t="s">
        <v>100</v>
      </c>
      <c r="C54" s="18">
        <v>30116</v>
      </c>
      <c r="D54" s="20">
        <v>30116</v>
      </c>
      <c r="E54" s="27">
        <f t="shared" si="5"/>
        <v>-0.40000000000145519</v>
      </c>
      <c r="F54" s="37">
        <f>'Ausgangslage - Triage'!B16+'Ausgangslage - Triage'!B24</f>
        <v>30115.599999999999</v>
      </c>
      <c r="G54" s="20">
        <v>0</v>
      </c>
      <c r="H54" s="33">
        <f t="shared" si="4"/>
        <v>30116</v>
      </c>
      <c r="I54" s="19">
        <v>380</v>
      </c>
      <c r="J54" s="37">
        <f t="shared" si="6"/>
        <v>173098</v>
      </c>
      <c r="K54" s="20">
        <v>173478</v>
      </c>
      <c r="L54" s="20">
        <v>0</v>
      </c>
      <c r="M54" s="33">
        <f t="shared" si="7"/>
        <v>380</v>
      </c>
      <c r="N54" s="42">
        <f t="shared" si="8"/>
        <v>29736</v>
      </c>
      <c r="O54" s="49">
        <f t="shared" si="9"/>
        <v>-0.40000000000145519</v>
      </c>
      <c r="P54" s="105">
        <f t="shared" si="10"/>
        <v>-0.40000000000145519</v>
      </c>
      <c r="R54" s="100">
        <f t="shared" si="11"/>
        <v>30115.599999999999</v>
      </c>
      <c r="S54" s="100">
        <f t="shared" si="12"/>
        <v>379.59999999999854</v>
      </c>
      <c r="T54" s="50">
        <f t="shared" si="13"/>
        <v>29736</v>
      </c>
    </row>
    <row r="55" spans="1:21" x14ac:dyDescent="0.2">
      <c r="A55" s="12">
        <v>910</v>
      </c>
      <c r="B55" s="10" t="s">
        <v>75</v>
      </c>
      <c r="C55" s="18">
        <v>3958</v>
      </c>
      <c r="D55" s="20">
        <v>3482</v>
      </c>
      <c r="E55" s="27">
        <f>F55-D55</f>
        <v>16280.5</v>
      </c>
      <c r="F55" s="37">
        <f>0.5*'Ausgangslage - Triage'!I11</f>
        <v>19762.5</v>
      </c>
      <c r="G55" s="20">
        <v>3000</v>
      </c>
      <c r="H55" s="33">
        <f t="shared" si="4"/>
        <v>6958</v>
      </c>
      <c r="I55" s="19">
        <v>6700</v>
      </c>
      <c r="J55" s="37">
        <f t="shared" si="6"/>
        <v>0</v>
      </c>
      <c r="K55" s="20">
        <v>6700</v>
      </c>
      <c r="L55" s="20">
        <v>3000</v>
      </c>
      <c r="M55" s="33">
        <f t="shared" si="7"/>
        <v>9700</v>
      </c>
      <c r="N55" s="42">
        <f t="shared" si="8"/>
        <v>-2742</v>
      </c>
      <c r="O55" s="49">
        <f t="shared" si="9"/>
        <v>16280.5</v>
      </c>
      <c r="P55" s="105">
        <f t="shared" si="10"/>
        <v>15804.5</v>
      </c>
      <c r="R55" s="100">
        <f t="shared" si="11"/>
        <v>19762.5</v>
      </c>
      <c r="S55" s="100">
        <f t="shared" si="12"/>
        <v>22504.5</v>
      </c>
      <c r="T55" s="50">
        <f t="shared" si="13"/>
        <v>-2742</v>
      </c>
    </row>
    <row r="56" spans="1:21" x14ac:dyDescent="0.2">
      <c r="A56" s="12"/>
      <c r="B56" s="14" t="s">
        <v>12</v>
      </c>
      <c r="C56" s="43">
        <f>SUM(C47:C55)</f>
        <v>803406</v>
      </c>
      <c r="D56" s="43">
        <f t="shared" ref="D56:H56" si="14">SUM(D47:D55)</f>
        <v>729540</v>
      </c>
      <c r="E56" s="43">
        <f t="shared" si="14"/>
        <v>746402.1</v>
      </c>
      <c r="F56" s="43">
        <f t="shared" si="14"/>
        <v>1475942.1</v>
      </c>
      <c r="G56" s="43">
        <f t="shared" si="14"/>
        <v>408000</v>
      </c>
      <c r="H56" s="43">
        <f t="shared" si="14"/>
        <v>1211406</v>
      </c>
      <c r="I56" s="43">
        <f t="shared" ref="I56" si="15">SUM(I47:I55)</f>
        <v>958846</v>
      </c>
      <c r="J56" s="43">
        <f t="shared" ref="J56" si="16">SUM(J47:J55)</f>
        <v>996427</v>
      </c>
      <c r="K56" s="43">
        <f t="shared" ref="K56" si="17">SUM(K47:K55)</f>
        <v>1955273</v>
      </c>
      <c r="L56" s="43">
        <f t="shared" ref="L56" si="18">SUM(L47:L55)</f>
        <v>511000</v>
      </c>
      <c r="M56" s="107">
        <f t="shared" si="7"/>
        <v>1469846</v>
      </c>
      <c r="N56" s="42">
        <f t="shared" si="8"/>
        <v>-258440</v>
      </c>
      <c r="O56" s="108">
        <f t="shared" si="9"/>
        <v>746402.10000000009</v>
      </c>
      <c r="P56" s="109">
        <f t="shared" si="10"/>
        <v>775536.10000000009</v>
      </c>
      <c r="Q56" s="43"/>
      <c r="R56" s="110">
        <f t="shared" si="11"/>
        <v>1475942.1</v>
      </c>
      <c r="S56" s="110">
        <f t="shared" si="12"/>
        <v>1734382.1</v>
      </c>
      <c r="T56" s="58">
        <f t="shared" si="13"/>
        <v>-258440</v>
      </c>
    </row>
    <row r="57" spans="1:21" x14ac:dyDescent="0.2">
      <c r="A57" s="12">
        <v>777</v>
      </c>
      <c r="B57" s="10" t="s">
        <v>78</v>
      </c>
      <c r="C57" s="47">
        <v>1756</v>
      </c>
      <c r="D57" s="20">
        <v>1756</v>
      </c>
      <c r="E57" s="27">
        <f>F57-D57</f>
        <v>8244</v>
      </c>
      <c r="F57" s="20">
        <v>10000</v>
      </c>
      <c r="G57" s="20">
        <v>0</v>
      </c>
      <c r="H57" s="33">
        <f t="shared" si="4"/>
        <v>1756</v>
      </c>
      <c r="I57" s="19">
        <v>0</v>
      </c>
      <c r="J57" s="37">
        <f t="shared" si="6"/>
        <v>0</v>
      </c>
      <c r="K57" s="20">
        <v>0</v>
      </c>
      <c r="L57" s="20">
        <v>0</v>
      </c>
      <c r="M57" s="33">
        <f t="shared" si="7"/>
        <v>0</v>
      </c>
      <c r="N57" s="42">
        <f t="shared" si="8"/>
        <v>1756</v>
      </c>
      <c r="O57" s="49">
        <f t="shared" si="9"/>
        <v>8244</v>
      </c>
      <c r="P57" s="105">
        <f t="shared" si="10"/>
        <v>8244</v>
      </c>
      <c r="R57" s="100">
        <f t="shared" si="11"/>
        <v>10000</v>
      </c>
      <c r="S57" s="100">
        <f t="shared" si="12"/>
        <v>8244</v>
      </c>
      <c r="T57" s="50">
        <f t="shared" si="13"/>
        <v>1756</v>
      </c>
    </row>
    <row r="58" spans="1:21" x14ac:dyDescent="0.2">
      <c r="A58" s="12">
        <v>900</v>
      </c>
      <c r="B58" s="10" t="s">
        <v>77</v>
      </c>
      <c r="C58" s="47">
        <v>0</v>
      </c>
      <c r="D58" s="20">
        <v>0</v>
      </c>
      <c r="E58" s="20"/>
      <c r="F58" s="20"/>
      <c r="G58" s="20"/>
      <c r="H58" s="99"/>
      <c r="I58" s="19">
        <v>12952</v>
      </c>
      <c r="J58" s="20">
        <f t="shared" si="6"/>
        <v>12048</v>
      </c>
      <c r="K58" s="20">
        <v>25000</v>
      </c>
      <c r="L58" s="20">
        <v>5000</v>
      </c>
      <c r="M58" s="33">
        <f t="shared" si="7"/>
        <v>17952</v>
      </c>
      <c r="N58" s="42">
        <f t="shared" si="8"/>
        <v>-17952</v>
      </c>
      <c r="O58" s="49">
        <f t="shared" si="9"/>
        <v>0</v>
      </c>
      <c r="P58" s="105">
        <f t="shared" si="10"/>
        <v>5000</v>
      </c>
      <c r="R58" s="100">
        <f t="shared" si="11"/>
        <v>0</v>
      </c>
      <c r="S58" s="100">
        <f t="shared" si="12"/>
        <v>17952</v>
      </c>
      <c r="T58" s="50">
        <f t="shared" si="13"/>
        <v>-17952</v>
      </c>
    </row>
    <row r="59" spans="1:21" x14ac:dyDescent="0.2">
      <c r="A59" s="12">
        <v>990</v>
      </c>
      <c r="B59" s="45" t="s">
        <v>76</v>
      </c>
      <c r="C59" s="18">
        <v>9159</v>
      </c>
      <c r="D59" s="20">
        <v>0</v>
      </c>
      <c r="E59" s="20">
        <f t="shared" ref="E59" si="19">F59-D59</f>
        <v>20125</v>
      </c>
      <c r="F59" s="20">
        <v>20125</v>
      </c>
      <c r="G59" s="20">
        <v>10000</v>
      </c>
      <c r="H59" s="21">
        <f>C59+G59</f>
        <v>19159</v>
      </c>
      <c r="I59" s="19">
        <v>10751</v>
      </c>
      <c r="J59" s="20">
        <f t="shared" ref="J59" si="20">K59-I59</f>
        <v>19249</v>
      </c>
      <c r="K59" s="20">
        <v>30000</v>
      </c>
      <c r="L59" s="37">
        <v>15000</v>
      </c>
      <c r="M59" s="33">
        <f t="shared" si="7"/>
        <v>25751</v>
      </c>
      <c r="N59" s="42">
        <f t="shared" si="8"/>
        <v>-6592</v>
      </c>
      <c r="O59" s="49">
        <f t="shared" si="9"/>
        <v>20125</v>
      </c>
      <c r="P59" s="105">
        <f t="shared" si="10"/>
        <v>15966</v>
      </c>
      <c r="R59" s="100">
        <f t="shared" si="11"/>
        <v>20125</v>
      </c>
      <c r="S59" s="100">
        <f t="shared" si="12"/>
        <v>26717</v>
      </c>
      <c r="T59" s="50">
        <f t="shared" si="13"/>
        <v>-6592</v>
      </c>
    </row>
    <row r="60" spans="1:21" ht="15.75" thickBot="1" x14ac:dyDescent="0.3">
      <c r="A60" s="16"/>
      <c r="B60" s="32" t="s">
        <v>5</v>
      </c>
      <c r="C60" s="34">
        <f>SUM(C56:C59)</f>
        <v>814321</v>
      </c>
      <c r="D60" s="34">
        <f t="shared" ref="D60:R60" si="21">SUM(D56:D59)</f>
        <v>731296</v>
      </c>
      <c r="E60" s="34">
        <f t="shared" si="21"/>
        <v>774771.1</v>
      </c>
      <c r="F60" s="34">
        <f t="shared" si="21"/>
        <v>1506067.1</v>
      </c>
      <c r="G60" s="34">
        <f t="shared" si="21"/>
        <v>418000</v>
      </c>
      <c r="H60" s="34">
        <f t="shared" si="21"/>
        <v>1232321</v>
      </c>
      <c r="I60" s="34">
        <f t="shared" si="21"/>
        <v>982549</v>
      </c>
      <c r="J60" s="34">
        <f t="shared" si="21"/>
        <v>1027724</v>
      </c>
      <c r="K60" s="34">
        <f t="shared" si="21"/>
        <v>2010273</v>
      </c>
      <c r="L60" s="34">
        <f t="shared" si="21"/>
        <v>531000</v>
      </c>
      <c r="M60" s="34">
        <f t="shared" si="21"/>
        <v>1513549</v>
      </c>
      <c r="N60" s="34">
        <f t="shared" si="21"/>
        <v>-281228</v>
      </c>
      <c r="O60" s="34">
        <f t="shared" si="21"/>
        <v>774771.10000000009</v>
      </c>
      <c r="P60" s="34">
        <f t="shared" si="21"/>
        <v>804746.10000000009</v>
      </c>
      <c r="R60" s="34">
        <f t="shared" si="21"/>
        <v>1506067.1</v>
      </c>
      <c r="S60" s="34">
        <f t="shared" ref="S60" si="22">SUM(S56:S59)</f>
        <v>1787295.1</v>
      </c>
      <c r="T60" s="34">
        <f t="shared" ref="T60" si="23">SUM(T56:T59)</f>
        <v>-281228</v>
      </c>
    </row>
    <row r="61" spans="1:21" x14ac:dyDescent="0.2">
      <c r="C61" s="3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S61" s="149">
        <f>S60/R60</f>
        <v>1.1867300600351738</v>
      </c>
      <c r="T61" s="5"/>
      <c r="U61" s="5"/>
    </row>
    <row r="62" spans="1:21" x14ac:dyDescent="0.2">
      <c r="B62" s="28" t="s">
        <v>34</v>
      </c>
      <c r="C62" s="2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R62" s="54" t="s">
        <v>40</v>
      </c>
      <c r="S62" s="51"/>
      <c r="T62" s="52">
        <v>-284100</v>
      </c>
      <c r="U62" s="53" t="s">
        <v>25</v>
      </c>
    </row>
    <row r="63" spans="1:21" x14ac:dyDescent="0.2">
      <c r="B63" s="35" t="s">
        <v>16</v>
      </c>
      <c r="C63" s="36"/>
      <c r="D63" s="36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21" x14ac:dyDescent="0.2">
      <c r="B64" t="s">
        <v>20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mergeCells count="11">
    <mergeCell ref="R10:T10"/>
    <mergeCell ref="C6:D6"/>
    <mergeCell ref="J6:K6"/>
    <mergeCell ref="L6:M6"/>
    <mergeCell ref="E6:I6"/>
    <mergeCell ref="N6:P6"/>
    <mergeCell ref="R41:T41"/>
    <mergeCell ref="C42:H42"/>
    <mergeCell ref="I42:M42"/>
    <mergeCell ref="R42:T42"/>
    <mergeCell ref="J44:K44"/>
  </mergeCells>
  <pageMargins left="0.70866141732283472" right="0.70866141732283472" top="0.78740157480314965" bottom="0.78740157480314965" header="0.31496062992125984" footer="0.31496062992125984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A37" zoomScaleNormal="100" workbookViewId="0">
      <selection activeCell="E56" sqref="E56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10" width="8.7109375" customWidth="1"/>
    <col min="11" max="11" width="9.140625" customWidth="1"/>
    <col min="12" max="12" width="8.42578125" bestFit="1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106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249" t="s">
        <v>42</v>
      </c>
      <c r="D6" s="249"/>
      <c r="E6" s="249" t="s">
        <v>43</v>
      </c>
      <c r="F6" s="249"/>
      <c r="G6" s="249"/>
      <c r="H6" s="249"/>
      <c r="I6" s="249"/>
      <c r="J6" s="250" t="s">
        <v>73</v>
      </c>
      <c r="K6" s="251"/>
      <c r="L6" s="250" t="s">
        <v>74</v>
      </c>
      <c r="M6" s="251"/>
      <c r="N6" s="249" t="s">
        <v>97</v>
      </c>
      <c r="O6" s="249"/>
      <c r="P6" s="249"/>
      <c r="Q6" s="76"/>
      <c r="R6" s="76"/>
    </row>
    <row r="7" spans="1:20" x14ac:dyDescent="0.2">
      <c r="A7" s="65" t="s">
        <v>0</v>
      </c>
      <c r="B7" s="65" t="s">
        <v>1</v>
      </c>
      <c r="C7" s="65" t="s">
        <v>5</v>
      </c>
      <c r="D7" s="65" t="s">
        <v>66</v>
      </c>
      <c r="E7" s="65" t="s">
        <v>5</v>
      </c>
      <c r="F7" s="65" t="s">
        <v>66</v>
      </c>
      <c r="G7" s="65" t="s">
        <v>87</v>
      </c>
      <c r="H7" s="65" t="s">
        <v>88</v>
      </c>
      <c r="I7" s="65" t="s">
        <v>89</v>
      </c>
      <c r="J7" s="65" t="s">
        <v>5</v>
      </c>
      <c r="K7" s="65" t="s">
        <v>87</v>
      </c>
      <c r="L7" s="65" t="s">
        <v>5</v>
      </c>
      <c r="M7" s="65" t="s">
        <v>66</v>
      </c>
      <c r="N7" s="65" t="s">
        <v>5</v>
      </c>
      <c r="O7" s="65" t="s">
        <v>66</v>
      </c>
      <c r="P7" s="6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95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6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248" t="s">
        <v>102</v>
      </c>
      <c r="S10" s="248"/>
      <c r="T10" s="248"/>
    </row>
    <row r="11" spans="1:20" x14ac:dyDescent="0.2">
      <c r="A11" s="81">
        <v>500</v>
      </c>
      <c r="B11" s="6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6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6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6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6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6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6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6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6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6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6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241" t="s">
        <v>24</v>
      </c>
      <c r="S41" s="241"/>
      <c r="T41" s="241"/>
    </row>
    <row r="42" spans="1:20" x14ac:dyDescent="0.2">
      <c r="A42" s="15" t="s">
        <v>0</v>
      </c>
      <c r="B42" s="31" t="s">
        <v>1</v>
      </c>
      <c r="C42" s="242" t="s">
        <v>2</v>
      </c>
      <c r="D42" s="243"/>
      <c r="E42" s="243"/>
      <c r="F42" s="243"/>
      <c r="G42" s="243"/>
      <c r="H42" s="244"/>
      <c r="I42" s="245" t="s">
        <v>11</v>
      </c>
      <c r="J42" s="243"/>
      <c r="K42" s="243"/>
      <c r="L42" s="243"/>
      <c r="M42" s="244"/>
      <c r="N42" s="38" t="s">
        <v>10</v>
      </c>
      <c r="O42" s="38" t="s">
        <v>2</v>
      </c>
      <c r="P42" s="102" t="s">
        <v>11</v>
      </c>
      <c r="R42" s="241" t="s">
        <v>5</v>
      </c>
      <c r="S42" s="241"/>
      <c r="T42" s="241"/>
    </row>
    <row r="43" spans="1:20" ht="13.5" x14ac:dyDescent="0.25">
      <c r="A43" s="11"/>
      <c r="B43" s="9"/>
      <c r="C43" s="46" t="s">
        <v>103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107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65" t="s">
        <v>36</v>
      </c>
      <c r="S43" s="6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246" t="s">
        <v>17</v>
      </c>
      <c r="K44" s="247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06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65" t="s">
        <v>38</v>
      </c>
      <c r="S45" s="65" t="s">
        <v>22</v>
      </c>
      <c r="T45" s="6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13156</v>
      </c>
      <c r="D47" s="20">
        <v>7716.5</v>
      </c>
      <c r="E47" s="27">
        <f>F47-D47</f>
        <v>74461.5</v>
      </c>
      <c r="F47" s="37">
        <f>F18</f>
        <v>82178</v>
      </c>
      <c r="G47" s="20">
        <v>35000</v>
      </c>
      <c r="H47" s="33">
        <f t="shared" ref="H47:H58" si="4">C47+G47</f>
        <v>48156</v>
      </c>
      <c r="I47" s="19">
        <v>17625.75</v>
      </c>
      <c r="J47" s="37">
        <f>K47-I47</f>
        <v>92374.25</v>
      </c>
      <c r="K47" s="20">
        <v>110000</v>
      </c>
      <c r="L47" s="37">
        <v>46000</v>
      </c>
      <c r="M47" s="33">
        <f>I47+L47</f>
        <v>63625.75</v>
      </c>
      <c r="N47" s="42">
        <f>H47-M47</f>
        <v>-15469.75</v>
      </c>
      <c r="O47" s="49">
        <f>F47-D47</f>
        <v>74461.5</v>
      </c>
      <c r="P47" s="105">
        <f>F47-N47-I47</f>
        <v>80022</v>
      </c>
      <c r="R47" s="100">
        <f>F47</f>
        <v>82178</v>
      </c>
      <c r="S47" s="100">
        <f>P47+I47</f>
        <v>97647.75</v>
      </c>
      <c r="T47" s="50">
        <f>R47-S47</f>
        <v>-15469.75</v>
      </c>
    </row>
    <row r="48" spans="1:20" x14ac:dyDescent="0.2">
      <c r="A48" s="12">
        <v>200</v>
      </c>
      <c r="B48" s="10" t="s">
        <v>42</v>
      </c>
      <c r="C48" s="18">
        <v>607248.47</v>
      </c>
      <c r="D48" s="20">
        <v>603751</v>
      </c>
      <c r="E48" s="27">
        <f t="shared" ref="E48:E55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9">
        <v>746151.72</v>
      </c>
      <c r="J48" s="37">
        <f t="shared" ref="J48:J60" si="6">K48-I48</f>
        <v>-4151.7199999999721</v>
      </c>
      <c r="K48" s="20">
        <v>742000</v>
      </c>
      <c r="L48" s="37">
        <v>0</v>
      </c>
      <c r="M48" s="33">
        <f t="shared" ref="M48:M60" si="7">I48+L48</f>
        <v>746151.72</v>
      </c>
      <c r="N48" s="42">
        <f t="shared" ref="N48:N60" si="8">H48-M48</f>
        <v>-138903.25</v>
      </c>
      <c r="O48" s="49">
        <f t="shared" ref="O48:O60" si="9">F48-D48</f>
        <v>-277</v>
      </c>
      <c r="P48" s="105">
        <f t="shared" ref="P48:P60" si="10">F48-N48-I48</f>
        <v>-3774.4699999999721</v>
      </c>
      <c r="R48" s="100">
        <f t="shared" ref="R48:R60" si="11">F48</f>
        <v>603474</v>
      </c>
      <c r="S48" s="100">
        <f t="shared" ref="S48:S60" si="12">P48+I48</f>
        <v>742377.25</v>
      </c>
      <c r="T48" s="50">
        <f t="shared" ref="T48:T60" si="13">R48-S48</f>
        <v>-138903.25</v>
      </c>
    </row>
    <row r="49" spans="1:21" x14ac:dyDescent="0.2">
      <c r="A49" s="12">
        <v>310</v>
      </c>
      <c r="B49" s="65" t="s">
        <v>69</v>
      </c>
      <c r="C49" s="18">
        <v>32917.25</v>
      </c>
      <c r="D49" s="20">
        <v>19929.75</v>
      </c>
      <c r="E49" s="27">
        <f t="shared" si="5"/>
        <v>300879.25</v>
      </c>
      <c r="F49" s="37">
        <f>F19</f>
        <v>320809</v>
      </c>
      <c r="G49" s="20">
        <v>160000</v>
      </c>
      <c r="H49" s="33">
        <f t="shared" si="4"/>
        <v>192917.25</v>
      </c>
      <c r="I49" s="19">
        <v>40163.75</v>
      </c>
      <c r="J49" s="37">
        <f t="shared" si="6"/>
        <v>359836.25</v>
      </c>
      <c r="K49" s="20">
        <v>400000</v>
      </c>
      <c r="L49" s="37">
        <v>200000</v>
      </c>
      <c r="M49" s="33">
        <f t="shared" si="7"/>
        <v>240163.75</v>
      </c>
      <c r="N49" s="42">
        <f t="shared" si="8"/>
        <v>-47246.5</v>
      </c>
      <c r="O49" s="49">
        <f t="shared" si="9"/>
        <v>300879.25</v>
      </c>
      <c r="P49" s="105">
        <f t="shared" si="10"/>
        <v>327891.75</v>
      </c>
      <c r="R49" s="100">
        <f t="shared" si="11"/>
        <v>320809</v>
      </c>
      <c r="S49" s="100">
        <f t="shared" si="12"/>
        <v>368055.5</v>
      </c>
      <c r="T49" s="50">
        <f t="shared" si="13"/>
        <v>-47246.5</v>
      </c>
    </row>
    <row r="50" spans="1:21" x14ac:dyDescent="0.2">
      <c r="A50" s="12">
        <v>320</v>
      </c>
      <c r="B50" s="65" t="s">
        <v>70</v>
      </c>
      <c r="C50" s="18">
        <v>55462.5</v>
      </c>
      <c r="D50" s="20">
        <v>29248.5</v>
      </c>
      <c r="E50" s="27">
        <f>F50-D50</f>
        <v>213206.5</v>
      </c>
      <c r="F50" s="37">
        <f>F20</f>
        <v>242455</v>
      </c>
      <c r="G50" s="20">
        <v>120000</v>
      </c>
      <c r="H50" s="33">
        <f t="shared" si="4"/>
        <v>175462.5</v>
      </c>
      <c r="I50" s="19">
        <v>67813.5</v>
      </c>
      <c r="J50" s="37">
        <f t="shared" si="6"/>
        <v>232186.5</v>
      </c>
      <c r="K50" s="20">
        <v>300000</v>
      </c>
      <c r="L50" s="37">
        <v>150000</v>
      </c>
      <c r="M50" s="33">
        <f t="shared" si="7"/>
        <v>217813.5</v>
      </c>
      <c r="N50" s="42">
        <f t="shared" si="8"/>
        <v>-42351</v>
      </c>
      <c r="O50" s="49">
        <f>F50-D50</f>
        <v>213206.5</v>
      </c>
      <c r="P50" s="105">
        <f t="shared" si="10"/>
        <v>216992.5</v>
      </c>
      <c r="R50" s="100">
        <f t="shared" si="11"/>
        <v>242455</v>
      </c>
      <c r="S50" s="100">
        <f t="shared" si="12"/>
        <v>284806</v>
      </c>
      <c r="T50" s="50">
        <f t="shared" si="13"/>
        <v>-42351</v>
      </c>
    </row>
    <row r="51" spans="1:21" x14ac:dyDescent="0.2">
      <c r="A51" s="12">
        <v>330</v>
      </c>
      <c r="B51" s="6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1" x14ac:dyDescent="0.2">
      <c r="A52" s="12">
        <v>420</v>
      </c>
      <c r="B52" s="111" t="s">
        <v>74</v>
      </c>
      <c r="C52" s="18">
        <v>8632</v>
      </c>
      <c r="D52" s="20">
        <v>0</v>
      </c>
      <c r="E52" s="27">
        <f>F52-D52</f>
        <v>400000</v>
      </c>
      <c r="F52" s="37">
        <f>M25</f>
        <v>400000</v>
      </c>
      <c r="G52" s="20">
        <v>350000</v>
      </c>
      <c r="H52" s="33">
        <f t="shared" si="4"/>
        <v>358632</v>
      </c>
      <c r="I52" s="19">
        <v>11110</v>
      </c>
      <c r="J52" s="37">
        <f t="shared" ref="J52" si="14">K52-I52</f>
        <v>488890</v>
      </c>
      <c r="K52" s="20">
        <f>1.25*F52</f>
        <v>500000</v>
      </c>
      <c r="L52" s="37">
        <v>445000</v>
      </c>
      <c r="M52" s="33">
        <f t="shared" ref="M52" si="15">I52+L52</f>
        <v>456110</v>
      </c>
      <c r="N52" s="42">
        <f t="shared" ref="N52" si="16">H52-M52</f>
        <v>-97478</v>
      </c>
      <c r="O52" s="49">
        <f>F52-D52</f>
        <v>400000</v>
      </c>
      <c r="P52" s="105">
        <f>F52-N52-I52</f>
        <v>486368</v>
      </c>
      <c r="R52" s="100">
        <f>F52</f>
        <v>400000</v>
      </c>
      <c r="S52" s="100">
        <f>P52+I52</f>
        <v>497478</v>
      </c>
      <c r="T52" s="50">
        <f>R52-S52</f>
        <v>-97478</v>
      </c>
    </row>
    <row r="53" spans="1:21" x14ac:dyDescent="0.2">
      <c r="A53" s="12">
        <v>425</v>
      </c>
      <c r="B53" s="65" t="s">
        <v>72</v>
      </c>
      <c r="C53" s="18"/>
      <c r="D53" s="20">
        <v>0</v>
      </c>
      <c r="E53" s="27"/>
      <c r="F53" s="37"/>
      <c r="G53" s="20"/>
      <c r="H53" s="33">
        <f t="shared" si="4"/>
        <v>0</v>
      </c>
      <c r="I53" s="19"/>
      <c r="J53" s="37"/>
      <c r="K53" s="20"/>
      <c r="L53" s="37"/>
      <c r="M53" s="33">
        <f t="shared" si="7"/>
        <v>0</v>
      </c>
      <c r="N53" s="42">
        <f t="shared" si="8"/>
        <v>0</v>
      </c>
      <c r="O53" s="49">
        <f>F53-D53</f>
        <v>0</v>
      </c>
      <c r="P53" s="105">
        <f>F53-N53-I53</f>
        <v>0</v>
      </c>
      <c r="R53" s="100"/>
      <c r="S53" s="100"/>
      <c r="T53" s="50">
        <f>R53-S53</f>
        <v>0</v>
      </c>
    </row>
    <row r="54" spans="1:21" x14ac:dyDescent="0.2">
      <c r="A54" s="12">
        <v>500</v>
      </c>
      <c r="B54" s="65" t="s">
        <v>81</v>
      </c>
      <c r="C54" s="18">
        <v>178011</v>
      </c>
      <c r="D54" s="20">
        <v>177052.75</v>
      </c>
      <c r="E54" s="27">
        <f t="shared" si="5"/>
        <v>95.25</v>
      </c>
      <c r="F54" s="37">
        <f>D11</f>
        <v>177148</v>
      </c>
      <c r="G54" s="20">
        <v>0</v>
      </c>
      <c r="H54" s="33">
        <f t="shared" si="4"/>
        <v>178011</v>
      </c>
      <c r="I54" s="19">
        <v>223094.75</v>
      </c>
      <c r="J54" s="37">
        <f t="shared" si="6"/>
        <v>0.25</v>
      </c>
      <c r="K54" s="20">
        <v>223095</v>
      </c>
      <c r="L54" s="37">
        <v>0</v>
      </c>
      <c r="M54" s="33">
        <f t="shared" si="7"/>
        <v>223094.75</v>
      </c>
      <c r="N54" s="42">
        <f t="shared" si="8"/>
        <v>-45083.75</v>
      </c>
      <c r="O54" s="49">
        <f t="shared" si="9"/>
        <v>95.25</v>
      </c>
      <c r="P54" s="105">
        <f t="shared" si="10"/>
        <v>-863</v>
      </c>
      <c r="R54" s="100">
        <f t="shared" si="11"/>
        <v>177148</v>
      </c>
      <c r="S54" s="100">
        <f t="shared" si="12"/>
        <v>222231.75</v>
      </c>
      <c r="T54" s="50">
        <f t="shared" si="13"/>
        <v>-45083.75</v>
      </c>
    </row>
    <row r="55" spans="1:21" x14ac:dyDescent="0.2">
      <c r="A55" s="12">
        <v>500</v>
      </c>
      <c r="B55" s="10" t="s">
        <v>100</v>
      </c>
      <c r="C55" s="18">
        <v>30116</v>
      </c>
      <c r="D55" s="20">
        <v>30115.599999999999</v>
      </c>
      <c r="E55" s="27">
        <f t="shared" si="5"/>
        <v>0</v>
      </c>
      <c r="F55" s="37">
        <f>'Ausgangslage - Triage'!B16+'Ausgangslage - Triage'!B24</f>
        <v>30115.599999999999</v>
      </c>
      <c r="G55" s="20">
        <v>0</v>
      </c>
      <c r="H55" s="33">
        <f t="shared" si="4"/>
        <v>30116</v>
      </c>
      <c r="I55" s="19">
        <v>379.9</v>
      </c>
      <c r="J55" s="37">
        <f t="shared" si="6"/>
        <v>173098.1</v>
      </c>
      <c r="K55" s="20">
        <v>173478</v>
      </c>
      <c r="L55" s="20">
        <v>0</v>
      </c>
      <c r="M55" s="33">
        <f t="shared" si="7"/>
        <v>379.9</v>
      </c>
      <c r="N55" s="42">
        <f t="shared" si="8"/>
        <v>29736.1</v>
      </c>
      <c r="O55" s="49">
        <f t="shared" si="9"/>
        <v>0</v>
      </c>
      <c r="P55" s="105">
        <f t="shared" si="10"/>
        <v>-0.39999999999997726</v>
      </c>
      <c r="R55" s="100">
        <f t="shared" si="11"/>
        <v>30115.599999999999</v>
      </c>
      <c r="S55" s="100">
        <f t="shared" si="12"/>
        <v>379.5</v>
      </c>
      <c r="T55" s="50">
        <f t="shared" si="13"/>
        <v>29736.1</v>
      </c>
    </row>
    <row r="56" spans="1:21" x14ac:dyDescent="0.2">
      <c r="A56" s="12">
        <v>910</v>
      </c>
      <c r="B56" s="10" t="s">
        <v>75</v>
      </c>
      <c r="C56" s="18">
        <v>3958</v>
      </c>
      <c r="D56" s="20">
        <v>3482.4</v>
      </c>
      <c r="E56" s="27">
        <f>F56-D56</f>
        <v>16280.1</v>
      </c>
      <c r="F56" s="37">
        <f>0.5*'Ausgangslage - Triage'!I11</f>
        <v>19762.5</v>
      </c>
      <c r="G56" s="20">
        <v>3000</v>
      </c>
      <c r="H56" s="33">
        <f t="shared" si="4"/>
        <v>6958</v>
      </c>
      <c r="I56" s="19">
        <v>6700</v>
      </c>
      <c r="J56" s="37">
        <f t="shared" si="6"/>
        <v>0</v>
      </c>
      <c r="K56" s="20">
        <v>6700</v>
      </c>
      <c r="L56" s="20">
        <v>3000</v>
      </c>
      <c r="M56" s="33">
        <f t="shared" si="7"/>
        <v>9700</v>
      </c>
      <c r="N56" s="42">
        <f t="shared" si="8"/>
        <v>-2742</v>
      </c>
      <c r="O56" s="49">
        <f t="shared" si="9"/>
        <v>16280.1</v>
      </c>
      <c r="P56" s="105">
        <f t="shared" si="10"/>
        <v>15804.5</v>
      </c>
      <c r="R56" s="100">
        <f t="shared" si="11"/>
        <v>19762.5</v>
      </c>
      <c r="S56" s="100">
        <f t="shared" si="12"/>
        <v>22504.5</v>
      </c>
      <c r="T56" s="50">
        <f t="shared" si="13"/>
        <v>-2742</v>
      </c>
    </row>
    <row r="57" spans="1:21" x14ac:dyDescent="0.2">
      <c r="A57" s="12"/>
      <c r="B57" s="14" t="s">
        <v>12</v>
      </c>
      <c r="C57" s="43">
        <f t="shared" ref="C57:L57" si="17">SUM(C47:C56)</f>
        <v>929501.22</v>
      </c>
      <c r="D57" s="43">
        <f t="shared" si="17"/>
        <v>871296.5</v>
      </c>
      <c r="E57" s="43">
        <f t="shared" si="17"/>
        <v>1004645.6</v>
      </c>
      <c r="F57" s="43">
        <f t="shared" si="17"/>
        <v>1875942.1</v>
      </c>
      <c r="G57" s="43">
        <f t="shared" si="17"/>
        <v>668000</v>
      </c>
      <c r="H57" s="43">
        <f t="shared" si="17"/>
        <v>1597501.22</v>
      </c>
      <c r="I57" s="43">
        <f t="shared" si="17"/>
        <v>1113039.3699999999</v>
      </c>
      <c r="J57" s="43">
        <f t="shared" si="17"/>
        <v>1342233.6300000001</v>
      </c>
      <c r="K57" s="43">
        <f t="shared" si="17"/>
        <v>2455273</v>
      </c>
      <c r="L57" s="43">
        <f t="shared" si="17"/>
        <v>844000</v>
      </c>
      <c r="M57" s="107">
        <f t="shared" si="7"/>
        <v>1957039.3699999999</v>
      </c>
      <c r="N57" s="42">
        <f t="shared" si="8"/>
        <v>-359538.14999999991</v>
      </c>
      <c r="O57" s="108">
        <f t="shared" si="9"/>
        <v>1004645.6000000001</v>
      </c>
      <c r="P57" s="109">
        <f t="shared" si="10"/>
        <v>1122440.8800000001</v>
      </c>
      <c r="Q57" s="43"/>
      <c r="R57" s="110">
        <f t="shared" si="11"/>
        <v>1875942.1</v>
      </c>
      <c r="S57" s="110">
        <f t="shared" si="12"/>
        <v>2235480.25</v>
      </c>
      <c r="T57" s="58">
        <f t="shared" si="13"/>
        <v>-359538.14999999991</v>
      </c>
    </row>
    <row r="58" spans="1:21" x14ac:dyDescent="0.2">
      <c r="A58" s="12">
        <v>777</v>
      </c>
      <c r="B58" s="10" t="s">
        <v>78</v>
      </c>
      <c r="C58" s="47">
        <v>1756</v>
      </c>
      <c r="D58" s="20">
        <v>1756</v>
      </c>
      <c r="E58" s="27">
        <f>F58-D58</f>
        <v>8244</v>
      </c>
      <c r="F58" s="20">
        <v>10000</v>
      </c>
      <c r="G58" s="20">
        <v>0</v>
      </c>
      <c r="H58" s="33">
        <f t="shared" si="4"/>
        <v>1756</v>
      </c>
      <c r="I58" s="19">
        <v>0</v>
      </c>
      <c r="J58" s="37">
        <f t="shared" si="6"/>
        <v>0</v>
      </c>
      <c r="K58" s="20">
        <v>0</v>
      </c>
      <c r="L58" s="20">
        <v>0</v>
      </c>
      <c r="M58" s="33">
        <f t="shared" si="7"/>
        <v>0</v>
      </c>
      <c r="N58" s="42">
        <f t="shared" si="8"/>
        <v>1756</v>
      </c>
      <c r="O58" s="49">
        <f t="shared" si="9"/>
        <v>8244</v>
      </c>
      <c r="P58" s="105">
        <f t="shared" si="10"/>
        <v>8244</v>
      </c>
      <c r="R58" s="100">
        <f t="shared" si="11"/>
        <v>10000</v>
      </c>
      <c r="S58" s="100">
        <f t="shared" si="12"/>
        <v>8244</v>
      </c>
      <c r="T58" s="50">
        <f t="shared" si="13"/>
        <v>1756</v>
      </c>
    </row>
    <row r="59" spans="1:21" x14ac:dyDescent="0.2">
      <c r="A59" s="12">
        <v>900</v>
      </c>
      <c r="B59" s="10" t="s">
        <v>77</v>
      </c>
      <c r="C59" s="47">
        <v>0</v>
      </c>
      <c r="D59" s="20">
        <v>0</v>
      </c>
      <c r="E59" s="20"/>
      <c r="F59" s="20"/>
      <c r="G59" s="20"/>
      <c r="H59" s="99"/>
      <c r="I59" s="19">
        <v>13538.39</v>
      </c>
      <c r="J59" s="20">
        <f t="shared" si="6"/>
        <v>11461.61</v>
      </c>
      <c r="K59" s="20">
        <v>25000</v>
      </c>
      <c r="L59" s="20">
        <v>5000</v>
      </c>
      <c r="M59" s="33">
        <f t="shared" si="7"/>
        <v>18538.39</v>
      </c>
      <c r="N59" s="42">
        <f t="shared" si="8"/>
        <v>-18538.39</v>
      </c>
      <c r="O59" s="49">
        <f t="shared" si="9"/>
        <v>0</v>
      </c>
      <c r="P59" s="105">
        <f t="shared" si="10"/>
        <v>5000</v>
      </c>
      <c r="R59" s="100">
        <f t="shared" si="11"/>
        <v>0</v>
      </c>
      <c r="S59" s="100">
        <f t="shared" si="12"/>
        <v>18538.39</v>
      </c>
      <c r="T59" s="50">
        <f t="shared" si="13"/>
        <v>-18538.39</v>
      </c>
    </row>
    <row r="60" spans="1:21" x14ac:dyDescent="0.2">
      <c r="A60" s="12">
        <v>990</v>
      </c>
      <c r="B60" s="45" t="s">
        <v>76</v>
      </c>
      <c r="C60" s="18">
        <v>13416</v>
      </c>
      <c r="D60" s="20">
        <v>4837.5</v>
      </c>
      <c r="E60" s="20">
        <f t="shared" ref="E60" si="18">F60-D60</f>
        <v>15287.5</v>
      </c>
      <c r="F60" s="20">
        <v>20125</v>
      </c>
      <c r="G60" s="20">
        <v>10000</v>
      </c>
      <c r="H60" s="21">
        <f>C60+G60</f>
        <v>23416</v>
      </c>
      <c r="I60" s="19">
        <v>18088.25</v>
      </c>
      <c r="J60" s="20">
        <f t="shared" si="6"/>
        <v>11911.75</v>
      </c>
      <c r="K60" s="20">
        <v>30000</v>
      </c>
      <c r="L60" s="37">
        <v>15000</v>
      </c>
      <c r="M60" s="33">
        <f t="shared" si="7"/>
        <v>33088.25</v>
      </c>
      <c r="N60" s="42">
        <f t="shared" si="8"/>
        <v>-9672.25</v>
      </c>
      <c r="O60" s="49">
        <f t="shared" si="9"/>
        <v>15287.5</v>
      </c>
      <c r="P60" s="105">
        <f t="shared" si="10"/>
        <v>11709</v>
      </c>
      <c r="R60" s="100">
        <f t="shared" si="11"/>
        <v>20125</v>
      </c>
      <c r="S60" s="100">
        <f t="shared" si="12"/>
        <v>29797.25</v>
      </c>
      <c r="T60" s="50">
        <f t="shared" si="13"/>
        <v>-9672.25</v>
      </c>
    </row>
    <row r="61" spans="1:21" ht="15.75" thickBot="1" x14ac:dyDescent="0.3">
      <c r="A61" s="16"/>
      <c r="B61" s="32" t="s">
        <v>5</v>
      </c>
      <c r="C61" s="34">
        <f>SUM(C57:C60)</f>
        <v>944673.22</v>
      </c>
      <c r="D61" s="34">
        <f t="shared" ref="D61:T61" si="19">SUM(D57:D60)</f>
        <v>877890</v>
      </c>
      <c r="E61" s="34">
        <f t="shared" si="19"/>
        <v>1028177.1</v>
      </c>
      <c r="F61" s="34">
        <f t="shared" si="19"/>
        <v>1906067.1</v>
      </c>
      <c r="G61" s="34">
        <f t="shared" si="19"/>
        <v>678000</v>
      </c>
      <c r="H61" s="34">
        <f t="shared" si="19"/>
        <v>1622673.22</v>
      </c>
      <c r="I61" s="34">
        <f t="shared" si="19"/>
        <v>1144666.0099999998</v>
      </c>
      <c r="J61" s="34">
        <f t="shared" si="19"/>
        <v>1365606.9900000002</v>
      </c>
      <c r="K61" s="34">
        <f t="shared" si="19"/>
        <v>2510273</v>
      </c>
      <c r="L61" s="34">
        <f t="shared" si="19"/>
        <v>864000</v>
      </c>
      <c r="M61" s="34">
        <f t="shared" si="19"/>
        <v>2008666.0099999998</v>
      </c>
      <c r="N61" s="34">
        <f t="shared" si="19"/>
        <v>-385992.78999999992</v>
      </c>
      <c r="O61" s="34">
        <f t="shared" si="19"/>
        <v>1028177.1000000001</v>
      </c>
      <c r="P61" s="34">
        <f t="shared" si="19"/>
        <v>1147393.8800000001</v>
      </c>
      <c r="R61" s="34">
        <f t="shared" si="19"/>
        <v>1906067.1</v>
      </c>
      <c r="S61" s="34">
        <f t="shared" si="19"/>
        <v>2292059.89</v>
      </c>
      <c r="T61" s="34">
        <f t="shared" si="19"/>
        <v>-385992.78999999992</v>
      </c>
    </row>
    <row r="62" spans="1:21" x14ac:dyDescent="0.2">
      <c r="C62" s="3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S62" s="149">
        <f>S61/R61</f>
        <v>1.2025074510755682</v>
      </c>
      <c r="T62" s="5"/>
      <c r="U62" s="5"/>
    </row>
    <row r="63" spans="1:21" x14ac:dyDescent="0.2">
      <c r="B63" s="28" t="s">
        <v>34</v>
      </c>
      <c r="C63" s="2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54" t="s">
        <v>40</v>
      </c>
      <c r="S63" s="51"/>
      <c r="T63" s="52">
        <v>-386000</v>
      </c>
      <c r="U63" s="53" t="s">
        <v>25</v>
      </c>
    </row>
    <row r="64" spans="1:21" x14ac:dyDescent="0.2">
      <c r="B64" s="35" t="s">
        <v>16</v>
      </c>
      <c r="C64" s="36"/>
      <c r="D64" s="36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2">
      <c r="B65" t="s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7" spans="2:14" x14ac:dyDescent="0.2">
      <c r="G67" s="114">
        <f>G47/C47</f>
        <v>2.6603830951657037</v>
      </c>
      <c r="K67">
        <f t="shared" ref="K67:K72" si="20">K47/F47</f>
        <v>1.3385577648519069</v>
      </c>
    </row>
    <row r="68" spans="2:14" x14ac:dyDescent="0.2">
      <c r="G68" s="114"/>
      <c r="K68">
        <f t="shared" si="20"/>
        <v>1.2295475861428993</v>
      </c>
    </row>
    <row r="69" spans="2:14" x14ac:dyDescent="0.2">
      <c r="G69" s="114">
        <f>G49/C49</f>
        <v>4.8606733551557317</v>
      </c>
      <c r="K69">
        <f t="shared" si="20"/>
        <v>1.2468478128730802</v>
      </c>
    </row>
    <row r="70" spans="2:14" x14ac:dyDescent="0.2">
      <c r="G70" s="114">
        <f>G50/C50</f>
        <v>2.1636240703177823</v>
      </c>
      <c r="K70">
        <f t="shared" si="20"/>
        <v>1.237343012105339</v>
      </c>
    </row>
    <row r="71" spans="2:14" x14ac:dyDescent="0.2">
      <c r="G71" s="114"/>
      <c r="K71" t="e">
        <f t="shared" si="20"/>
        <v>#DIV/0!</v>
      </c>
    </row>
    <row r="72" spans="2:14" x14ac:dyDescent="0.2">
      <c r="G72" s="114"/>
      <c r="K72">
        <f t="shared" si="20"/>
        <v>1.25</v>
      </c>
    </row>
    <row r="73" spans="2:14" x14ac:dyDescent="0.2">
      <c r="G73" s="114"/>
      <c r="K73" t="e">
        <f t="shared" ref="K73:K77" si="21">K53/F53</f>
        <v>#DIV/0!</v>
      </c>
    </row>
    <row r="74" spans="2:14" x14ac:dyDescent="0.2">
      <c r="G74" s="114"/>
      <c r="K74">
        <f t="shared" si="21"/>
        <v>1.2593706956894799</v>
      </c>
    </row>
    <row r="75" spans="2:14" x14ac:dyDescent="0.2">
      <c r="G75" s="114">
        <f t="shared" ref="G75:G77" si="22">G56/C56</f>
        <v>0.75795856493178371</v>
      </c>
      <c r="K75">
        <f t="shared" si="21"/>
        <v>5.7604032461581376</v>
      </c>
    </row>
    <row r="76" spans="2:14" x14ac:dyDescent="0.2">
      <c r="G76" s="114">
        <f t="shared" si="22"/>
        <v>0.71866500616319795</v>
      </c>
      <c r="K76">
        <f t="shared" si="21"/>
        <v>0.33902593295382671</v>
      </c>
    </row>
    <row r="77" spans="2:14" x14ac:dyDescent="0.2">
      <c r="G77" s="114">
        <f t="shared" si="22"/>
        <v>0</v>
      </c>
      <c r="K77">
        <f t="shared" si="21"/>
        <v>1.3088213117025307</v>
      </c>
    </row>
  </sheetData>
  <mergeCells count="11">
    <mergeCell ref="R41:T41"/>
    <mergeCell ref="C42:H42"/>
    <mergeCell ref="I42:M42"/>
    <mergeCell ref="R42:T42"/>
    <mergeCell ref="J44:K44"/>
    <mergeCell ref="R10:T10"/>
    <mergeCell ref="C6:D6"/>
    <mergeCell ref="E6:I6"/>
    <mergeCell ref="J6:K6"/>
    <mergeCell ref="L6:M6"/>
    <mergeCell ref="N6:P6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"/>
  <sheetViews>
    <sheetView topLeftCell="A36" zoomScale="110" zoomScaleNormal="110" workbookViewId="0">
      <selection activeCell="L47" sqref="L47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85546875" customWidth="1"/>
    <col min="9" max="10" width="8.7109375" customWidth="1"/>
    <col min="11" max="11" width="9.140625" customWidth="1"/>
    <col min="12" max="12" width="9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109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249" t="s">
        <v>42</v>
      </c>
      <c r="D6" s="249"/>
      <c r="E6" s="249" t="s">
        <v>43</v>
      </c>
      <c r="F6" s="249"/>
      <c r="G6" s="249"/>
      <c r="H6" s="249"/>
      <c r="I6" s="249"/>
      <c r="J6" s="250" t="s">
        <v>73</v>
      </c>
      <c r="K6" s="251"/>
      <c r="L6" s="250" t="s">
        <v>74</v>
      </c>
      <c r="M6" s="251"/>
      <c r="N6" s="249" t="s">
        <v>97</v>
      </c>
      <c r="O6" s="249"/>
      <c r="P6" s="249"/>
      <c r="Q6" s="76"/>
      <c r="R6" s="76"/>
    </row>
    <row r="7" spans="1:20" x14ac:dyDescent="0.2">
      <c r="A7" s="115" t="s">
        <v>0</v>
      </c>
      <c r="B7" s="115" t="s">
        <v>1</v>
      </c>
      <c r="C7" s="115" t="s">
        <v>5</v>
      </c>
      <c r="D7" s="115" t="s">
        <v>66</v>
      </c>
      <c r="E7" s="115" t="s">
        <v>5</v>
      </c>
      <c r="F7" s="115" t="s">
        <v>66</v>
      </c>
      <c r="G7" s="115" t="s">
        <v>87</v>
      </c>
      <c r="H7" s="115" t="s">
        <v>88</v>
      </c>
      <c r="I7" s="115" t="s">
        <v>89</v>
      </c>
      <c r="J7" s="115" t="s">
        <v>5</v>
      </c>
      <c r="K7" s="115" t="s">
        <v>87</v>
      </c>
      <c r="L7" s="115" t="s">
        <v>5</v>
      </c>
      <c r="M7" s="115" t="s">
        <v>66</v>
      </c>
      <c r="N7" s="115" t="s">
        <v>5</v>
      </c>
      <c r="O7" s="115" t="s">
        <v>66</v>
      </c>
      <c r="P7" s="11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117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11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248" t="s">
        <v>102</v>
      </c>
      <c r="S10" s="248"/>
      <c r="T10" s="248"/>
    </row>
    <row r="11" spans="1:20" x14ac:dyDescent="0.2">
      <c r="A11" s="81">
        <v>500</v>
      </c>
      <c r="B11" s="11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11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11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11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11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11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11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11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11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11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11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241" t="s">
        <v>24</v>
      </c>
      <c r="S41" s="241"/>
      <c r="T41" s="241"/>
    </row>
    <row r="42" spans="1:20" x14ac:dyDescent="0.2">
      <c r="A42" s="15" t="s">
        <v>0</v>
      </c>
      <c r="B42" s="31" t="s">
        <v>1</v>
      </c>
      <c r="C42" s="242" t="s">
        <v>2</v>
      </c>
      <c r="D42" s="243"/>
      <c r="E42" s="243"/>
      <c r="F42" s="243"/>
      <c r="G42" s="243"/>
      <c r="H42" s="244"/>
      <c r="I42" s="245" t="s">
        <v>11</v>
      </c>
      <c r="J42" s="243"/>
      <c r="K42" s="243"/>
      <c r="L42" s="243"/>
      <c r="M42" s="244"/>
      <c r="N42" s="38" t="s">
        <v>10</v>
      </c>
      <c r="O42" s="38" t="s">
        <v>2</v>
      </c>
      <c r="P42" s="102" t="s">
        <v>11</v>
      </c>
      <c r="R42" s="241" t="s">
        <v>5</v>
      </c>
      <c r="S42" s="241"/>
      <c r="T42" s="241"/>
    </row>
    <row r="43" spans="1:20" ht="13.5" x14ac:dyDescent="0.25">
      <c r="A43" s="11"/>
      <c r="B43" s="9"/>
      <c r="C43" s="46" t="s">
        <v>110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111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115" t="s">
        <v>36</v>
      </c>
      <c r="S43" s="115" t="s">
        <v>37</v>
      </c>
      <c r="T43" s="5"/>
    </row>
    <row r="44" spans="1:20" ht="13.5" x14ac:dyDescent="0.25">
      <c r="A44" s="11"/>
      <c r="B44" s="9"/>
      <c r="C44" s="22" t="s">
        <v>112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246" t="s">
        <v>17</v>
      </c>
      <c r="K44" s="247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16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115" t="s">
        <v>38</v>
      </c>
      <c r="S45" s="115" t="s">
        <v>22</v>
      </c>
      <c r="T45" s="11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24593</v>
      </c>
      <c r="D47" s="20">
        <v>12942</v>
      </c>
      <c r="E47" s="27">
        <f>F47-D47</f>
        <v>69236</v>
      </c>
      <c r="F47" s="37">
        <f>F18</f>
        <v>82178</v>
      </c>
      <c r="G47" s="20">
        <v>25000</v>
      </c>
      <c r="H47" s="33">
        <f t="shared" ref="H47:H59" si="4">C47+G47</f>
        <v>49593</v>
      </c>
      <c r="I47" s="19">
        <v>32329</v>
      </c>
      <c r="J47" s="37">
        <f>K47-I47</f>
        <v>77671</v>
      </c>
      <c r="K47" s="20">
        <v>110000</v>
      </c>
      <c r="L47" s="37">
        <v>36000</v>
      </c>
      <c r="M47" s="33">
        <f>I47+L47</f>
        <v>68329</v>
      </c>
      <c r="N47" s="42">
        <f>H47-M47</f>
        <v>-18736</v>
      </c>
      <c r="O47" s="49">
        <f>F47-D47</f>
        <v>69236</v>
      </c>
      <c r="P47" s="105">
        <f>F47-N47-I47</f>
        <v>68585</v>
      </c>
      <c r="R47" s="100">
        <f>F47</f>
        <v>82178</v>
      </c>
      <c r="S47" s="100">
        <f>P47+I47</f>
        <v>100914</v>
      </c>
      <c r="T47" s="50">
        <f>R47-S47</f>
        <v>-18736</v>
      </c>
    </row>
    <row r="48" spans="1:20" x14ac:dyDescent="0.2">
      <c r="A48" s="12">
        <v>200</v>
      </c>
      <c r="B48" s="10" t="s">
        <v>42</v>
      </c>
      <c r="C48" s="18">
        <v>607248.47</v>
      </c>
      <c r="D48" s="20">
        <v>603751</v>
      </c>
      <c r="E48" s="27">
        <f t="shared" ref="E48:E56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9">
        <v>746151.72</v>
      </c>
      <c r="J48" s="37">
        <f t="shared" ref="J48:J61" si="6">K48-I48</f>
        <v>-4151.7199999999721</v>
      </c>
      <c r="K48" s="20">
        <v>742000</v>
      </c>
      <c r="L48" s="37">
        <v>0</v>
      </c>
      <c r="M48" s="33">
        <f t="shared" ref="M48:M61" si="7">I48+L48</f>
        <v>746151.72</v>
      </c>
      <c r="N48" s="42">
        <f t="shared" ref="N48:N61" si="8">H48-M48</f>
        <v>-138903.25</v>
      </c>
      <c r="O48" s="49">
        <f t="shared" ref="O48:O61" si="9">F48-D48</f>
        <v>-277</v>
      </c>
      <c r="P48" s="105">
        <f t="shared" ref="P48:P61" si="10">F48-N48-I48</f>
        <v>-3774.4699999999721</v>
      </c>
      <c r="R48" s="100">
        <f t="shared" ref="R48:R61" si="11">F48</f>
        <v>603474</v>
      </c>
      <c r="S48" s="100">
        <f t="shared" ref="S48:S61" si="12">P48+I48</f>
        <v>742377.25</v>
      </c>
      <c r="T48" s="50">
        <f t="shared" ref="T48:T61" si="13">R48-S48</f>
        <v>-138903.25</v>
      </c>
    </row>
    <row r="49" spans="1:22" x14ac:dyDescent="0.2">
      <c r="A49" s="12">
        <v>310</v>
      </c>
      <c r="B49" s="115" t="s">
        <v>69</v>
      </c>
      <c r="C49" s="18">
        <v>94892</v>
      </c>
      <c r="D49" s="20">
        <v>32917</v>
      </c>
      <c r="E49" s="27">
        <f t="shared" si="5"/>
        <v>287892</v>
      </c>
      <c r="F49" s="37">
        <f>F19</f>
        <v>320809</v>
      </c>
      <c r="G49" s="20">
        <v>160000</v>
      </c>
      <c r="H49" s="33">
        <f t="shared" si="4"/>
        <v>254892</v>
      </c>
      <c r="I49" s="19">
        <v>113538</v>
      </c>
      <c r="J49" s="37">
        <f t="shared" si="6"/>
        <v>286462</v>
      </c>
      <c r="K49" s="20">
        <v>400000</v>
      </c>
      <c r="L49" s="37">
        <v>102600</v>
      </c>
      <c r="M49" s="33">
        <f>I49+L49</f>
        <v>216138</v>
      </c>
      <c r="N49" s="42">
        <f t="shared" si="8"/>
        <v>38754</v>
      </c>
      <c r="O49" s="49">
        <f t="shared" si="9"/>
        <v>287892</v>
      </c>
      <c r="P49" s="105">
        <f t="shared" si="10"/>
        <v>168517</v>
      </c>
      <c r="R49" s="100">
        <f t="shared" si="11"/>
        <v>320809</v>
      </c>
      <c r="S49" s="100">
        <f t="shared" si="12"/>
        <v>282055</v>
      </c>
      <c r="T49" s="50">
        <f t="shared" si="13"/>
        <v>38754</v>
      </c>
    </row>
    <row r="50" spans="1:22" x14ac:dyDescent="0.2">
      <c r="A50" s="12">
        <v>320</v>
      </c>
      <c r="B50" s="115" t="s">
        <v>70</v>
      </c>
      <c r="C50" s="18">
        <v>125015</v>
      </c>
      <c r="D50" s="20">
        <v>55462</v>
      </c>
      <c r="E50" s="27">
        <f>F50-D50</f>
        <v>186993</v>
      </c>
      <c r="F50" s="37">
        <f>F20</f>
        <v>242455</v>
      </c>
      <c r="G50" s="20">
        <v>120000</v>
      </c>
      <c r="H50" s="33">
        <f t="shared" si="4"/>
        <v>245015</v>
      </c>
      <c r="I50" s="19">
        <v>164197</v>
      </c>
      <c r="J50" s="37">
        <f t="shared" si="6"/>
        <v>135803</v>
      </c>
      <c r="K50" s="20">
        <v>300000</v>
      </c>
      <c r="L50" s="37">
        <v>150000</v>
      </c>
      <c r="M50" s="33">
        <f t="shared" si="7"/>
        <v>314197</v>
      </c>
      <c r="N50" s="42">
        <f t="shared" si="8"/>
        <v>-69182</v>
      </c>
      <c r="O50" s="49">
        <f>F50-D50</f>
        <v>186993</v>
      </c>
      <c r="P50" s="105">
        <f t="shared" si="10"/>
        <v>147440</v>
      </c>
      <c r="R50" s="100">
        <f t="shared" si="11"/>
        <v>242455</v>
      </c>
      <c r="S50" s="100">
        <f t="shared" si="12"/>
        <v>311637</v>
      </c>
      <c r="T50" s="50">
        <f t="shared" si="13"/>
        <v>-69182</v>
      </c>
      <c r="U50">
        <v>284806</v>
      </c>
      <c r="V50" s="56">
        <f>S50-U50</f>
        <v>26831</v>
      </c>
    </row>
    <row r="51" spans="1:22" x14ac:dyDescent="0.2">
      <c r="A51" s="12">
        <v>330</v>
      </c>
      <c r="B51" s="11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2" x14ac:dyDescent="0.2">
      <c r="A52" s="12">
        <v>420</v>
      </c>
      <c r="B52" s="130" t="s">
        <v>74</v>
      </c>
      <c r="C52" s="131">
        <v>57217</v>
      </c>
      <c r="D52" s="132">
        <v>8632</v>
      </c>
      <c r="E52" s="133">
        <f>F52-D52</f>
        <v>391368</v>
      </c>
      <c r="F52" s="134">
        <f>M25</f>
        <v>400000</v>
      </c>
      <c r="G52" s="132">
        <v>350000</v>
      </c>
      <c r="H52" s="135">
        <f t="shared" si="4"/>
        <v>407217</v>
      </c>
      <c r="I52" s="136">
        <v>72087</v>
      </c>
      <c r="J52" s="134">
        <f t="shared" si="6"/>
        <v>427913</v>
      </c>
      <c r="K52" s="132">
        <f>1.25*F52</f>
        <v>500000</v>
      </c>
      <c r="L52" s="134">
        <v>435000</v>
      </c>
      <c r="M52" s="135">
        <f t="shared" si="7"/>
        <v>507087</v>
      </c>
      <c r="N52" s="137">
        <f t="shared" si="8"/>
        <v>-99870</v>
      </c>
      <c r="O52" s="138">
        <f>F52-D52</f>
        <v>391368</v>
      </c>
      <c r="P52" s="139">
        <f>F52-N52-I52</f>
        <v>427783</v>
      </c>
      <c r="Q52" s="140"/>
      <c r="R52" s="141">
        <f>F52</f>
        <v>400000</v>
      </c>
      <c r="S52" s="141">
        <f>P52+I52</f>
        <v>499870</v>
      </c>
      <c r="T52" s="142">
        <f>R52-S52</f>
        <v>-99870</v>
      </c>
    </row>
    <row r="53" spans="1:22" x14ac:dyDescent="0.2">
      <c r="A53" s="12"/>
      <c r="B53" s="118" t="s">
        <v>74</v>
      </c>
      <c r="C53" s="18">
        <f>C52</f>
        <v>57217</v>
      </c>
      <c r="D53" s="20">
        <f>D52/2</f>
        <v>4316</v>
      </c>
      <c r="E53" s="27">
        <f t="shared" ref="E53:G53" si="14">E52/2</f>
        <v>195684</v>
      </c>
      <c r="F53" s="37">
        <f t="shared" si="14"/>
        <v>200000</v>
      </c>
      <c r="G53" s="20">
        <f t="shared" si="14"/>
        <v>175000</v>
      </c>
      <c r="H53" s="123">
        <f t="shared" si="4"/>
        <v>232217</v>
      </c>
      <c r="I53" s="124">
        <v>72087</v>
      </c>
      <c r="J53" s="37">
        <f t="shared" ref="J53:K53" si="15">J52/2</f>
        <v>213956.5</v>
      </c>
      <c r="K53" s="20">
        <f t="shared" si="15"/>
        <v>250000</v>
      </c>
      <c r="L53" s="37">
        <v>203350</v>
      </c>
      <c r="M53" s="123">
        <f t="shared" si="7"/>
        <v>275437</v>
      </c>
      <c r="N53" s="125">
        <f t="shared" si="8"/>
        <v>-43220</v>
      </c>
      <c r="O53" s="126">
        <f>F53-D53</f>
        <v>195684</v>
      </c>
      <c r="P53" s="127">
        <f>F53-N53-I53</f>
        <v>171133</v>
      </c>
      <c r="R53" s="128">
        <f>F53</f>
        <v>200000</v>
      </c>
      <c r="S53" s="128">
        <f>P53+I53</f>
        <v>243220</v>
      </c>
      <c r="T53" s="129">
        <f>R53-S53</f>
        <v>-43220</v>
      </c>
    </row>
    <row r="54" spans="1:22" x14ac:dyDescent="0.2">
      <c r="A54" s="12">
        <v>425</v>
      </c>
      <c r="B54" s="115" t="s">
        <v>72</v>
      </c>
      <c r="C54" s="18"/>
      <c r="D54" s="20">
        <v>0</v>
      </c>
      <c r="E54" s="27"/>
      <c r="F54" s="37"/>
      <c r="G54" s="20"/>
      <c r="H54" s="33">
        <f t="shared" si="4"/>
        <v>0</v>
      </c>
      <c r="I54" s="19"/>
      <c r="J54" s="37"/>
      <c r="K54" s="20"/>
      <c r="L54" s="37"/>
      <c r="M54" s="33">
        <f t="shared" si="7"/>
        <v>0</v>
      </c>
      <c r="N54" s="42">
        <f t="shared" si="8"/>
        <v>0</v>
      </c>
      <c r="O54" s="49">
        <f>F54-D54</f>
        <v>0</v>
      </c>
      <c r="P54" s="105">
        <f>F54-N54-I54</f>
        <v>0</v>
      </c>
      <c r="R54" s="100"/>
      <c r="S54" s="100"/>
      <c r="T54" s="50">
        <f>R54-S54</f>
        <v>0</v>
      </c>
    </row>
    <row r="55" spans="1:22" x14ac:dyDescent="0.2">
      <c r="A55" s="12">
        <v>500</v>
      </c>
      <c r="B55" s="115" t="s">
        <v>81</v>
      </c>
      <c r="C55" s="18">
        <v>178299</v>
      </c>
      <c r="D55" s="20">
        <v>177052.75</v>
      </c>
      <c r="E55" s="27">
        <f t="shared" si="5"/>
        <v>95.25</v>
      </c>
      <c r="F55" s="37">
        <f>D11</f>
        <v>177148</v>
      </c>
      <c r="G55" s="20">
        <v>0</v>
      </c>
      <c r="H55" s="33">
        <f t="shared" si="4"/>
        <v>178299</v>
      </c>
      <c r="I55" s="19">
        <v>223094.75</v>
      </c>
      <c r="J55" s="37">
        <f t="shared" si="6"/>
        <v>0.25</v>
      </c>
      <c r="K55" s="20">
        <v>223095</v>
      </c>
      <c r="L55" s="37">
        <v>0</v>
      </c>
      <c r="M55" s="33">
        <f t="shared" si="7"/>
        <v>223094.75</v>
      </c>
      <c r="N55" s="42">
        <f t="shared" si="8"/>
        <v>-44795.75</v>
      </c>
      <c r="O55" s="49">
        <f t="shared" si="9"/>
        <v>95.25</v>
      </c>
      <c r="P55" s="105">
        <f t="shared" si="10"/>
        <v>-1151</v>
      </c>
      <c r="R55" s="100">
        <f t="shared" si="11"/>
        <v>177148</v>
      </c>
      <c r="S55" s="100">
        <f t="shared" si="12"/>
        <v>221943.75</v>
      </c>
      <c r="T55" s="50">
        <f t="shared" si="13"/>
        <v>-44795.75</v>
      </c>
    </row>
    <row r="56" spans="1:22" x14ac:dyDescent="0.2">
      <c r="A56" s="12">
        <v>500</v>
      </c>
      <c r="B56" s="10" t="s">
        <v>100</v>
      </c>
      <c r="C56" s="18">
        <v>30116</v>
      </c>
      <c r="D56" s="20">
        <v>30115.599999999999</v>
      </c>
      <c r="E56" s="27">
        <f t="shared" si="5"/>
        <v>0</v>
      </c>
      <c r="F56" s="37">
        <f>'Ausgangslage - Triage'!B16+'Ausgangslage - Triage'!B24</f>
        <v>30115.599999999999</v>
      </c>
      <c r="G56" s="20">
        <v>0</v>
      </c>
      <c r="H56" s="33">
        <f t="shared" si="4"/>
        <v>30116</v>
      </c>
      <c r="I56" s="19">
        <v>379.9</v>
      </c>
      <c r="J56" s="37">
        <f t="shared" si="6"/>
        <v>173098.1</v>
      </c>
      <c r="K56" s="20">
        <v>173478</v>
      </c>
      <c r="L56" s="20">
        <v>0</v>
      </c>
      <c r="M56" s="33">
        <f t="shared" si="7"/>
        <v>379.9</v>
      </c>
      <c r="N56" s="42">
        <f t="shared" si="8"/>
        <v>29736.1</v>
      </c>
      <c r="O56" s="49">
        <f t="shared" si="9"/>
        <v>0</v>
      </c>
      <c r="P56" s="105">
        <f t="shared" si="10"/>
        <v>-0.39999999999997726</v>
      </c>
      <c r="R56" s="100">
        <f t="shared" si="11"/>
        <v>30115.599999999999</v>
      </c>
      <c r="S56" s="100">
        <f t="shared" si="12"/>
        <v>379.5</v>
      </c>
      <c r="T56" s="50">
        <f t="shared" si="13"/>
        <v>29736.1</v>
      </c>
    </row>
    <row r="57" spans="1:22" x14ac:dyDescent="0.2">
      <c r="A57" s="12">
        <v>910</v>
      </c>
      <c r="B57" s="10" t="s">
        <v>75</v>
      </c>
      <c r="C57" s="18">
        <v>3958</v>
      </c>
      <c r="D57" s="20">
        <v>3482.4</v>
      </c>
      <c r="E57" s="27">
        <f>F57-D57</f>
        <v>16280.1</v>
      </c>
      <c r="F57" s="37">
        <f>0.5*'Ausgangslage - Triage'!I11</f>
        <v>19762.5</v>
      </c>
      <c r="G57" s="20">
        <v>3000</v>
      </c>
      <c r="H57" s="33">
        <f t="shared" si="4"/>
        <v>6958</v>
      </c>
      <c r="I57" s="19">
        <v>6724</v>
      </c>
      <c r="J57" s="37">
        <f t="shared" si="6"/>
        <v>-24</v>
      </c>
      <c r="K57" s="20">
        <v>6700</v>
      </c>
      <c r="L57" s="20">
        <v>3000</v>
      </c>
      <c r="M57" s="33">
        <f t="shared" si="7"/>
        <v>9724</v>
      </c>
      <c r="N57" s="42">
        <f t="shared" si="8"/>
        <v>-2766</v>
      </c>
      <c r="O57" s="49">
        <f t="shared" si="9"/>
        <v>16280.1</v>
      </c>
      <c r="P57" s="105">
        <f t="shared" si="10"/>
        <v>15804.5</v>
      </c>
      <c r="R57" s="100">
        <f t="shared" si="11"/>
        <v>19762.5</v>
      </c>
      <c r="S57" s="100">
        <f t="shared" si="12"/>
        <v>22528.5</v>
      </c>
      <c r="T57" s="50">
        <f t="shared" si="13"/>
        <v>-2766</v>
      </c>
    </row>
    <row r="58" spans="1:22" x14ac:dyDescent="0.2">
      <c r="A58" s="12"/>
      <c r="B58" s="14" t="s">
        <v>12</v>
      </c>
      <c r="C58" s="43">
        <f>SUM(C47:C57)</f>
        <v>1178555.47</v>
      </c>
      <c r="D58" s="43">
        <f t="shared" ref="D58:L58" si="16">SUM(D47:D57)</f>
        <v>928670.75</v>
      </c>
      <c r="E58" s="43">
        <f t="shared" si="16"/>
        <v>1147271.3500000001</v>
      </c>
      <c r="F58" s="43">
        <f t="shared" si="16"/>
        <v>2075942.1</v>
      </c>
      <c r="G58" s="43">
        <f t="shared" si="16"/>
        <v>833000</v>
      </c>
      <c r="H58" s="43">
        <f t="shared" si="16"/>
        <v>2011555.47</v>
      </c>
      <c r="I58" s="43">
        <f t="shared" si="16"/>
        <v>1430588.3699999999</v>
      </c>
      <c r="J58" s="43">
        <f t="shared" si="16"/>
        <v>1310728.1300000001</v>
      </c>
      <c r="K58" s="43">
        <f t="shared" si="16"/>
        <v>2705273</v>
      </c>
      <c r="L58" s="43">
        <f t="shared" si="16"/>
        <v>929950</v>
      </c>
      <c r="M58" s="107">
        <f t="shared" si="7"/>
        <v>2360538.37</v>
      </c>
      <c r="N58" s="42">
        <f t="shared" si="8"/>
        <v>-348982.90000000014</v>
      </c>
      <c r="O58" s="108">
        <f t="shared" si="9"/>
        <v>1147271.3500000001</v>
      </c>
      <c r="P58" s="109">
        <f t="shared" si="10"/>
        <v>994336.63000000012</v>
      </c>
      <c r="Q58" s="43"/>
      <c r="R58" s="110">
        <f t="shared" si="11"/>
        <v>2075942.1</v>
      </c>
      <c r="S58" s="110">
        <f t="shared" si="12"/>
        <v>2424925</v>
      </c>
      <c r="T58" s="58">
        <f t="shared" si="13"/>
        <v>-348982.89999999991</v>
      </c>
    </row>
    <row r="59" spans="1:22" x14ac:dyDescent="0.2">
      <c r="A59" s="12">
        <v>777</v>
      </c>
      <c r="B59" s="10" t="s">
        <v>78</v>
      </c>
      <c r="C59" s="47">
        <v>1756</v>
      </c>
      <c r="D59" s="20">
        <v>1756</v>
      </c>
      <c r="E59" s="27">
        <f>F59-D59</f>
        <v>8244</v>
      </c>
      <c r="F59" s="20">
        <v>10000</v>
      </c>
      <c r="G59" s="20">
        <v>0</v>
      </c>
      <c r="H59" s="33">
        <f t="shared" si="4"/>
        <v>1756</v>
      </c>
      <c r="I59" s="19">
        <v>0</v>
      </c>
      <c r="J59" s="37">
        <f t="shared" si="6"/>
        <v>0</v>
      </c>
      <c r="K59" s="20">
        <v>0</v>
      </c>
      <c r="L59" s="20">
        <v>0</v>
      </c>
      <c r="M59" s="33">
        <f t="shared" si="7"/>
        <v>0</v>
      </c>
      <c r="N59" s="42">
        <f t="shared" si="8"/>
        <v>1756</v>
      </c>
      <c r="O59" s="49">
        <f t="shared" si="9"/>
        <v>8244</v>
      </c>
      <c r="P59" s="105">
        <f t="shared" si="10"/>
        <v>8244</v>
      </c>
      <c r="R59" s="100">
        <f t="shared" si="11"/>
        <v>10000</v>
      </c>
      <c r="S59" s="100">
        <f t="shared" si="12"/>
        <v>8244</v>
      </c>
      <c r="T59" s="50">
        <f t="shared" si="13"/>
        <v>1756</v>
      </c>
    </row>
    <row r="60" spans="1:22" x14ac:dyDescent="0.2">
      <c r="A60" s="12">
        <v>900</v>
      </c>
      <c r="B60" s="10" t="s">
        <v>77</v>
      </c>
      <c r="C60" s="47">
        <v>0</v>
      </c>
      <c r="D60" s="20">
        <v>0</v>
      </c>
      <c r="E60" s="20"/>
      <c r="F60" s="20"/>
      <c r="G60" s="20"/>
      <c r="H60" s="99"/>
      <c r="I60" s="19">
        <v>14350</v>
      </c>
      <c r="J60" s="20">
        <f t="shared" si="6"/>
        <v>10650</v>
      </c>
      <c r="K60" s="20">
        <v>25000</v>
      </c>
      <c r="L60" s="20">
        <v>5000</v>
      </c>
      <c r="M60" s="33">
        <f t="shared" si="7"/>
        <v>19350</v>
      </c>
      <c r="N60" s="42">
        <f t="shared" si="8"/>
        <v>-19350</v>
      </c>
      <c r="O60" s="49">
        <f t="shared" si="9"/>
        <v>0</v>
      </c>
      <c r="P60" s="105">
        <f t="shared" si="10"/>
        <v>5000</v>
      </c>
      <c r="R60" s="100">
        <f t="shared" si="11"/>
        <v>0</v>
      </c>
      <c r="S60" s="100">
        <f t="shared" si="12"/>
        <v>19350</v>
      </c>
      <c r="T60" s="50">
        <f t="shared" si="13"/>
        <v>-19350</v>
      </c>
    </row>
    <row r="61" spans="1:22" x14ac:dyDescent="0.2">
      <c r="A61" s="12">
        <v>990</v>
      </c>
      <c r="B61" s="45" t="s">
        <v>76</v>
      </c>
      <c r="C61" s="18">
        <v>17888</v>
      </c>
      <c r="D61" s="20">
        <v>4837.5</v>
      </c>
      <c r="E61" s="20">
        <f t="shared" ref="E61" si="17">F61-D61</f>
        <v>15287.5</v>
      </c>
      <c r="F61" s="20">
        <v>20125</v>
      </c>
      <c r="G61" s="20">
        <v>10000</v>
      </c>
      <c r="H61" s="21">
        <f>C61+G61</f>
        <v>27888</v>
      </c>
      <c r="I61" s="19">
        <v>23392</v>
      </c>
      <c r="J61" s="20">
        <f t="shared" si="6"/>
        <v>6608</v>
      </c>
      <c r="K61" s="20">
        <v>30000</v>
      </c>
      <c r="L61" s="37">
        <v>14200</v>
      </c>
      <c r="M61" s="33">
        <f t="shared" si="7"/>
        <v>37592</v>
      </c>
      <c r="N61" s="42">
        <f t="shared" si="8"/>
        <v>-9704</v>
      </c>
      <c r="O61" s="49">
        <f t="shared" si="9"/>
        <v>15287.5</v>
      </c>
      <c r="P61" s="105">
        <f t="shared" si="10"/>
        <v>6437</v>
      </c>
      <c r="R61" s="100">
        <f t="shared" si="11"/>
        <v>20125</v>
      </c>
      <c r="S61" s="100">
        <f t="shared" si="12"/>
        <v>29829</v>
      </c>
      <c r="T61" s="50">
        <f t="shared" si="13"/>
        <v>-9704</v>
      </c>
    </row>
    <row r="62" spans="1:22" ht="15.75" thickBot="1" x14ac:dyDescent="0.3">
      <c r="A62" s="16"/>
      <c r="B62" s="32" t="s">
        <v>5</v>
      </c>
      <c r="C62" s="34">
        <f>SUM(C58:C61)</f>
        <v>1198199.47</v>
      </c>
      <c r="D62" s="34">
        <f t="shared" ref="D62:T62" si="18">SUM(D58:D61)</f>
        <v>935264.25</v>
      </c>
      <c r="E62" s="34">
        <f t="shared" si="18"/>
        <v>1170802.8500000001</v>
      </c>
      <c r="F62" s="34">
        <f t="shared" si="18"/>
        <v>2106067.1</v>
      </c>
      <c r="G62" s="34">
        <f t="shared" si="18"/>
        <v>843000</v>
      </c>
      <c r="H62" s="34">
        <f t="shared" si="18"/>
        <v>2041199.47</v>
      </c>
      <c r="I62" s="34">
        <f t="shared" si="18"/>
        <v>1468330.3699999999</v>
      </c>
      <c r="J62" s="34">
        <f t="shared" si="18"/>
        <v>1327986.1300000001</v>
      </c>
      <c r="K62" s="34">
        <f t="shared" si="18"/>
        <v>2760273</v>
      </c>
      <c r="L62" s="34">
        <f t="shared" si="18"/>
        <v>949150</v>
      </c>
      <c r="M62" s="34">
        <f t="shared" si="18"/>
        <v>2417480.37</v>
      </c>
      <c r="N62" s="34">
        <f t="shared" si="18"/>
        <v>-376280.90000000014</v>
      </c>
      <c r="O62" s="34">
        <f t="shared" si="18"/>
        <v>1170802.8500000001</v>
      </c>
      <c r="P62" s="34">
        <f t="shared" si="18"/>
        <v>1014017.6300000001</v>
      </c>
      <c r="R62" s="34">
        <f t="shared" si="18"/>
        <v>2106067.1</v>
      </c>
      <c r="S62" s="34">
        <f t="shared" si="18"/>
        <v>2482348</v>
      </c>
      <c r="T62" s="34">
        <f t="shared" si="18"/>
        <v>-376280.89999999991</v>
      </c>
    </row>
    <row r="63" spans="1:22" x14ac:dyDescent="0.2">
      <c r="C63" s="3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S63" s="149">
        <f>S62/R62</f>
        <v>1.1786652001733469</v>
      </c>
      <c r="T63" s="5"/>
      <c r="U63" s="5"/>
    </row>
    <row r="64" spans="1:22" x14ac:dyDescent="0.2">
      <c r="B64" s="28" t="s">
        <v>34</v>
      </c>
      <c r="C64" s="2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R64" s="54" t="s">
        <v>40</v>
      </c>
      <c r="S64" s="51"/>
      <c r="T64" s="119">
        <v>450000</v>
      </c>
      <c r="U64" s="53" t="s">
        <v>25</v>
      </c>
    </row>
    <row r="65" spans="2:14" x14ac:dyDescent="0.2">
      <c r="B65" s="35" t="s">
        <v>16</v>
      </c>
      <c r="C65" s="36"/>
      <c r="D65" s="36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2">
      <c r="B66" t="s">
        <v>20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8" spans="2:14" x14ac:dyDescent="0.2">
      <c r="G68" s="114">
        <f>G47/C47</f>
        <v>1.0165494246330256</v>
      </c>
      <c r="K68">
        <f t="shared" ref="K68:K73" si="19">K47/F47</f>
        <v>1.3385577648519069</v>
      </c>
    </row>
    <row r="69" spans="2:14" x14ac:dyDescent="0.2">
      <c r="G69" s="114"/>
      <c r="K69">
        <f t="shared" si="19"/>
        <v>1.2295475861428993</v>
      </c>
    </row>
    <row r="70" spans="2:14" x14ac:dyDescent="0.2">
      <c r="G70" s="114">
        <f>G49/C49</f>
        <v>1.686127386924082</v>
      </c>
      <c r="K70">
        <f t="shared" si="19"/>
        <v>1.2468478128730802</v>
      </c>
    </row>
    <row r="71" spans="2:14" x14ac:dyDescent="0.2">
      <c r="G71" s="114">
        <f>G50/C50</f>
        <v>0.95988481382234137</v>
      </c>
      <c r="K71">
        <f t="shared" si="19"/>
        <v>1.237343012105339</v>
      </c>
    </row>
    <row r="72" spans="2:14" x14ac:dyDescent="0.2">
      <c r="G72" s="114"/>
      <c r="K72" t="e">
        <f t="shared" si="19"/>
        <v>#DIV/0!</v>
      </c>
    </row>
    <row r="73" spans="2:14" x14ac:dyDescent="0.2">
      <c r="G73" s="114"/>
      <c r="K73">
        <f t="shared" si="19"/>
        <v>1.25</v>
      </c>
    </row>
    <row r="74" spans="2:14" x14ac:dyDescent="0.2">
      <c r="G74" s="114"/>
      <c r="K74" t="e">
        <f t="shared" ref="K74:K78" si="20">K54/F54</f>
        <v>#DIV/0!</v>
      </c>
    </row>
    <row r="75" spans="2:14" x14ac:dyDescent="0.2">
      <c r="G75" s="114"/>
      <c r="K75">
        <f t="shared" si="20"/>
        <v>1.2593706956894799</v>
      </c>
    </row>
    <row r="76" spans="2:14" x14ac:dyDescent="0.2">
      <c r="G76" s="114">
        <f t="shared" ref="G76:G78" si="21">G57/C57</f>
        <v>0.75795856493178371</v>
      </c>
      <c r="K76">
        <f t="shared" si="20"/>
        <v>5.7604032461581376</v>
      </c>
    </row>
    <row r="77" spans="2:14" x14ac:dyDescent="0.2">
      <c r="G77" s="114">
        <f t="shared" si="21"/>
        <v>0.7067974492537038</v>
      </c>
      <c r="K77">
        <f t="shared" si="20"/>
        <v>0.33902593295382671</v>
      </c>
    </row>
    <row r="78" spans="2:14" x14ac:dyDescent="0.2">
      <c r="G78" s="114">
        <f t="shared" si="21"/>
        <v>0</v>
      </c>
      <c r="K78">
        <f t="shared" si="20"/>
        <v>1.3031543606153562</v>
      </c>
    </row>
  </sheetData>
  <mergeCells count="11">
    <mergeCell ref="R10:T10"/>
    <mergeCell ref="C6:D6"/>
    <mergeCell ref="E6:I6"/>
    <mergeCell ref="J6:K6"/>
    <mergeCell ref="L6:M6"/>
    <mergeCell ref="N6:P6"/>
    <mergeCell ref="R41:T41"/>
    <mergeCell ref="C42:H42"/>
    <mergeCell ref="I42:M42"/>
    <mergeCell ref="R42:T42"/>
    <mergeCell ref="J44:K44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"/>
  <sheetViews>
    <sheetView topLeftCell="A43" zoomScale="115" zoomScaleNormal="115" workbookViewId="0">
      <selection activeCell="C49" sqref="C49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10.28515625" bestFit="1" customWidth="1"/>
    <col min="6" max="6" width="8.85546875" customWidth="1"/>
    <col min="7" max="7" width="8.5703125" customWidth="1"/>
    <col min="8" max="8" width="8.85546875" customWidth="1"/>
    <col min="9" max="10" width="8.7109375" customWidth="1"/>
    <col min="11" max="11" width="9.140625" customWidth="1"/>
    <col min="12" max="12" width="9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113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249" t="s">
        <v>42</v>
      </c>
      <c r="D6" s="249"/>
      <c r="E6" s="249" t="s">
        <v>43</v>
      </c>
      <c r="F6" s="249"/>
      <c r="G6" s="249"/>
      <c r="H6" s="249"/>
      <c r="I6" s="249"/>
      <c r="J6" s="250" t="s">
        <v>73</v>
      </c>
      <c r="K6" s="251"/>
      <c r="L6" s="250" t="s">
        <v>74</v>
      </c>
      <c r="M6" s="251"/>
      <c r="N6" s="249" t="s">
        <v>97</v>
      </c>
      <c r="O6" s="249"/>
      <c r="P6" s="249"/>
      <c r="Q6" s="76"/>
      <c r="R6" s="76"/>
    </row>
    <row r="7" spans="1:20" x14ac:dyDescent="0.2">
      <c r="A7" s="121" t="s">
        <v>0</v>
      </c>
      <c r="B7" s="121" t="s">
        <v>1</v>
      </c>
      <c r="C7" s="121" t="s">
        <v>5</v>
      </c>
      <c r="D7" s="121" t="s">
        <v>66</v>
      </c>
      <c r="E7" s="121" t="s">
        <v>5</v>
      </c>
      <c r="F7" s="121" t="s">
        <v>66</v>
      </c>
      <c r="G7" s="121" t="s">
        <v>87</v>
      </c>
      <c r="H7" s="121" t="s">
        <v>88</v>
      </c>
      <c r="I7" s="121" t="s">
        <v>89</v>
      </c>
      <c r="J7" s="121" t="s">
        <v>5</v>
      </c>
      <c r="K7" s="121" t="s">
        <v>87</v>
      </c>
      <c r="L7" s="121" t="s">
        <v>5</v>
      </c>
      <c r="M7" s="121" t="s">
        <v>66</v>
      </c>
      <c r="N7" s="121" t="s">
        <v>5</v>
      </c>
      <c r="O7" s="121" t="s">
        <v>66</v>
      </c>
      <c r="P7" s="121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120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121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248" t="s">
        <v>102</v>
      </c>
      <c r="S10" s="248"/>
      <c r="T10" s="248"/>
    </row>
    <row r="11" spans="1:20" x14ac:dyDescent="0.2">
      <c r="A11" s="81">
        <v>500</v>
      </c>
      <c r="B11" s="121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121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121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121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121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121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121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121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121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121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121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114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241" t="s">
        <v>24</v>
      </c>
      <c r="S41" s="241"/>
      <c r="T41" s="241"/>
    </row>
    <row r="42" spans="1:20" x14ac:dyDescent="0.2">
      <c r="A42" s="15" t="s">
        <v>0</v>
      </c>
      <c r="B42" s="31" t="s">
        <v>1</v>
      </c>
      <c r="C42" s="242" t="s">
        <v>2</v>
      </c>
      <c r="D42" s="243"/>
      <c r="E42" s="243"/>
      <c r="F42" s="243"/>
      <c r="G42" s="243"/>
      <c r="H42" s="244"/>
      <c r="I42" s="245" t="s">
        <v>11</v>
      </c>
      <c r="J42" s="243"/>
      <c r="K42" s="243"/>
      <c r="L42" s="243"/>
      <c r="M42" s="244"/>
      <c r="N42" s="38" t="s">
        <v>10</v>
      </c>
      <c r="O42" s="38" t="s">
        <v>2</v>
      </c>
      <c r="P42" s="102" t="s">
        <v>11</v>
      </c>
      <c r="R42" s="241" t="s">
        <v>5</v>
      </c>
      <c r="S42" s="241"/>
      <c r="T42" s="241"/>
    </row>
    <row r="43" spans="1:20" ht="13.5" x14ac:dyDescent="0.25">
      <c r="A43" s="11"/>
      <c r="B43" s="9"/>
      <c r="C43" s="46" t="s">
        <v>32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39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121" t="s">
        <v>36</v>
      </c>
      <c r="S43" s="121" t="s">
        <v>37</v>
      </c>
      <c r="T43" s="5"/>
    </row>
    <row r="44" spans="1:20" ht="13.5" x14ac:dyDescent="0.25">
      <c r="A44" s="11"/>
      <c r="B44" s="9"/>
      <c r="C44" s="22" t="s">
        <v>112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246" t="s">
        <v>17</v>
      </c>
      <c r="K44" s="247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22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121" t="s">
        <v>38</v>
      </c>
      <c r="S45" s="121" t="s">
        <v>22</v>
      </c>
      <c r="T45" s="121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33347</v>
      </c>
      <c r="D47" s="18">
        <v>26637</v>
      </c>
      <c r="E47" s="27">
        <f>F47-D47</f>
        <v>55541</v>
      </c>
      <c r="F47" s="37">
        <f>F18</f>
        <v>82178</v>
      </c>
      <c r="G47" s="20">
        <v>25000</v>
      </c>
      <c r="H47" s="33">
        <f t="shared" ref="H47:H59" si="4">C47+G47</f>
        <v>58347</v>
      </c>
      <c r="I47" s="18">
        <v>43420.75</v>
      </c>
      <c r="J47" s="37">
        <f>K47-I47</f>
        <v>57493.25</v>
      </c>
      <c r="K47" s="20">
        <v>100914</v>
      </c>
      <c r="L47" s="37">
        <v>31000</v>
      </c>
      <c r="M47" s="33">
        <f>I47+L47</f>
        <v>74420.75</v>
      </c>
      <c r="N47" s="42">
        <f>H47-M47</f>
        <v>-16073.75</v>
      </c>
      <c r="O47" s="49">
        <f>F47-D47</f>
        <v>55541</v>
      </c>
      <c r="P47" s="105">
        <f>F47-N47-I47</f>
        <v>54831</v>
      </c>
      <c r="R47" s="100">
        <f>F47</f>
        <v>82178</v>
      </c>
      <c r="S47" s="100">
        <f>P47+I47</f>
        <v>98251.75</v>
      </c>
      <c r="T47" s="50">
        <f>R47-S47</f>
        <v>-16073.75</v>
      </c>
    </row>
    <row r="48" spans="1:20" x14ac:dyDescent="0.2">
      <c r="A48" s="12">
        <v>200</v>
      </c>
      <c r="B48" s="10" t="s">
        <v>42</v>
      </c>
      <c r="C48" s="18">
        <v>607248.47</v>
      </c>
      <c r="D48" s="18">
        <v>603751</v>
      </c>
      <c r="E48" s="27">
        <f t="shared" ref="E48:E56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8">
        <v>746118.75</v>
      </c>
      <c r="J48" s="37">
        <f t="shared" ref="J48:J61" si="6">K48-I48</f>
        <v>-0.75</v>
      </c>
      <c r="K48" s="20">
        <v>746118</v>
      </c>
      <c r="L48" s="37">
        <v>0</v>
      </c>
      <c r="M48" s="33">
        <f t="shared" ref="M48:M61" si="7">I48+L48</f>
        <v>746118.75</v>
      </c>
      <c r="N48" s="42">
        <f t="shared" ref="N48:N61" si="8">H48-M48</f>
        <v>-138870.28000000003</v>
      </c>
      <c r="O48" s="49">
        <f t="shared" ref="O48:O61" si="9">F48-D48</f>
        <v>-277</v>
      </c>
      <c r="P48" s="105">
        <f t="shared" ref="P48:P61" si="10">F48-N48-I48</f>
        <v>-3774.4699999999721</v>
      </c>
      <c r="R48" s="100">
        <f t="shared" ref="R48:R61" si="11">F48</f>
        <v>603474</v>
      </c>
      <c r="S48" s="100">
        <f t="shared" ref="S48:S61" si="12">P48+I48</f>
        <v>742344.28</v>
      </c>
      <c r="T48" s="50">
        <f t="shared" ref="T48:T61" si="13">R48-S48</f>
        <v>-138870.28000000003</v>
      </c>
    </row>
    <row r="49" spans="1:22" x14ac:dyDescent="0.2">
      <c r="A49" s="12">
        <v>310</v>
      </c>
      <c r="B49" s="121" t="s">
        <v>69</v>
      </c>
      <c r="C49" s="18">
        <v>205057</v>
      </c>
      <c r="D49" s="18">
        <v>103193.5</v>
      </c>
      <c r="E49" s="27">
        <f t="shared" si="5"/>
        <v>217615.5</v>
      </c>
      <c r="F49" s="37">
        <f>F19</f>
        <v>320809</v>
      </c>
      <c r="G49" s="20">
        <v>115750</v>
      </c>
      <c r="H49" s="33">
        <f>C49+G49</f>
        <v>320807</v>
      </c>
      <c r="I49" s="18">
        <v>248634</v>
      </c>
      <c r="J49" s="37">
        <f t="shared" si="6"/>
        <v>119503.75</v>
      </c>
      <c r="K49" s="20">
        <v>368137.75</v>
      </c>
      <c r="L49" s="37">
        <v>60000</v>
      </c>
      <c r="M49" s="33">
        <f>I49+L49</f>
        <v>308634</v>
      </c>
      <c r="N49" s="42">
        <f t="shared" si="8"/>
        <v>12173</v>
      </c>
      <c r="O49" s="49">
        <f t="shared" si="9"/>
        <v>217615.5</v>
      </c>
      <c r="P49" s="105">
        <f t="shared" si="10"/>
        <v>60002</v>
      </c>
      <c r="R49" s="100">
        <f t="shared" si="11"/>
        <v>320809</v>
      </c>
      <c r="S49" s="100">
        <f t="shared" si="12"/>
        <v>308636</v>
      </c>
      <c r="T49" s="50">
        <f t="shared" si="13"/>
        <v>12173</v>
      </c>
    </row>
    <row r="50" spans="1:22" x14ac:dyDescent="0.2">
      <c r="A50" s="12">
        <v>320</v>
      </c>
      <c r="B50" s="121" t="s">
        <v>70</v>
      </c>
      <c r="C50" s="18">
        <v>243786.5</v>
      </c>
      <c r="D50" s="18">
        <v>148725</v>
      </c>
      <c r="E50" s="27">
        <f>F50-D50</f>
        <v>93730</v>
      </c>
      <c r="F50" s="37">
        <f>F20</f>
        <v>242455</v>
      </c>
      <c r="G50" s="20">
        <v>0</v>
      </c>
      <c r="H50" s="33">
        <f t="shared" si="4"/>
        <v>243786.5</v>
      </c>
      <c r="I50" s="18">
        <v>329287.25</v>
      </c>
      <c r="J50" s="37">
        <f t="shared" si="6"/>
        <v>-44449.75</v>
      </c>
      <c r="K50" s="20">
        <v>284837.5</v>
      </c>
      <c r="L50" s="37">
        <v>25000</v>
      </c>
      <c r="M50" s="33">
        <f t="shared" si="7"/>
        <v>354287.25</v>
      </c>
      <c r="N50" s="42">
        <f t="shared" si="8"/>
        <v>-110500.75</v>
      </c>
      <c r="O50" s="49">
        <f>F50-D50</f>
        <v>93730</v>
      </c>
      <c r="P50" s="105">
        <f t="shared" si="10"/>
        <v>23668.5</v>
      </c>
      <c r="R50" s="100">
        <f t="shared" si="11"/>
        <v>242455</v>
      </c>
      <c r="S50" s="100">
        <f t="shared" si="12"/>
        <v>352955.75</v>
      </c>
      <c r="T50" s="50">
        <f t="shared" si="13"/>
        <v>-110500.75</v>
      </c>
      <c r="U50">
        <v>284806</v>
      </c>
      <c r="V50" s="56">
        <f>S50-U50</f>
        <v>68149.75</v>
      </c>
    </row>
    <row r="51" spans="1:22" x14ac:dyDescent="0.2">
      <c r="A51" s="12">
        <v>330</v>
      </c>
      <c r="B51" s="121" t="s">
        <v>71</v>
      </c>
      <c r="C51" s="18"/>
      <c r="D51" s="18"/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8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2" x14ac:dyDescent="0.2">
      <c r="A52" s="12">
        <v>420</v>
      </c>
      <c r="B52" s="130" t="s">
        <v>74</v>
      </c>
      <c r="C52" s="131">
        <v>129743</v>
      </c>
      <c r="D52" s="131">
        <v>81441</v>
      </c>
      <c r="E52" s="133">
        <f>F52-D52</f>
        <v>318559</v>
      </c>
      <c r="F52" s="134">
        <f>M25</f>
        <v>400000</v>
      </c>
      <c r="G52" s="132">
        <v>270000</v>
      </c>
      <c r="H52" s="135">
        <f>C52+G52</f>
        <v>399743</v>
      </c>
      <c r="I52" s="131">
        <v>162380.25</v>
      </c>
      <c r="J52" s="134">
        <f t="shared" si="6"/>
        <v>337619.75</v>
      </c>
      <c r="K52" s="132">
        <f>1.25*F52</f>
        <v>500000</v>
      </c>
      <c r="L52" s="134">
        <v>337500</v>
      </c>
      <c r="M52" s="135">
        <f>I52+L52</f>
        <v>499880.25</v>
      </c>
      <c r="N52" s="137">
        <f t="shared" si="8"/>
        <v>-100137.25</v>
      </c>
      <c r="O52" s="138">
        <f>F52-D52</f>
        <v>318559</v>
      </c>
      <c r="P52" s="139">
        <f>F52-N52-I52</f>
        <v>337757</v>
      </c>
      <c r="Q52" s="140"/>
      <c r="R52" s="141">
        <f>F52</f>
        <v>400000</v>
      </c>
      <c r="S52" s="141">
        <f>P52+I52</f>
        <v>500137.25</v>
      </c>
      <c r="T52" s="142">
        <f>R52-S52</f>
        <v>-100137.25</v>
      </c>
    </row>
    <row r="53" spans="1:22" x14ac:dyDescent="0.2">
      <c r="A53" s="12"/>
      <c r="B53" s="121" t="s">
        <v>74</v>
      </c>
      <c r="C53" s="18">
        <f>C52</f>
        <v>129743</v>
      </c>
      <c r="D53" s="146">
        <f>D52/2</f>
        <v>40720.5</v>
      </c>
      <c r="E53" s="27">
        <f t="shared" ref="E53:F53" si="14">E52/2</f>
        <v>159279.5</v>
      </c>
      <c r="F53" s="37">
        <f t="shared" si="14"/>
        <v>200000</v>
      </c>
      <c r="G53" s="20">
        <f>G52/2</f>
        <v>135000</v>
      </c>
      <c r="H53" s="123">
        <f t="shared" si="4"/>
        <v>264743</v>
      </c>
      <c r="I53" s="18">
        <f>I52</f>
        <v>162380.25</v>
      </c>
      <c r="J53" s="37">
        <f t="shared" ref="J53" si="15">J52/2</f>
        <v>168809.875</v>
      </c>
      <c r="K53" s="20">
        <f>K52/2.0558</f>
        <v>243214.32045918863</v>
      </c>
      <c r="L53" s="37">
        <v>203350</v>
      </c>
      <c r="M53" s="123">
        <f t="shared" si="7"/>
        <v>365730.25</v>
      </c>
      <c r="N53" s="125">
        <f t="shared" si="8"/>
        <v>-100987.25</v>
      </c>
      <c r="O53" s="126">
        <f>F53-D53</f>
        <v>159279.5</v>
      </c>
      <c r="P53" s="127">
        <f>F53-N53-I53</f>
        <v>138607</v>
      </c>
      <c r="R53" s="128">
        <f>F53</f>
        <v>200000</v>
      </c>
      <c r="S53" s="128">
        <f>P53+I53</f>
        <v>300987.25</v>
      </c>
      <c r="T53" s="129">
        <f>R53-S53</f>
        <v>-100987.25</v>
      </c>
    </row>
    <row r="54" spans="1:22" x14ac:dyDescent="0.2">
      <c r="A54" s="12">
        <v>425</v>
      </c>
      <c r="B54" s="121" t="s">
        <v>72</v>
      </c>
      <c r="C54" s="18"/>
      <c r="D54" s="20">
        <v>0</v>
      </c>
      <c r="E54" s="27"/>
      <c r="F54" s="37"/>
      <c r="G54" s="20"/>
      <c r="H54" s="33">
        <f t="shared" si="4"/>
        <v>0</v>
      </c>
      <c r="I54" s="18"/>
      <c r="J54" s="37"/>
      <c r="K54" s="20"/>
      <c r="L54" s="37"/>
      <c r="M54" s="33">
        <f t="shared" si="7"/>
        <v>0</v>
      </c>
      <c r="N54" s="42">
        <f t="shared" si="8"/>
        <v>0</v>
      </c>
      <c r="O54" s="49">
        <f>F54-D54</f>
        <v>0</v>
      </c>
      <c r="P54" s="105">
        <f>F54-N54-I54</f>
        <v>0</v>
      </c>
      <c r="R54" s="100"/>
      <c r="S54" s="100"/>
      <c r="T54" s="50">
        <f>R54-S54</f>
        <v>0</v>
      </c>
    </row>
    <row r="55" spans="1:22" x14ac:dyDescent="0.2">
      <c r="A55" s="12">
        <v>500</v>
      </c>
      <c r="B55" s="121" t="s">
        <v>81</v>
      </c>
      <c r="C55" s="18">
        <v>178010.75</v>
      </c>
      <c r="D55" s="20">
        <v>177052.75</v>
      </c>
      <c r="E55" s="27">
        <f t="shared" si="5"/>
        <v>95.25</v>
      </c>
      <c r="F55" s="37">
        <f>D11</f>
        <v>177148</v>
      </c>
      <c r="G55" s="20">
        <v>0</v>
      </c>
      <c r="H55" s="33">
        <f t="shared" si="4"/>
        <v>178010.75</v>
      </c>
      <c r="I55" s="18">
        <v>223474.65</v>
      </c>
      <c r="J55" s="37">
        <f t="shared" si="6"/>
        <v>-379.64999999999418</v>
      </c>
      <c r="K55" s="20">
        <v>223095</v>
      </c>
      <c r="L55" s="37">
        <v>0</v>
      </c>
      <c r="M55" s="33">
        <f t="shared" si="7"/>
        <v>223474.65</v>
      </c>
      <c r="N55" s="42">
        <f t="shared" si="8"/>
        <v>-45463.899999999994</v>
      </c>
      <c r="O55" s="49">
        <f t="shared" si="9"/>
        <v>95.25</v>
      </c>
      <c r="P55" s="105">
        <f t="shared" si="10"/>
        <v>-862.75</v>
      </c>
      <c r="R55" s="100">
        <f t="shared" si="11"/>
        <v>177148</v>
      </c>
      <c r="S55" s="100">
        <f t="shared" si="12"/>
        <v>222611.9</v>
      </c>
      <c r="T55" s="50">
        <f t="shared" si="13"/>
        <v>-45463.899999999994</v>
      </c>
    </row>
    <row r="56" spans="1:22" x14ac:dyDescent="0.2">
      <c r="A56" s="12">
        <v>500</v>
      </c>
      <c r="B56" s="10" t="s">
        <v>100</v>
      </c>
      <c r="C56" s="18">
        <v>288.77999999999997</v>
      </c>
      <c r="D56" s="20">
        <v>30115.599999999999</v>
      </c>
      <c r="E56" s="27">
        <f t="shared" si="5"/>
        <v>0</v>
      </c>
      <c r="F56" s="37">
        <f>'Ausgangslage - Triage'!B16+'Ausgangslage - Triage'!B24</f>
        <v>30115.599999999999</v>
      </c>
      <c r="G56" s="20">
        <v>0</v>
      </c>
      <c r="H56" s="33">
        <f t="shared" si="4"/>
        <v>288.77999999999997</v>
      </c>
      <c r="I56" s="18">
        <v>379.9</v>
      </c>
      <c r="J56" s="37">
        <f>K56-I56</f>
        <v>0</v>
      </c>
      <c r="K56" s="20">
        <v>379.9</v>
      </c>
      <c r="L56" s="20">
        <v>0</v>
      </c>
      <c r="M56" s="33">
        <f t="shared" si="7"/>
        <v>379.9</v>
      </c>
      <c r="N56" s="42">
        <f t="shared" si="8"/>
        <v>-91.12</v>
      </c>
      <c r="O56" s="49">
        <f t="shared" si="9"/>
        <v>0</v>
      </c>
      <c r="P56" s="105">
        <f t="shared" si="10"/>
        <v>29826.819999999996</v>
      </c>
      <c r="R56" s="100">
        <f t="shared" si="11"/>
        <v>30115.599999999999</v>
      </c>
      <c r="S56" s="100">
        <f t="shared" si="12"/>
        <v>30206.719999999998</v>
      </c>
      <c r="T56" s="50">
        <f t="shared" si="13"/>
        <v>-91.119999999998981</v>
      </c>
    </row>
    <row r="57" spans="1:22" x14ac:dyDescent="0.2">
      <c r="A57" s="12">
        <v>910</v>
      </c>
      <c r="B57" s="10" t="s">
        <v>75</v>
      </c>
      <c r="C57" s="18">
        <v>3958</v>
      </c>
      <c r="D57" s="20">
        <v>3482.4</v>
      </c>
      <c r="E57" s="27">
        <f>F57-D57</f>
        <v>16280.1</v>
      </c>
      <c r="F57" s="37">
        <f>0.5*'Ausgangslage - Triage'!I11</f>
        <v>19762.5</v>
      </c>
      <c r="G57" s="20">
        <v>3000</v>
      </c>
      <c r="H57" s="33">
        <f t="shared" si="4"/>
        <v>6958</v>
      </c>
      <c r="I57" s="18">
        <v>6724.5</v>
      </c>
      <c r="J57" s="37">
        <f t="shared" si="6"/>
        <v>215780.5</v>
      </c>
      <c r="K57" s="20">
        <v>222505</v>
      </c>
      <c r="L57" s="20">
        <v>3000</v>
      </c>
      <c r="M57" s="33">
        <f t="shared" si="7"/>
        <v>9724.5</v>
      </c>
      <c r="N57" s="42">
        <f t="shared" si="8"/>
        <v>-2766.5</v>
      </c>
      <c r="O57" s="49">
        <f t="shared" si="9"/>
        <v>16280.1</v>
      </c>
      <c r="P57" s="105">
        <f t="shared" si="10"/>
        <v>15804.5</v>
      </c>
      <c r="R57" s="100">
        <f t="shared" si="11"/>
        <v>19762.5</v>
      </c>
      <c r="S57" s="100">
        <f t="shared" si="12"/>
        <v>22529</v>
      </c>
      <c r="T57" s="50">
        <f t="shared" si="13"/>
        <v>-2766.5</v>
      </c>
    </row>
    <row r="58" spans="1:22" x14ac:dyDescent="0.2">
      <c r="A58" s="12"/>
      <c r="B58" s="14" t="s">
        <v>12</v>
      </c>
      <c r="C58" s="43">
        <f>SUM(C47:C52,C54:C57)</f>
        <v>1401439.5</v>
      </c>
      <c r="D58" s="43">
        <f>SUM(D47:D52,D54:D57)</f>
        <v>1174398.25</v>
      </c>
      <c r="E58" s="43">
        <f t="shared" ref="E58:P58" si="16">SUM(E47:E52,E54:E57)</f>
        <v>701543.85</v>
      </c>
      <c r="F58" s="43">
        <f t="shared" si="16"/>
        <v>1875942.1</v>
      </c>
      <c r="G58" s="43">
        <f t="shared" si="16"/>
        <v>413750</v>
      </c>
      <c r="H58" s="43">
        <f t="shared" si="16"/>
        <v>1815189.5</v>
      </c>
      <c r="I58" s="43">
        <f t="shared" si="16"/>
        <v>1760420.0499999998</v>
      </c>
      <c r="J58" s="43">
        <f t="shared" si="16"/>
        <v>685567.1</v>
      </c>
      <c r="K58" s="43">
        <f t="shared" si="16"/>
        <v>2445987.15</v>
      </c>
      <c r="L58" s="43">
        <f t="shared" si="16"/>
        <v>456500</v>
      </c>
      <c r="M58" s="107">
        <f t="shared" si="16"/>
        <v>2216920.0499999998</v>
      </c>
      <c r="N58" s="42">
        <f t="shared" si="16"/>
        <v>-401730.55000000005</v>
      </c>
      <c r="O58" s="108">
        <f t="shared" si="16"/>
        <v>701543.85</v>
      </c>
      <c r="P58" s="109">
        <f t="shared" si="16"/>
        <v>517252.60000000003</v>
      </c>
      <c r="Q58" s="43"/>
      <c r="R58" s="110">
        <f t="shared" si="11"/>
        <v>1875942.1</v>
      </c>
      <c r="S58" s="110">
        <f t="shared" si="12"/>
        <v>2277672.65</v>
      </c>
      <c r="T58" s="58">
        <f t="shared" si="13"/>
        <v>-401730.54999999981</v>
      </c>
    </row>
    <row r="59" spans="1:22" x14ac:dyDescent="0.2">
      <c r="A59" s="12">
        <v>777</v>
      </c>
      <c r="B59" s="10" t="s">
        <v>78</v>
      </c>
      <c r="C59" s="47">
        <v>0</v>
      </c>
      <c r="D59" s="20">
        <v>1756</v>
      </c>
      <c r="E59" s="27">
        <f>F59-D59</f>
        <v>8244</v>
      </c>
      <c r="F59" s="20">
        <v>10000</v>
      </c>
      <c r="G59" s="20">
        <v>0</v>
      </c>
      <c r="H59" s="33">
        <f t="shared" si="4"/>
        <v>0</v>
      </c>
      <c r="I59" s="19">
        <v>0</v>
      </c>
      <c r="J59" s="37">
        <f t="shared" si="6"/>
        <v>0</v>
      </c>
      <c r="K59" s="20">
        <v>0</v>
      </c>
      <c r="L59" s="20">
        <v>0</v>
      </c>
      <c r="M59" s="33">
        <f t="shared" si="7"/>
        <v>0</v>
      </c>
      <c r="N59" s="42">
        <f t="shared" si="8"/>
        <v>0</v>
      </c>
      <c r="O59" s="49">
        <f t="shared" si="9"/>
        <v>8244</v>
      </c>
      <c r="P59" s="105">
        <f t="shared" si="10"/>
        <v>10000</v>
      </c>
      <c r="R59" s="100">
        <f t="shared" si="11"/>
        <v>10000</v>
      </c>
      <c r="S59" s="100">
        <f t="shared" si="12"/>
        <v>10000</v>
      </c>
      <c r="T59" s="50">
        <f t="shared" si="13"/>
        <v>0</v>
      </c>
    </row>
    <row r="60" spans="1:22" x14ac:dyDescent="0.2">
      <c r="A60" s="12">
        <v>900</v>
      </c>
      <c r="B60" s="10" t="s">
        <v>77</v>
      </c>
      <c r="C60" s="47">
        <v>0</v>
      </c>
      <c r="D60" s="20"/>
      <c r="E60" s="20"/>
      <c r="F60" s="20"/>
      <c r="G60" s="20"/>
      <c r="H60" s="99"/>
      <c r="I60" s="47">
        <v>16897.43</v>
      </c>
      <c r="J60" s="20">
        <f t="shared" si="6"/>
        <v>-275.70000000000073</v>
      </c>
      <c r="K60" s="20">
        <v>16621.73</v>
      </c>
      <c r="L60" s="20">
        <v>5000</v>
      </c>
      <c r="M60" s="33">
        <f t="shared" si="7"/>
        <v>21897.43</v>
      </c>
      <c r="N60" s="42">
        <f t="shared" si="8"/>
        <v>-21897.43</v>
      </c>
      <c r="O60" s="49">
        <f t="shared" si="9"/>
        <v>0</v>
      </c>
      <c r="P60" s="105">
        <f t="shared" si="10"/>
        <v>5000</v>
      </c>
      <c r="R60" s="100">
        <f t="shared" si="11"/>
        <v>0</v>
      </c>
      <c r="S60" s="100">
        <f t="shared" si="12"/>
        <v>21897.43</v>
      </c>
      <c r="T60" s="50">
        <f t="shared" si="13"/>
        <v>-21897.43</v>
      </c>
    </row>
    <row r="61" spans="1:22" x14ac:dyDescent="0.2">
      <c r="A61" s="12">
        <v>990</v>
      </c>
      <c r="B61" s="45" t="s">
        <v>76</v>
      </c>
      <c r="C61" s="18">
        <v>22811.5</v>
      </c>
      <c r="D61" s="20">
        <v>4837.5</v>
      </c>
      <c r="E61" s="20">
        <f t="shared" ref="E61" si="17">F61-D61</f>
        <v>15287.5</v>
      </c>
      <c r="F61" s="20">
        <v>20125</v>
      </c>
      <c r="G61" s="20">
        <v>10000</v>
      </c>
      <c r="H61" s="21">
        <f>C61+G61</f>
        <v>32811.5</v>
      </c>
      <c r="I61" s="18">
        <v>29231.75</v>
      </c>
      <c r="J61" s="20">
        <f t="shared" si="6"/>
        <v>-1772</v>
      </c>
      <c r="K61" s="20">
        <v>27459.75</v>
      </c>
      <c r="L61" s="37">
        <v>14200</v>
      </c>
      <c r="M61" s="33">
        <f t="shared" si="7"/>
        <v>43431.75</v>
      </c>
      <c r="N61" s="42">
        <f t="shared" si="8"/>
        <v>-10620.25</v>
      </c>
      <c r="O61" s="49">
        <f t="shared" si="9"/>
        <v>15287.5</v>
      </c>
      <c r="P61" s="105">
        <f t="shared" si="10"/>
        <v>1513.5</v>
      </c>
      <c r="R61" s="100">
        <f t="shared" si="11"/>
        <v>20125</v>
      </c>
      <c r="S61" s="100">
        <f t="shared" si="12"/>
        <v>30745.25</v>
      </c>
      <c r="T61" s="50">
        <f t="shared" si="13"/>
        <v>-10620.25</v>
      </c>
    </row>
    <row r="62" spans="1:22" ht="15.75" thickBot="1" x14ac:dyDescent="0.3">
      <c r="A62" s="16"/>
      <c r="B62" s="32" t="s">
        <v>5</v>
      </c>
      <c r="C62" s="34">
        <f>SUM(C58:C61)</f>
        <v>1424251</v>
      </c>
      <c r="D62" s="34">
        <f t="shared" ref="D62:T62" si="18">SUM(D58:D61)</f>
        <v>1180991.75</v>
      </c>
      <c r="E62" s="34">
        <f t="shared" si="18"/>
        <v>725075.35</v>
      </c>
      <c r="F62" s="34">
        <f t="shared" si="18"/>
        <v>1906067.1</v>
      </c>
      <c r="G62" s="34">
        <f t="shared" si="18"/>
        <v>423750</v>
      </c>
      <c r="H62" s="34">
        <f t="shared" si="18"/>
        <v>1848001</v>
      </c>
      <c r="I62" s="34">
        <f t="shared" si="18"/>
        <v>1806549.2299999997</v>
      </c>
      <c r="J62" s="34">
        <f t="shared" si="18"/>
        <v>683519.4</v>
      </c>
      <c r="K62" s="34">
        <f t="shared" si="18"/>
        <v>2490068.63</v>
      </c>
      <c r="L62" s="34">
        <f t="shared" si="18"/>
        <v>475700</v>
      </c>
      <c r="M62" s="34">
        <f t="shared" si="18"/>
        <v>2282249.23</v>
      </c>
      <c r="N62" s="34">
        <f t="shared" si="18"/>
        <v>-434248.23000000004</v>
      </c>
      <c r="O62" s="34">
        <f t="shared" si="18"/>
        <v>725075.35</v>
      </c>
      <c r="P62" s="34">
        <f t="shared" si="18"/>
        <v>533766.10000000009</v>
      </c>
      <c r="R62" s="34">
        <f t="shared" si="18"/>
        <v>1906067.1</v>
      </c>
      <c r="S62" s="34">
        <f t="shared" si="18"/>
        <v>2340315.33</v>
      </c>
      <c r="T62" s="34">
        <f t="shared" si="18"/>
        <v>-434248.22999999981</v>
      </c>
    </row>
    <row r="63" spans="1:22" x14ac:dyDescent="0.2">
      <c r="C63" s="30"/>
      <c r="D63" s="4"/>
      <c r="E63" s="4"/>
      <c r="F63" s="4"/>
      <c r="G63" s="4"/>
      <c r="H63" s="4"/>
      <c r="I63" s="4"/>
      <c r="J63" s="4"/>
      <c r="K63" s="147">
        <f>K62/H62</f>
        <v>1.3474390057148238</v>
      </c>
      <c r="L63" s="4"/>
      <c r="M63" s="4"/>
      <c r="N63" s="4"/>
      <c r="S63" s="148">
        <f>S62/R62</f>
        <v>1.2278242093365968</v>
      </c>
      <c r="T63" s="5"/>
      <c r="U63" s="5"/>
    </row>
    <row r="64" spans="1:22" x14ac:dyDescent="0.2">
      <c r="B64" s="28" t="s">
        <v>34</v>
      </c>
      <c r="C64" s="2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R64" s="54" t="s">
        <v>40</v>
      </c>
      <c r="S64" s="51"/>
      <c r="T64" s="119"/>
      <c r="U64" s="53" t="s">
        <v>25</v>
      </c>
    </row>
    <row r="65" spans="2:14" x14ac:dyDescent="0.2">
      <c r="B65" s="35" t="s">
        <v>16</v>
      </c>
      <c r="C65" s="36"/>
      <c r="D65" s="36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2">
      <c r="B66" t="s">
        <v>20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8" spans="2:14" x14ac:dyDescent="0.2">
      <c r="G68" s="114">
        <f>G47/C47</f>
        <v>0.74969262602333042</v>
      </c>
      <c r="K68">
        <f>K47/F47</f>
        <v>1.2279928934751394</v>
      </c>
    </row>
    <row r="69" spans="2:14" x14ac:dyDescent="0.2">
      <c r="G69" s="114"/>
      <c r="K69">
        <f>K48/F48</f>
        <v>1.2363714095387706</v>
      </c>
    </row>
    <row r="70" spans="2:14" x14ac:dyDescent="0.2">
      <c r="G70" s="114">
        <f>G49/C49</f>
        <v>0.56447719414601794</v>
      </c>
      <c r="K70">
        <f t="shared" ref="K70:K73" si="19">K49/F49</f>
        <v>1.1475293710587919</v>
      </c>
    </row>
    <row r="71" spans="2:14" x14ac:dyDescent="0.2">
      <c r="G71" s="114">
        <f>G50/C50</f>
        <v>0</v>
      </c>
      <c r="K71">
        <f t="shared" si="19"/>
        <v>1.1748056340351818</v>
      </c>
    </row>
    <row r="72" spans="2:14" x14ac:dyDescent="0.2">
      <c r="G72" s="114"/>
      <c r="K72" t="e">
        <f t="shared" si="19"/>
        <v>#DIV/0!</v>
      </c>
    </row>
    <row r="73" spans="2:14" x14ac:dyDescent="0.2">
      <c r="G73" s="114"/>
      <c r="K73">
        <f t="shared" si="19"/>
        <v>1.25</v>
      </c>
    </row>
    <row r="74" spans="2:14" x14ac:dyDescent="0.2">
      <c r="G74" s="114"/>
      <c r="K74" t="e">
        <f t="shared" ref="K74:K78" si="20">K54/F54</f>
        <v>#DIV/0!</v>
      </c>
    </row>
    <row r="75" spans="2:14" x14ac:dyDescent="0.2">
      <c r="G75" s="114"/>
      <c r="K75">
        <f t="shared" si="20"/>
        <v>1.2593706956894799</v>
      </c>
    </row>
    <row r="76" spans="2:14" x14ac:dyDescent="0.2">
      <c r="G76" s="114">
        <f t="shared" ref="G76:G78" si="21">G57/C57</f>
        <v>0.75795856493178371</v>
      </c>
      <c r="K76">
        <f t="shared" si="20"/>
        <v>1.2614724594562287E-2</v>
      </c>
    </row>
    <row r="77" spans="2:14" x14ac:dyDescent="0.2">
      <c r="G77" s="114">
        <f t="shared" si="21"/>
        <v>0.29523215236904626</v>
      </c>
      <c r="K77">
        <f t="shared" si="20"/>
        <v>11.258950031625554</v>
      </c>
    </row>
    <row r="78" spans="2:14" x14ac:dyDescent="0.2">
      <c r="G78" s="114" t="e">
        <f t="shared" si="21"/>
        <v>#DIV/0!</v>
      </c>
      <c r="K78">
        <f t="shared" si="20"/>
        <v>1.3038713454962174</v>
      </c>
    </row>
  </sheetData>
  <mergeCells count="11">
    <mergeCell ref="R41:T41"/>
    <mergeCell ref="C42:H42"/>
    <mergeCell ref="I42:M42"/>
    <mergeCell ref="R42:T42"/>
    <mergeCell ref="J44:K44"/>
    <mergeCell ref="R10:T10"/>
    <mergeCell ref="C6:D6"/>
    <mergeCell ref="E6:I6"/>
    <mergeCell ref="J6:K6"/>
    <mergeCell ref="L6:M6"/>
    <mergeCell ref="N6:P6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79"/>
  <sheetViews>
    <sheetView topLeftCell="A28" zoomScaleNormal="100" workbookViewId="0">
      <selection activeCell="F52" sqref="F52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10.28515625" bestFit="1" customWidth="1"/>
    <col min="6" max="6" width="8.85546875" customWidth="1"/>
    <col min="7" max="7" width="8.5703125" customWidth="1"/>
    <col min="8" max="8" width="8.85546875" customWidth="1"/>
    <col min="9" max="10" width="8.7109375" customWidth="1"/>
    <col min="11" max="11" width="9.140625" customWidth="1"/>
    <col min="12" max="12" width="9" customWidth="1"/>
    <col min="13" max="13" width="8.85546875" customWidth="1"/>
    <col min="15" max="16" width="12.28515625" bestFit="1" customWidth="1"/>
    <col min="17" max="17" width="3.7109375" customWidth="1"/>
    <col min="23" max="23" width="24.85546875" bestFit="1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113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249" t="s">
        <v>42</v>
      </c>
      <c r="D6" s="249"/>
      <c r="E6" s="249" t="s">
        <v>43</v>
      </c>
      <c r="F6" s="249"/>
      <c r="G6" s="249"/>
      <c r="H6" s="249"/>
      <c r="I6" s="249"/>
      <c r="J6" s="250" t="s">
        <v>73</v>
      </c>
      <c r="K6" s="251"/>
      <c r="L6" s="250" t="s">
        <v>74</v>
      </c>
      <c r="M6" s="251"/>
      <c r="N6" s="249" t="s">
        <v>97</v>
      </c>
      <c r="O6" s="249"/>
      <c r="P6" s="249"/>
      <c r="Q6" s="76"/>
      <c r="R6" s="76"/>
    </row>
    <row r="7" spans="1:20" x14ac:dyDescent="0.2">
      <c r="A7" s="143" t="s">
        <v>0</v>
      </c>
      <c r="B7" s="143" t="s">
        <v>1</v>
      </c>
      <c r="C7" s="143" t="s">
        <v>5</v>
      </c>
      <c r="D7" s="143" t="s">
        <v>66</v>
      </c>
      <c r="E7" s="143" t="s">
        <v>5</v>
      </c>
      <c r="F7" s="143" t="s">
        <v>66</v>
      </c>
      <c r="G7" s="143" t="s">
        <v>87</v>
      </c>
      <c r="H7" s="143" t="s">
        <v>88</v>
      </c>
      <c r="I7" s="143" t="s">
        <v>89</v>
      </c>
      <c r="J7" s="143" t="s">
        <v>5</v>
      </c>
      <c r="K7" s="143" t="s">
        <v>87</v>
      </c>
      <c r="L7" s="143" t="s">
        <v>5</v>
      </c>
      <c r="M7" s="143" t="s">
        <v>66</v>
      </c>
      <c r="N7" s="143" t="s">
        <v>5</v>
      </c>
      <c r="O7" s="143" t="s">
        <v>66</v>
      </c>
      <c r="P7" s="143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145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143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248" t="s">
        <v>102</v>
      </c>
      <c r="S10" s="248"/>
      <c r="T10" s="248"/>
    </row>
    <row r="11" spans="1:20" x14ac:dyDescent="0.2">
      <c r="A11" s="81">
        <v>500</v>
      </c>
      <c r="B11" s="143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143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143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143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143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143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143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143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143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143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143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154">
        <f>N27-P27</f>
        <v>1875942.1</v>
      </c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53">
        <f>O28/N27</f>
        <v>0.51146822261774383</v>
      </c>
      <c r="P29" s="153">
        <f>P27/N27</f>
        <v>0.48853177738225617</v>
      </c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 t="s">
        <v>119</v>
      </c>
      <c r="N30" s="4">
        <v>3900000</v>
      </c>
      <c r="O30" s="155">
        <f>N30*O29</f>
        <v>1994726.0682092009</v>
      </c>
      <c r="P30" s="155">
        <f>P29*N30</f>
        <v>1905273.9317907991</v>
      </c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 t="s">
        <v>120</v>
      </c>
      <c r="N31" s="4">
        <v>4073000</v>
      </c>
      <c r="O31" s="155">
        <f>N31*O29</f>
        <v>2083210.0707220705</v>
      </c>
      <c r="P31" s="155">
        <f>P29*N31</f>
        <v>1989789.9292779295</v>
      </c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4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  <c r="O33" s="73">
        <f>O30-O28</f>
        <v>118783.96820920077</v>
      </c>
    </row>
    <row r="34" spans="1:24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  <c r="O34" s="73">
        <f>O31-O28</f>
        <v>207267.97072207043</v>
      </c>
    </row>
    <row r="35" spans="1:24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4" x14ac:dyDescent="0.2">
      <c r="A37" s="28" t="s">
        <v>114</v>
      </c>
      <c r="B37" s="28"/>
      <c r="C37" s="28"/>
      <c r="D37" s="28"/>
      <c r="E37" s="28"/>
      <c r="F37" s="28"/>
      <c r="G37" s="28"/>
      <c r="H37" s="28"/>
      <c r="I37" s="28"/>
      <c r="L37" s="63">
        <f t="shared" ref="L37:L39" si="4">L47/G47</f>
        <v>1.3157894736842106</v>
      </c>
    </row>
    <row r="38" spans="1:24" x14ac:dyDescent="0.2">
      <c r="L38" s="63" t="e">
        <f t="shared" si="4"/>
        <v>#DIV/0!</v>
      </c>
    </row>
    <row r="39" spans="1:24" x14ac:dyDescent="0.2">
      <c r="L39" s="63">
        <f t="shared" si="4"/>
        <v>1.2345679012345678</v>
      </c>
    </row>
    <row r="40" spans="1:24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>
        <f>L50/G50</f>
        <v>1.1976047904191616</v>
      </c>
      <c r="M40" s="63"/>
      <c r="N40" s="63"/>
      <c r="O40" s="63"/>
      <c r="W40" t="s">
        <v>116</v>
      </c>
    </row>
    <row r="41" spans="1:24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241" t="s">
        <v>24</v>
      </c>
      <c r="S41" s="241"/>
      <c r="T41" s="241"/>
    </row>
    <row r="42" spans="1:24" x14ac:dyDescent="0.2">
      <c r="A42" s="15" t="s">
        <v>0</v>
      </c>
      <c r="B42" s="31" t="s">
        <v>1</v>
      </c>
      <c r="C42" s="242" t="s">
        <v>2</v>
      </c>
      <c r="D42" s="243"/>
      <c r="E42" s="243"/>
      <c r="F42" s="243"/>
      <c r="G42" s="243"/>
      <c r="H42" s="244"/>
      <c r="I42" s="245" t="s">
        <v>11</v>
      </c>
      <c r="J42" s="243"/>
      <c r="K42" s="243"/>
      <c r="L42" s="243"/>
      <c r="M42" s="244"/>
      <c r="N42" s="38" t="s">
        <v>10</v>
      </c>
      <c r="O42" s="38" t="s">
        <v>2</v>
      </c>
      <c r="P42" s="102" t="s">
        <v>11</v>
      </c>
      <c r="R42" s="241" t="s">
        <v>5</v>
      </c>
      <c r="S42" s="241"/>
      <c r="T42" s="241"/>
    </row>
    <row r="43" spans="1:24" ht="13.5" x14ac:dyDescent="0.25">
      <c r="A43" s="11"/>
      <c r="B43" s="9"/>
      <c r="C43" s="46" t="s">
        <v>32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39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143" t="s">
        <v>36</v>
      </c>
      <c r="S43" s="143" t="s">
        <v>37</v>
      </c>
      <c r="T43" s="5"/>
    </row>
    <row r="44" spans="1:24" ht="13.5" x14ac:dyDescent="0.25">
      <c r="A44" s="11"/>
      <c r="B44" s="9"/>
      <c r="C44" s="22" t="s">
        <v>112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246" t="s">
        <v>17</v>
      </c>
      <c r="K44" s="247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  <c r="W44" t="s">
        <v>117</v>
      </c>
      <c r="X44" t="s">
        <v>118</v>
      </c>
    </row>
    <row r="45" spans="1:24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44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143" t="s">
        <v>38</v>
      </c>
      <c r="S45" s="143" t="s">
        <v>22</v>
      </c>
      <c r="T45" s="143" t="s">
        <v>23</v>
      </c>
    </row>
    <row r="46" spans="1:24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4" x14ac:dyDescent="0.2">
      <c r="A47" s="12">
        <v>100</v>
      </c>
      <c r="B47" s="10" t="s">
        <v>101</v>
      </c>
      <c r="C47" s="18">
        <v>53408</v>
      </c>
      <c r="D47" s="18">
        <v>35970</v>
      </c>
      <c r="E47" s="27">
        <f>F47-D47</f>
        <v>17438</v>
      </c>
      <c r="F47" s="37">
        <v>53408</v>
      </c>
      <c r="G47" s="20">
        <v>7600</v>
      </c>
      <c r="H47" s="33">
        <f t="shared" ref="H47:H60" si="5">C47+G47</f>
        <v>61008</v>
      </c>
      <c r="I47" s="18">
        <v>52930</v>
      </c>
      <c r="J47" s="37">
        <f>K47-I47</f>
        <v>12664</v>
      </c>
      <c r="K47" s="20">
        <v>65594</v>
      </c>
      <c r="L47" s="37">
        <v>10000</v>
      </c>
      <c r="M47" s="33">
        <f>I47+L47</f>
        <v>62930</v>
      </c>
      <c r="N47" s="42">
        <f>H47-M47</f>
        <v>-1922</v>
      </c>
      <c r="O47" s="49">
        <f>F47-D47</f>
        <v>17438</v>
      </c>
      <c r="P47" s="105">
        <f>F47-N47-I47</f>
        <v>2400</v>
      </c>
      <c r="R47" s="100">
        <f>F47</f>
        <v>53408</v>
      </c>
      <c r="S47" s="100">
        <f>P47+I47</f>
        <v>55330</v>
      </c>
      <c r="T47" s="50">
        <f>R47-S47</f>
        <v>-1922</v>
      </c>
      <c r="W47">
        <v>6000</v>
      </c>
    </row>
    <row r="48" spans="1:24" x14ac:dyDescent="0.2">
      <c r="A48" s="12">
        <v>200</v>
      </c>
      <c r="B48" s="10" t="s">
        <v>42</v>
      </c>
      <c r="C48" s="18">
        <v>603751</v>
      </c>
      <c r="D48" s="18">
        <v>603751</v>
      </c>
      <c r="E48" s="27">
        <f t="shared" ref="E48:E57" si="6">F48-D48</f>
        <v>-277</v>
      </c>
      <c r="F48" s="37">
        <f>D9-D11</f>
        <v>603474</v>
      </c>
      <c r="G48" s="20">
        <v>0</v>
      </c>
      <c r="H48" s="33">
        <f t="shared" si="5"/>
        <v>603751</v>
      </c>
      <c r="I48" s="18">
        <v>746118.75</v>
      </c>
      <c r="J48" s="37">
        <f t="shared" ref="J48:J62" si="7">K48-I48</f>
        <v>-0.75</v>
      </c>
      <c r="K48" s="20">
        <v>746118</v>
      </c>
      <c r="L48" s="37">
        <v>0</v>
      </c>
      <c r="M48" s="33">
        <f t="shared" ref="M48:M62" si="8">I48+L48</f>
        <v>746118.75</v>
      </c>
      <c r="N48" s="42">
        <f t="shared" ref="N48:N62" si="9">H48-M48</f>
        <v>-142367.75</v>
      </c>
      <c r="O48" s="49">
        <f t="shared" ref="O48:O62" si="10">F48-D48</f>
        <v>-277</v>
      </c>
      <c r="P48" s="105">
        <f t="shared" ref="P48:P62" si="11">F48-N48-I48</f>
        <v>-277</v>
      </c>
      <c r="R48" s="100">
        <f t="shared" ref="R48:R62" si="12">F48</f>
        <v>603474</v>
      </c>
      <c r="S48" s="100">
        <f t="shared" ref="S48:S62" si="13">P48+I48</f>
        <v>745841.75</v>
      </c>
      <c r="T48" s="50">
        <f t="shared" ref="T48:T62" si="14">R48-S48</f>
        <v>-142367.75</v>
      </c>
    </row>
    <row r="49" spans="1:23" x14ac:dyDescent="0.2">
      <c r="A49" s="12">
        <v>310</v>
      </c>
      <c r="B49" s="143" t="s">
        <v>69</v>
      </c>
      <c r="C49" s="18">
        <v>272688</v>
      </c>
      <c r="D49" s="18">
        <v>212821</v>
      </c>
      <c r="E49" s="27">
        <f t="shared" si="6"/>
        <v>59867</v>
      </c>
      <c r="F49" s="37">
        <v>272688</v>
      </c>
      <c r="G49" s="20">
        <v>40500</v>
      </c>
      <c r="H49" s="33">
        <f>C49+G49</f>
        <v>313188</v>
      </c>
      <c r="I49" s="18">
        <v>309715</v>
      </c>
      <c r="J49" s="37">
        <f t="shared" si="7"/>
        <v>3203</v>
      </c>
      <c r="K49" s="20">
        <v>312918</v>
      </c>
      <c r="L49" s="37">
        <v>50000</v>
      </c>
      <c r="M49" s="33">
        <f>I49+L49</f>
        <v>359715</v>
      </c>
      <c r="N49" s="42">
        <f t="shared" si="9"/>
        <v>-46527</v>
      </c>
      <c r="O49" s="49">
        <f t="shared" si="10"/>
        <v>59867</v>
      </c>
      <c r="P49" s="105">
        <f>F49-N49-I49</f>
        <v>9500</v>
      </c>
      <c r="R49" s="100">
        <f t="shared" si="12"/>
        <v>272688</v>
      </c>
      <c r="S49" s="100">
        <f t="shared" si="13"/>
        <v>319215</v>
      </c>
      <c r="T49" s="50">
        <f t="shared" si="14"/>
        <v>-46527</v>
      </c>
      <c r="W49">
        <v>50000</v>
      </c>
    </row>
    <row r="50" spans="1:23" x14ac:dyDescent="0.2">
      <c r="A50" s="12">
        <v>320</v>
      </c>
      <c r="B50" s="143" t="s">
        <v>70</v>
      </c>
      <c r="C50" s="18">
        <v>319454</v>
      </c>
      <c r="D50" s="18">
        <v>248032</v>
      </c>
      <c r="E50" s="27">
        <f>F50-D50</f>
        <v>71422</v>
      </c>
      <c r="F50" s="37">
        <v>319454</v>
      </c>
      <c r="G50" s="20">
        <v>16700</v>
      </c>
      <c r="H50" s="33">
        <f t="shared" si="5"/>
        <v>336154</v>
      </c>
      <c r="I50" s="18">
        <v>335979</v>
      </c>
      <c r="J50" s="37">
        <f t="shared" si="7"/>
        <v>28308</v>
      </c>
      <c r="K50" s="20">
        <v>364287</v>
      </c>
      <c r="L50" s="37">
        <v>20000</v>
      </c>
      <c r="M50" s="33">
        <f t="shared" si="8"/>
        <v>355979</v>
      </c>
      <c r="N50" s="42">
        <f t="shared" si="9"/>
        <v>-19825</v>
      </c>
      <c r="O50" s="49">
        <f>F50-D50</f>
        <v>71422</v>
      </c>
      <c r="P50" s="105">
        <f>F50-N50-I50</f>
        <v>3300</v>
      </c>
      <c r="R50" s="100">
        <f t="shared" si="12"/>
        <v>319454</v>
      </c>
      <c r="S50" s="100">
        <f t="shared" si="13"/>
        <v>339279</v>
      </c>
      <c r="T50" s="50">
        <f t="shared" si="14"/>
        <v>-19825</v>
      </c>
      <c r="U50">
        <v>284806</v>
      </c>
      <c r="V50" s="56">
        <f>S50-U50</f>
        <v>54473</v>
      </c>
      <c r="W50">
        <v>2000</v>
      </c>
    </row>
    <row r="51" spans="1:23" x14ac:dyDescent="0.2">
      <c r="A51" s="12">
        <v>330</v>
      </c>
      <c r="B51" s="143" t="s">
        <v>71</v>
      </c>
      <c r="C51" s="18"/>
      <c r="D51" s="18"/>
      <c r="E51" s="27">
        <f t="shared" si="6"/>
        <v>0</v>
      </c>
      <c r="F51" s="37">
        <f>F21</f>
        <v>0</v>
      </c>
      <c r="G51" s="20"/>
      <c r="H51" s="33">
        <f t="shared" si="5"/>
        <v>0</v>
      </c>
      <c r="I51" s="18"/>
      <c r="J51" s="37">
        <f t="shared" si="7"/>
        <v>0</v>
      </c>
      <c r="K51" s="20"/>
      <c r="L51" s="37"/>
      <c r="M51" s="33">
        <f t="shared" si="8"/>
        <v>0</v>
      </c>
      <c r="N51" s="42">
        <f t="shared" si="9"/>
        <v>0</v>
      </c>
      <c r="O51" s="49">
        <f t="shared" si="10"/>
        <v>0</v>
      </c>
      <c r="P51" s="105">
        <f t="shared" si="11"/>
        <v>0</v>
      </c>
      <c r="R51" s="100">
        <f t="shared" si="12"/>
        <v>0</v>
      </c>
      <c r="S51" s="100">
        <f t="shared" si="13"/>
        <v>0</v>
      </c>
      <c r="T51" s="50">
        <f t="shared" si="14"/>
        <v>0</v>
      </c>
    </row>
    <row r="52" spans="1:23" x14ac:dyDescent="0.2">
      <c r="A52" s="12">
        <v>420</v>
      </c>
      <c r="B52" s="130" t="s">
        <v>74</v>
      </c>
      <c r="C52" s="131">
        <v>200000</v>
      </c>
      <c r="D52" s="131">
        <v>211015</v>
      </c>
      <c r="E52" s="133">
        <f>F52-D52</f>
        <v>188985</v>
      </c>
      <c r="F52" s="134">
        <f>M25</f>
        <v>400000</v>
      </c>
      <c r="G52" s="132">
        <v>66000</v>
      </c>
      <c r="H52" s="135">
        <f>C52+G52</f>
        <v>266000</v>
      </c>
      <c r="I52" s="131">
        <v>342537</v>
      </c>
      <c r="J52" s="134">
        <f t="shared" si="7"/>
        <v>-99317</v>
      </c>
      <c r="K52" s="132">
        <v>243220</v>
      </c>
      <c r="L52" s="134">
        <v>80000</v>
      </c>
      <c r="M52" s="135">
        <f>I52+L52</f>
        <v>422537</v>
      </c>
      <c r="N52" s="137">
        <f t="shared" si="9"/>
        <v>-156537</v>
      </c>
      <c r="O52" s="138">
        <f>F52-D52</f>
        <v>188985</v>
      </c>
      <c r="P52" s="139">
        <f>F52-N52-I52</f>
        <v>214000</v>
      </c>
      <c r="Q52" s="140"/>
      <c r="R52" s="141">
        <f>F52</f>
        <v>400000</v>
      </c>
      <c r="S52" s="141">
        <f>P52+I52</f>
        <v>556537</v>
      </c>
      <c r="T52" s="142">
        <f>R52-S52</f>
        <v>-156537</v>
      </c>
      <c r="W52">
        <v>70000</v>
      </c>
    </row>
    <row r="53" spans="1:23" x14ac:dyDescent="0.2">
      <c r="A53" s="12"/>
      <c r="B53" s="143" t="s">
        <v>74</v>
      </c>
      <c r="C53" s="18">
        <f>C52</f>
        <v>200000</v>
      </c>
      <c r="D53" s="146">
        <f>D52/2</f>
        <v>105507.5</v>
      </c>
      <c r="E53" s="27">
        <f t="shared" ref="E53:F53" si="15">E52/2</f>
        <v>94492.5</v>
      </c>
      <c r="F53" s="37">
        <f t="shared" si="15"/>
        <v>200000</v>
      </c>
      <c r="G53" s="20">
        <f>G52/2</f>
        <v>33000</v>
      </c>
      <c r="H53" s="123">
        <f t="shared" si="5"/>
        <v>233000</v>
      </c>
      <c r="I53" s="18">
        <f>I52</f>
        <v>342537</v>
      </c>
      <c r="J53" s="37">
        <f t="shared" ref="J53" si="16">J52/2</f>
        <v>-49658.5</v>
      </c>
      <c r="K53" s="20">
        <f>K52/2.0558</f>
        <v>118309.17404416771</v>
      </c>
      <c r="L53" s="37">
        <v>0</v>
      </c>
      <c r="M53" s="123">
        <f t="shared" si="8"/>
        <v>342537</v>
      </c>
      <c r="N53" s="125">
        <f t="shared" si="9"/>
        <v>-109537</v>
      </c>
      <c r="O53" s="126">
        <f>F53-D53</f>
        <v>94492.5</v>
      </c>
      <c r="P53" s="127">
        <f>F53-N53-I53</f>
        <v>-33000</v>
      </c>
      <c r="R53" s="128">
        <f>F53</f>
        <v>200000</v>
      </c>
      <c r="S53" s="128">
        <f>P53+I53</f>
        <v>309537</v>
      </c>
      <c r="T53" s="129">
        <f>R53-S53</f>
        <v>-109537</v>
      </c>
    </row>
    <row r="54" spans="1:23" x14ac:dyDescent="0.2">
      <c r="A54" s="12">
        <v>425</v>
      </c>
      <c r="B54" s="143" t="s">
        <v>72</v>
      </c>
      <c r="C54" s="18"/>
      <c r="D54" s="20">
        <v>0</v>
      </c>
      <c r="E54" s="27"/>
      <c r="F54" s="37"/>
      <c r="G54" s="20"/>
      <c r="H54" s="33">
        <f t="shared" si="5"/>
        <v>0</v>
      </c>
      <c r="I54" s="18"/>
      <c r="J54" s="37"/>
      <c r="K54" s="20"/>
      <c r="L54" s="37"/>
      <c r="M54" s="33">
        <f t="shared" si="8"/>
        <v>0</v>
      </c>
      <c r="N54" s="42">
        <f t="shared" si="9"/>
        <v>0</v>
      </c>
      <c r="O54" s="49">
        <f>F54-D54</f>
        <v>0</v>
      </c>
      <c r="P54" s="105">
        <f>F54-N54-I54</f>
        <v>0</v>
      </c>
      <c r="R54" s="100"/>
      <c r="S54" s="100"/>
      <c r="T54" s="50">
        <f>R54-S54</f>
        <v>0</v>
      </c>
    </row>
    <row r="55" spans="1:23" x14ac:dyDescent="0.2">
      <c r="A55" s="12">
        <v>430</v>
      </c>
      <c r="B55" s="143" t="s">
        <v>115</v>
      </c>
      <c r="C55" s="18"/>
      <c r="D55" s="20"/>
      <c r="E55" s="27"/>
      <c r="F55" s="37"/>
      <c r="G55" s="20"/>
      <c r="H55" s="33"/>
      <c r="I55" s="18"/>
      <c r="J55" s="37"/>
      <c r="K55" s="20"/>
      <c r="L55" s="37"/>
      <c r="M55" s="33"/>
      <c r="N55" s="42"/>
      <c r="O55" s="49"/>
      <c r="P55" s="105"/>
      <c r="R55" s="100"/>
      <c r="S55" s="100"/>
      <c r="T55" s="50"/>
    </row>
    <row r="56" spans="1:23" x14ac:dyDescent="0.2">
      <c r="A56" s="12">
        <v>500</v>
      </c>
      <c r="B56" s="143" t="s">
        <v>81</v>
      </c>
      <c r="C56" s="18">
        <v>177053</v>
      </c>
      <c r="D56" s="20">
        <v>177052.75</v>
      </c>
      <c r="E56" s="27">
        <f t="shared" si="6"/>
        <v>95.25</v>
      </c>
      <c r="F56" s="37">
        <f>D11</f>
        <v>177148</v>
      </c>
      <c r="G56" s="20">
        <v>0</v>
      </c>
      <c r="H56" s="33">
        <f t="shared" si="5"/>
        <v>177053</v>
      </c>
      <c r="I56" s="18">
        <v>223095</v>
      </c>
      <c r="J56" s="37">
        <f t="shared" si="7"/>
        <v>0</v>
      </c>
      <c r="K56" s="20">
        <v>223095</v>
      </c>
      <c r="L56" s="37">
        <v>0</v>
      </c>
      <c r="M56" s="33">
        <f t="shared" si="8"/>
        <v>223095</v>
      </c>
      <c r="N56" s="42">
        <f t="shared" si="9"/>
        <v>-46042</v>
      </c>
      <c r="O56" s="49">
        <f t="shared" si="10"/>
        <v>95.25</v>
      </c>
      <c r="P56" s="105">
        <f t="shared" si="11"/>
        <v>95</v>
      </c>
      <c r="R56" s="100">
        <f t="shared" si="12"/>
        <v>177148</v>
      </c>
      <c r="S56" s="100">
        <f t="shared" si="13"/>
        <v>223190</v>
      </c>
      <c r="T56" s="50">
        <f t="shared" si="14"/>
        <v>-46042</v>
      </c>
    </row>
    <row r="57" spans="1:23" x14ac:dyDescent="0.2">
      <c r="A57" s="12">
        <v>500</v>
      </c>
      <c r="B57" s="10" t="s">
        <v>100</v>
      </c>
      <c r="C57" s="18">
        <v>288.77999999999997</v>
      </c>
      <c r="D57" s="20">
        <v>30115.599999999999</v>
      </c>
      <c r="E57" s="27">
        <f t="shared" si="6"/>
        <v>0</v>
      </c>
      <c r="F57" s="37">
        <f>'Ausgangslage - Triage'!B16+'Ausgangslage - Triage'!B24</f>
        <v>30115.599999999999</v>
      </c>
      <c r="G57" s="20">
        <v>0</v>
      </c>
      <c r="H57" s="33">
        <f t="shared" si="5"/>
        <v>288.77999999999997</v>
      </c>
      <c r="I57" s="18">
        <v>379.9</v>
      </c>
      <c r="J57" s="37">
        <f>K57-I57</f>
        <v>0</v>
      </c>
      <c r="K57" s="20">
        <v>379.9</v>
      </c>
      <c r="L57" s="20">
        <v>0</v>
      </c>
      <c r="M57" s="33">
        <f t="shared" si="8"/>
        <v>379.9</v>
      </c>
      <c r="N57" s="42">
        <f t="shared" si="9"/>
        <v>-91.12</v>
      </c>
      <c r="O57" s="49">
        <f t="shared" si="10"/>
        <v>0</v>
      </c>
      <c r="P57" s="105">
        <f t="shared" si="11"/>
        <v>29826.819999999996</v>
      </c>
      <c r="R57" s="100">
        <f t="shared" si="12"/>
        <v>30115.599999999999</v>
      </c>
      <c r="S57" s="100">
        <f t="shared" si="13"/>
        <v>30206.719999999998</v>
      </c>
      <c r="T57" s="50">
        <f t="shared" si="14"/>
        <v>-91.119999999998981</v>
      </c>
    </row>
    <row r="58" spans="1:23" x14ac:dyDescent="0.2">
      <c r="A58" s="12">
        <v>910</v>
      </c>
      <c r="B58" s="10" t="s">
        <v>75</v>
      </c>
      <c r="C58" s="18">
        <v>19763</v>
      </c>
      <c r="D58" s="20">
        <v>3482.4</v>
      </c>
      <c r="E58" s="27">
        <f>F58-D58</f>
        <v>16280.1</v>
      </c>
      <c r="F58" s="37">
        <f>0.5*'Ausgangslage - Triage'!I11</f>
        <v>19762.5</v>
      </c>
      <c r="G58" s="20">
        <v>3000</v>
      </c>
      <c r="H58" s="33">
        <f t="shared" si="5"/>
        <v>22763</v>
      </c>
      <c r="I58" s="18">
        <v>6724.5</v>
      </c>
      <c r="J58" s="37">
        <f t="shared" si="7"/>
        <v>15780.5</v>
      </c>
      <c r="K58" s="20">
        <v>22505</v>
      </c>
      <c r="L58" s="20">
        <v>3000</v>
      </c>
      <c r="M58" s="33">
        <f t="shared" si="8"/>
        <v>9724.5</v>
      </c>
      <c r="N58" s="42">
        <f t="shared" si="9"/>
        <v>13038.5</v>
      </c>
      <c r="O58" s="49">
        <f t="shared" si="10"/>
        <v>16280.1</v>
      </c>
      <c r="P58" s="105">
        <f t="shared" si="11"/>
        <v>-0.5</v>
      </c>
      <c r="R58" s="100">
        <f t="shared" si="12"/>
        <v>19762.5</v>
      </c>
      <c r="S58" s="100">
        <f t="shared" si="13"/>
        <v>6724</v>
      </c>
      <c r="T58" s="50">
        <f t="shared" si="14"/>
        <v>13038.5</v>
      </c>
    </row>
    <row r="59" spans="1:23" x14ac:dyDescent="0.2">
      <c r="A59" s="12"/>
      <c r="B59" s="14" t="s">
        <v>12</v>
      </c>
      <c r="C59" s="43">
        <f>SUM(C47:C52,C54:C58)</f>
        <v>1646405.78</v>
      </c>
      <c r="D59" s="43">
        <f>SUM(D47:D52,D54:D58)</f>
        <v>1522239.75</v>
      </c>
      <c r="E59" s="43">
        <f t="shared" ref="E59:P59" si="17">SUM(E47:E52,E54:E58)</f>
        <v>353810.35</v>
      </c>
      <c r="F59" s="43">
        <f t="shared" si="17"/>
        <v>1876050.1</v>
      </c>
      <c r="G59" s="43">
        <f t="shared" si="17"/>
        <v>133800</v>
      </c>
      <c r="H59" s="43">
        <f t="shared" si="17"/>
        <v>1780205.78</v>
      </c>
      <c r="I59" s="43">
        <f t="shared" si="17"/>
        <v>2017479.15</v>
      </c>
      <c r="J59" s="43">
        <f t="shared" si="17"/>
        <v>-39362.25</v>
      </c>
      <c r="K59" s="43">
        <f t="shared" si="17"/>
        <v>1978116.9</v>
      </c>
      <c r="L59" s="43">
        <f t="shared" si="17"/>
        <v>163000</v>
      </c>
      <c r="M59" s="107">
        <f t="shared" si="17"/>
        <v>2180479.15</v>
      </c>
      <c r="N59" s="42">
        <f t="shared" si="17"/>
        <v>-400273.37</v>
      </c>
      <c r="O59" s="108">
        <f t="shared" si="17"/>
        <v>353810.35</v>
      </c>
      <c r="P59" s="109">
        <f t="shared" si="17"/>
        <v>258844.32</v>
      </c>
      <c r="Q59" s="43"/>
      <c r="R59" s="110">
        <f t="shared" si="12"/>
        <v>1876050.1</v>
      </c>
      <c r="S59" s="110">
        <f t="shared" si="13"/>
        <v>2276323.4699999997</v>
      </c>
      <c r="T59" s="58">
        <f t="shared" si="14"/>
        <v>-400273.36999999965</v>
      </c>
    </row>
    <row r="60" spans="1:23" x14ac:dyDescent="0.2">
      <c r="A60" s="12">
        <v>777</v>
      </c>
      <c r="B60" s="10" t="s">
        <v>78</v>
      </c>
      <c r="C60" s="47">
        <v>10000</v>
      </c>
      <c r="D60" s="20">
        <v>5637</v>
      </c>
      <c r="E60" s="27">
        <f>F60-D60</f>
        <v>4363</v>
      </c>
      <c r="F60" s="20">
        <v>10000</v>
      </c>
      <c r="G60" s="20">
        <v>0</v>
      </c>
      <c r="H60" s="33">
        <f t="shared" si="5"/>
        <v>10000</v>
      </c>
      <c r="I60" s="19">
        <v>0</v>
      </c>
      <c r="J60" s="37">
        <f t="shared" si="7"/>
        <v>0</v>
      </c>
      <c r="K60" s="20">
        <v>0</v>
      </c>
      <c r="L60" s="20">
        <v>0</v>
      </c>
      <c r="M60" s="33">
        <f t="shared" si="8"/>
        <v>0</v>
      </c>
      <c r="N60" s="42">
        <f t="shared" si="9"/>
        <v>10000</v>
      </c>
      <c r="O60" s="49">
        <f t="shared" si="10"/>
        <v>4363</v>
      </c>
      <c r="P60" s="105">
        <f t="shared" si="11"/>
        <v>0</v>
      </c>
      <c r="R60" s="100">
        <f t="shared" si="12"/>
        <v>10000</v>
      </c>
      <c r="S60" s="100">
        <f t="shared" si="13"/>
        <v>0</v>
      </c>
      <c r="T60" s="50">
        <f t="shared" si="14"/>
        <v>10000</v>
      </c>
    </row>
    <row r="61" spans="1:23" x14ac:dyDescent="0.2">
      <c r="A61" s="12">
        <v>900</v>
      </c>
      <c r="B61" s="10" t="s">
        <v>77</v>
      </c>
      <c r="C61" s="47">
        <v>0</v>
      </c>
      <c r="D61" s="20"/>
      <c r="E61" s="20"/>
      <c r="F61" s="20"/>
      <c r="G61" s="20"/>
      <c r="H61" s="99"/>
      <c r="I61" s="47">
        <v>18742</v>
      </c>
      <c r="J61" s="20">
        <f t="shared" si="7"/>
        <v>-790</v>
      </c>
      <c r="K61" s="20">
        <v>17952</v>
      </c>
      <c r="L61" s="20">
        <v>5000</v>
      </c>
      <c r="M61" s="33">
        <f t="shared" si="8"/>
        <v>23742</v>
      </c>
      <c r="N61" s="42">
        <f t="shared" si="9"/>
        <v>-23742</v>
      </c>
      <c r="O61" s="49">
        <f t="shared" si="10"/>
        <v>0</v>
      </c>
      <c r="P61" s="105">
        <f t="shared" si="11"/>
        <v>5000</v>
      </c>
      <c r="R61" s="100">
        <f t="shared" si="12"/>
        <v>0</v>
      </c>
      <c r="S61" s="100">
        <f t="shared" si="13"/>
        <v>23742</v>
      </c>
      <c r="T61" s="50">
        <f t="shared" si="14"/>
        <v>-23742</v>
      </c>
    </row>
    <row r="62" spans="1:23" x14ac:dyDescent="0.2">
      <c r="A62" s="12">
        <v>990</v>
      </c>
      <c r="B62" s="45" t="s">
        <v>76</v>
      </c>
      <c r="C62" s="18">
        <v>20125</v>
      </c>
      <c r="D62" s="20">
        <v>13416</v>
      </c>
      <c r="E62" s="20">
        <f t="shared" ref="E62" si="18">F62-D62</f>
        <v>6709</v>
      </c>
      <c r="F62" s="20">
        <v>20125</v>
      </c>
      <c r="G62" s="20">
        <v>10000</v>
      </c>
      <c r="H62" s="21">
        <f>C62+G62</f>
        <v>30125</v>
      </c>
      <c r="I62" s="18">
        <v>36856</v>
      </c>
      <c r="J62" s="20">
        <f t="shared" si="7"/>
        <v>-4962</v>
      </c>
      <c r="K62" s="20">
        <v>31894</v>
      </c>
      <c r="L62" s="37">
        <v>14200</v>
      </c>
      <c r="M62" s="33">
        <f t="shared" si="8"/>
        <v>51056</v>
      </c>
      <c r="N62" s="42">
        <f t="shared" si="9"/>
        <v>-20931</v>
      </c>
      <c r="O62" s="49">
        <f t="shared" si="10"/>
        <v>6709</v>
      </c>
      <c r="P62" s="105">
        <f t="shared" si="11"/>
        <v>4200</v>
      </c>
      <c r="R62" s="100">
        <f t="shared" si="12"/>
        <v>20125</v>
      </c>
      <c r="S62" s="100">
        <f t="shared" si="13"/>
        <v>41056</v>
      </c>
      <c r="T62" s="50">
        <f t="shared" si="14"/>
        <v>-20931</v>
      </c>
    </row>
    <row r="63" spans="1:23" ht="15.75" thickBot="1" x14ac:dyDescent="0.3">
      <c r="A63" s="16"/>
      <c r="B63" s="32" t="s">
        <v>5</v>
      </c>
      <c r="C63" s="34">
        <f>SUM(C59:C62)</f>
        <v>1676530.78</v>
      </c>
      <c r="D63" s="34">
        <f t="shared" ref="D63:T63" si="19">SUM(D59:D62)</f>
        <v>1541292.75</v>
      </c>
      <c r="E63" s="34">
        <f t="shared" si="19"/>
        <v>364882.35</v>
      </c>
      <c r="F63" s="34">
        <f>SUM(F59:F62)</f>
        <v>1906175.1</v>
      </c>
      <c r="G63" s="34">
        <f t="shared" si="19"/>
        <v>143800</v>
      </c>
      <c r="H63" s="34">
        <f t="shared" si="19"/>
        <v>1820330.78</v>
      </c>
      <c r="I63" s="34">
        <f t="shared" si="19"/>
        <v>2073077.15</v>
      </c>
      <c r="J63" s="34">
        <f t="shared" si="19"/>
        <v>-45114.25</v>
      </c>
      <c r="K63" s="34">
        <f t="shared" si="19"/>
        <v>2027962.9</v>
      </c>
      <c r="L63" s="34">
        <f t="shared" si="19"/>
        <v>182200</v>
      </c>
      <c r="M63" s="34">
        <f t="shared" si="19"/>
        <v>2255277.15</v>
      </c>
      <c r="N63" s="34">
        <f t="shared" si="19"/>
        <v>-434946.37</v>
      </c>
      <c r="O63" s="34">
        <f t="shared" si="19"/>
        <v>364882.35</v>
      </c>
      <c r="P63" s="34">
        <f t="shared" si="19"/>
        <v>268044.32</v>
      </c>
      <c r="R63" s="34">
        <f t="shared" si="19"/>
        <v>1906175.1</v>
      </c>
      <c r="S63" s="34">
        <f>SUM(S59:S62)</f>
        <v>2341121.4699999997</v>
      </c>
      <c r="T63" s="34">
        <f t="shared" si="19"/>
        <v>-434946.36999999965</v>
      </c>
    </row>
    <row r="64" spans="1:23" x14ac:dyDescent="0.2">
      <c r="C64" s="30"/>
      <c r="D64" s="4"/>
      <c r="E64" s="4"/>
      <c r="F64" s="4"/>
      <c r="G64" s="4"/>
      <c r="H64" s="4"/>
      <c r="I64" s="4"/>
      <c r="J64" s="4"/>
      <c r="K64" s="147">
        <f>K63/H63</f>
        <v>1.1140628518076259</v>
      </c>
      <c r="L64" s="4"/>
      <c r="M64" s="4"/>
      <c r="N64" s="4"/>
      <c r="S64" s="149">
        <f>S63/R63</f>
        <v>1.2281775530485104</v>
      </c>
      <c r="T64" s="5"/>
      <c r="U64" s="5"/>
    </row>
    <row r="65" spans="2:21" x14ac:dyDescent="0.2">
      <c r="B65" s="28" t="s">
        <v>34</v>
      </c>
      <c r="C65" s="29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R65" s="54" t="s">
        <v>40</v>
      </c>
      <c r="S65" s="51"/>
      <c r="T65" s="119"/>
      <c r="U65" s="53" t="s">
        <v>25</v>
      </c>
    </row>
    <row r="66" spans="2:21" x14ac:dyDescent="0.2">
      <c r="B66" s="35" t="s">
        <v>16</v>
      </c>
      <c r="C66" s="36"/>
      <c r="D66" s="36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21" x14ac:dyDescent="0.2">
      <c r="B67" t="s">
        <v>20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9" spans="2:21" x14ac:dyDescent="0.2">
      <c r="G69" s="114">
        <f>G47/C47</f>
        <v>0.14230077890952667</v>
      </c>
      <c r="K69">
        <f t="shared" ref="K69:K74" si="20">K47/F47</f>
        <v>1.2281680647094069</v>
      </c>
    </row>
    <row r="70" spans="2:21" x14ac:dyDescent="0.2">
      <c r="G70" s="114"/>
      <c r="K70">
        <f t="shared" si="20"/>
        <v>1.2363714095387706</v>
      </c>
    </row>
    <row r="71" spans="2:21" x14ac:dyDescent="0.2">
      <c r="G71" s="114">
        <f>G49/C49</f>
        <v>0.14852138707973947</v>
      </c>
      <c r="K71">
        <f t="shared" si="20"/>
        <v>1.1475312444992078</v>
      </c>
    </row>
    <row r="72" spans="2:21" x14ac:dyDescent="0.2">
      <c r="G72" s="114">
        <f>G50/C50</f>
        <v>5.2276697114451535E-2</v>
      </c>
      <c r="K72">
        <f t="shared" si="20"/>
        <v>1.1403425845348627</v>
      </c>
    </row>
    <row r="73" spans="2:21" x14ac:dyDescent="0.2">
      <c r="G73" s="114"/>
      <c r="K73" t="e">
        <f t="shared" si="20"/>
        <v>#DIV/0!</v>
      </c>
    </row>
    <row r="74" spans="2:21" x14ac:dyDescent="0.2">
      <c r="G74" s="114"/>
      <c r="K74">
        <f t="shared" si="20"/>
        <v>0.60804999999999998</v>
      </c>
    </row>
    <row r="75" spans="2:21" x14ac:dyDescent="0.2">
      <c r="G75" s="114"/>
      <c r="K75" t="e">
        <f>K54/F54</f>
        <v>#DIV/0!</v>
      </c>
    </row>
    <row r="76" spans="2:21" x14ac:dyDescent="0.2">
      <c r="G76" s="114"/>
      <c r="K76">
        <f t="shared" ref="K76:K79" si="21">K56/F56</f>
        <v>1.2593706956894799</v>
      </c>
    </row>
    <row r="77" spans="2:21" x14ac:dyDescent="0.2">
      <c r="G77" s="114">
        <f t="shared" ref="G77:G79" si="22">G58/C58</f>
        <v>0.15179881596923545</v>
      </c>
      <c r="K77">
        <f t="shared" si="21"/>
        <v>1.2614724594562287E-2</v>
      </c>
    </row>
    <row r="78" spans="2:21" x14ac:dyDescent="0.2">
      <c r="G78" s="114">
        <f t="shared" si="22"/>
        <v>8.1267936267813631E-2</v>
      </c>
      <c r="K78">
        <f t="shared" si="21"/>
        <v>1.1387729285262491</v>
      </c>
    </row>
    <row r="79" spans="2:21" x14ac:dyDescent="0.2">
      <c r="G79" s="114">
        <f t="shared" si="22"/>
        <v>0</v>
      </c>
      <c r="K79">
        <f t="shared" si="21"/>
        <v>1.054405156877207</v>
      </c>
    </row>
  </sheetData>
  <mergeCells count="11">
    <mergeCell ref="R10:T10"/>
    <mergeCell ref="C6:D6"/>
    <mergeCell ref="E6:I6"/>
    <mergeCell ref="J6:K6"/>
    <mergeCell ref="L6:M6"/>
    <mergeCell ref="N6:P6"/>
    <mergeCell ref="R41:T41"/>
    <mergeCell ref="C42:H42"/>
    <mergeCell ref="I42:M42"/>
    <mergeCell ref="R42:T42"/>
    <mergeCell ref="J44:K44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topLeftCell="A43" zoomScale="115" zoomScaleNormal="115" workbookViewId="0">
      <selection activeCell="L71" sqref="L71"/>
    </sheetView>
  </sheetViews>
  <sheetFormatPr baseColWidth="10" defaultRowHeight="12.75" x14ac:dyDescent="0.2"/>
  <cols>
    <col min="1" max="1" width="16.85546875" customWidth="1"/>
    <col min="8" max="8" width="14.28515625" bestFit="1" customWidth="1"/>
    <col min="13" max="13" width="3.7109375" customWidth="1"/>
    <col min="14" max="15" width="12.28515625" bestFit="1" customWidth="1"/>
  </cols>
  <sheetData>
    <row r="1" spans="1:12" ht="15" x14ac:dyDescent="0.25">
      <c r="A1" s="3" t="s">
        <v>41</v>
      </c>
    </row>
    <row r="2" spans="1:12" ht="15.75" x14ac:dyDescent="0.25">
      <c r="A2" s="2" t="s">
        <v>26</v>
      </c>
    </row>
    <row r="4" spans="1:12" x14ac:dyDescent="0.2">
      <c r="A4" s="1" t="s">
        <v>59</v>
      </c>
    </row>
    <row r="7" spans="1:12" s="170" customFormat="1" ht="29.25" customHeight="1" x14ac:dyDescent="0.2">
      <c r="A7" s="166"/>
      <c r="B7" s="167" t="s">
        <v>46</v>
      </c>
      <c r="C7" s="167" t="s">
        <v>47</v>
      </c>
      <c r="D7" s="167" t="s">
        <v>48</v>
      </c>
      <c r="E7" s="167" t="s">
        <v>49</v>
      </c>
      <c r="F7" s="167" t="s">
        <v>50</v>
      </c>
      <c r="G7" s="168" t="s">
        <v>121</v>
      </c>
      <c r="H7" s="168" t="s">
        <v>123</v>
      </c>
      <c r="I7" s="168" t="s">
        <v>122</v>
      </c>
      <c r="J7" s="167" t="s">
        <v>51</v>
      </c>
      <c r="K7" s="167" t="s">
        <v>94</v>
      </c>
      <c r="L7" s="169" t="s">
        <v>5</v>
      </c>
    </row>
    <row r="8" spans="1:12" x14ac:dyDescent="0.2">
      <c r="A8" s="7" t="s">
        <v>27</v>
      </c>
      <c r="B8" s="5"/>
      <c r="C8" s="5"/>
      <c r="D8" s="5"/>
      <c r="E8" s="5"/>
      <c r="F8" s="5"/>
      <c r="G8" s="157"/>
      <c r="H8" s="157"/>
      <c r="I8" s="157"/>
      <c r="J8" s="5"/>
      <c r="K8" s="77" t="s">
        <v>95</v>
      </c>
      <c r="L8" s="7"/>
    </row>
    <row r="9" spans="1:12" x14ac:dyDescent="0.2">
      <c r="A9" s="5" t="s">
        <v>2</v>
      </c>
      <c r="B9" s="6">
        <v>1030475</v>
      </c>
      <c r="C9" s="6">
        <v>1129675</v>
      </c>
      <c r="D9" s="6">
        <v>92075</v>
      </c>
      <c r="E9" s="6">
        <v>136575</v>
      </c>
      <c r="F9" s="6">
        <v>688725</v>
      </c>
      <c r="G9" s="158"/>
      <c r="H9" s="158"/>
      <c r="I9" s="158"/>
      <c r="J9" s="6">
        <v>371784.94</v>
      </c>
      <c r="K9" s="6">
        <f>B9+C9+E9</f>
        <v>2296725</v>
      </c>
      <c r="L9" s="156">
        <f>SUM(B9:J9)</f>
        <v>3449309.94</v>
      </c>
    </row>
    <row r="10" spans="1:12" x14ac:dyDescent="0.2">
      <c r="A10" s="5" t="s">
        <v>44</v>
      </c>
      <c r="B10" s="6">
        <v>10171.879999999999</v>
      </c>
      <c r="C10" s="6">
        <v>4068.75</v>
      </c>
      <c r="D10" s="6"/>
      <c r="E10" s="6">
        <v>3729.69</v>
      </c>
      <c r="F10" s="6">
        <v>2712.5</v>
      </c>
      <c r="G10" s="158"/>
      <c r="H10" s="158"/>
      <c r="I10" s="158"/>
      <c r="J10" s="6"/>
      <c r="K10" s="6">
        <f>B10+C10+E10</f>
        <v>17970.32</v>
      </c>
      <c r="L10" s="58">
        <f>SUM(B10:F10)</f>
        <v>20682.82</v>
      </c>
    </row>
    <row r="11" spans="1:12" x14ac:dyDescent="0.2">
      <c r="A11" s="5" t="s">
        <v>45</v>
      </c>
      <c r="B11" s="6"/>
      <c r="C11" s="6"/>
      <c r="D11" s="6"/>
      <c r="E11" s="6"/>
      <c r="F11" s="6"/>
      <c r="G11" s="158"/>
      <c r="H11" s="158"/>
      <c r="I11" s="158"/>
      <c r="J11" s="6"/>
      <c r="K11" s="6">
        <f>B11+C11+E11</f>
        <v>0</v>
      </c>
      <c r="L11" s="8">
        <v>39525</v>
      </c>
    </row>
    <row r="12" spans="1:12" x14ac:dyDescent="0.2">
      <c r="A12" s="7" t="s">
        <v>5</v>
      </c>
      <c r="B12" s="8">
        <f>SUM(B9:B11)</f>
        <v>1040646.88</v>
      </c>
      <c r="C12" s="8">
        <f t="shared" ref="C12:L12" si="0">SUM(C9:C11)</f>
        <v>1133743.75</v>
      </c>
      <c r="D12" s="8">
        <f t="shared" si="0"/>
        <v>92075</v>
      </c>
      <c r="E12" s="8">
        <f t="shared" si="0"/>
        <v>140304.69</v>
      </c>
      <c r="F12" s="8">
        <f t="shared" si="0"/>
        <v>691437.5</v>
      </c>
      <c r="G12" s="159"/>
      <c r="H12" s="159"/>
      <c r="I12" s="159"/>
      <c r="J12" s="8"/>
      <c r="K12" s="6">
        <f>B12+C12+E12</f>
        <v>2314695.3199999998</v>
      </c>
      <c r="L12" s="8">
        <f t="shared" si="0"/>
        <v>3509517.76</v>
      </c>
    </row>
    <row r="13" spans="1:12" x14ac:dyDescent="0.2">
      <c r="B13" s="4"/>
      <c r="C13" s="4"/>
      <c r="D13" s="4"/>
      <c r="E13" s="4"/>
      <c r="F13" s="4"/>
      <c r="G13" s="30"/>
      <c r="H13" s="30"/>
      <c r="I13" s="30"/>
      <c r="J13" s="4"/>
      <c r="K13" s="4"/>
    </row>
    <row r="14" spans="1:12" x14ac:dyDescent="0.2">
      <c r="A14" s="1" t="s">
        <v>53</v>
      </c>
      <c r="B14" s="4"/>
      <c r="C14" s="4"/>
      <c r="D14" s="4"/>
      <c r="E14" s="4"/>
      <c r="F14" s="4"/>
      <c r="G14" s="30"/>
      <c r="H14" s="30"/>
      <c r="I14" s="30"/>
      <c r="J14" s="4"/>
      <c r="K14" s="4"/>
    </row>
    <row r="15" spans="1:12" x14ac:dyDescent="0.2">
      <c r="A15" s="5" t="s">
        <v>2</v>
      </c>
      <c r="B15" s="6">
        <v>150933</v>
      </c>
      <c r="C15" s="6"/>
      <c r="D15" s="6"/>
      <c r="E15" s="6"/>
      <c r="F15" s="6"/>
      <c r="G15" s="158"/>
      <c r="H15" s="158"/>
      <c r="I15" s="158"/>
      <c r="J15" s="6"/>
      <c r="K15" s="6">
        <f>B15</f>
        <v>150933</v>
      </c>
      <c r="L15" s="156">
        <f>SUM(B15:J15)</f>
        <v>150933</v>
      </c>
    </row>
    <row r="16" spans="1:12" x14ac:dyDescent="0.2">
      <c r="A16" s="68" t="s">
        <v>45</v>
      </c>
      <c r="B16" s="6">
        <v>17860</v>
      </c>
      <c r="C16" s="6"/>
      <c r="D16" s="6"/>
      <c r="E16" s="6"/>
      <c r="F16" s="6"/>
      <c r="G16" s="158"/>
      <c r="H16" s="158"/>
      <c r="I16" s="158"/>
      <c r="J16" s="6"/>
      <c r="K16" s="6">
        <f>B16</f>
        <v>17860</v>
      </c>
      <c r="L16" s="58">
        <f>SUM(B16:J16)</f>
        <v>17860</v>
      </c>
    </row>
    <row r="17" spans="1:12" x14ac:dyDescent="0.2">
      <c r="A17" s="7" t="s">
        <v>5</v>
      </c>
      <c r="B17" s="6">
        <f>SUM(B15:B16)</f>
        <v>168793</v>
      </c>
      <c r="C17" s="6"/>
      <c r="D17" s="6"/>
      <c r="E17" s="6"/>
      <c r="F17" s="6"/>
      <c r="G17" s="158"/>
      <c r="H17" s="158"/>
      <c r="I17" s="158"/>
      <c r="J17" s="6"/>
      <c r="K17" s="6">
        <f>B17</f>
        <v>168793</v>
      </c>
      <c r="L17" s="58">
        <f>SUM(B17:J17)</f>
        <v>168793</v>
      </c>
    </row>
    <row r="18" spans="1:12" x14ac:dyDescent="0.2">
      <c r="B18" s="4"/>
      <c r="C18" s="4"/>
      <c r="D18" s="4"/>
      <c r="E18" s="4"/>
      <c r="F18" s="4"/>
      <c r="G18" s="30"/>
      <c r="H18" s="30"/>
      <c r="I18" s="30"/>
      <c r="J18" s="4"/>
      <c r="K18" s="6"/>
      <c r="L18" s="57"/>
    </row>
    <row r="19" spans="1:12" x14ac:dyDescent="0.2">
      <c r="A19" s="1" t="s">
        <v>52</v>
      </c>
      <c r="B19" s="4"/>
      <c r="C19" s="4"/>
      <c r="D19" s="4"/>
      <c r="E19" s="4"/>
      <c r="F19" s="4"/>
      <c r="G19" s="30"/>
      <c r="H19" s="30"/>
      <c r="I19" s="30"/>
      <c r="J19" s="4"/>
      <c r="K19" s="6"/>
      <c r="L19" s="57"/>
    </row>
    <row r="20" spans="1:12" x14ac:dyDescent="0.2">
      <c r="A20" s="7" t="s">
        <v>2</v>
      </c>
      <c r="B20" s="6">
        <v>69900</v>
      </c>
      <c r="C20" s="6"/>
      <c r="D20" s="6"/>
      <c r="E20" s="6"/>
      <c r="F20" s="6"/>
      <c r="G20" s="158"/>
      <c r="H20" s="158"/>
      <c r="I20" s="158"/>
      <c r="J20" s="6"/>
      <c r="K20" s="6">
        <f>B20</f>
        <v>69900</v>
      </c>
      <c r="L20" s="156">
        <f>SUM(B20:J20)</f>
        <v>69900</v>
      </c>
    </row>
    <row r="21" spans="1:12" x14ac:dyDescent="0.2">
      <c r="B21" s="4"/>
      <c r="C21" s="4"/>
      <c r="D21" s="4"/>
      <c r="E21" s="4"/>
      <c r="F21" s="4"/>
      <c r="G21" s="30"/>
      <c r="H21" s="30"/>
      <c r="I21" s="30"/>
      <c r="J21" s="4"/>
      <c r="K21" s="6"/>
      <c r="L21" s="57"/>
    </row>
    <row r="22" spans="1:12" x14ac:dyDescent="0.2">
      <c r="A22" s="1" t="s">
        <v>54</v>
      </c>
      <c r="B22" s="4"/>
      <c r="C22" s="4"/>
      <c r="D22" s="4"/>
      <c r="E22" s="4"/>
      <c r="F22" s="4"/>
      <c r="G22" s="30"/>
      <c r="H22" s="30"/>
      <c r="I22" s="30"/>
      <c r="J22" s="4"/>
      <c r="K22" s="6"/>
      <c r="L22" s="57"/>
    </row>
    <row r="23" spans="1:12" x14ac:dyDescent="0.2">
      <c r="A23" s="5" t="s">
        <v>2</v>
      </c>
      <c r="B23" s="6">
        <v>162587.75</v>
      </c>
      <c r="C23" s="6"/>
      <c r="D23" s="6"/>
      <c r="E23" s="6"/>
      <c r="F23" s="6"/>
      <c r="G23" s="158"/>
      <c r="H23" s="158"/>
      <c r="I23" s="158"/>
      <c r="J23" s="6"/>
      <c r="K23" s="6">
        <f>B23</f>
        <v>162587.75</v>
      </c>
      <c r="L23" s="156">
        <f>SUM(B23:J23)</f>
        <v>162587.75</v>
      </c>
    </row>
    <row r="24" spans="1:12" x14ac:dyDescent="0.2">
      <c r="A24" s="68" t="s">
        <v>45</v>
      </c>
      <c r="B24" s="6">
        <v>12255.6</v>
      </c>
      <c r="C24" s="6"/>
      <c r="D24" s="6"/>
      <c r="E24" s="6"/>
      <c r="F24" s="6"/>
      <c r="G24" s="158"/>
      <c r="H24" s="158"/>
      <c r="I24" s="158"/>
      <c r="J24" s="6"/>
      <c r="K24" s="6">
        <f>B24</f>
        <v>12255.6</v>
      </c>
      <c r="L24" s="58">
        <f>SUM(B24:J24)</f>
        <v>12255.6</v>
      </c>
    </row>
    <row r="25" spans="1:12" x14ac:dyDescent="0.2">
      <c r="A25" s="7" t="s">
        <v>5</v>
      </c>
      <c r="B25" s="6">
        <f>SUM(B23:B24)</f>
        <v>174843.35</v>
      </c>
      <c r="C25" s="6"/>
      <c r="D25" s="6"/>
      <c r="E25" s="6"/>
      <c r="F25" s="6"/>
      <c r="G25" s="158"/>
      <c r="H25" s="158"/>
      <c r="I25" s="158"/>
      <c r="J25" s="6"/>
      <c r="K25" s="6">
        <f>B25</f>
        <v>174843.35</v>
      </c>
      <c r="L25" s="58">
        <f>SUM(B25:J25)</f>
        <v>174843.35</v>
      </c>
    </row>
    <row r="26" spans="1:12" x14ac:dyDescent="0.2">
      <c r="A26" s="59"/>
      <c r="B26" s="62"/>
      <c r="C26" s="62"/>
      <c r="D26" s="62"/>
      <c r="E26" s="62"/>
      <c r="F26" s="62"/>
      <c r="G26" s="172"/>
      <c r="H26" s="172"/>
      <c r="I26" s="172"/>
      <c r="J26" s="62"/>
      <c r="K26" s="62"/>
      <c r="L26" s="171"/>
    </row>
    <row r="27" spans="1:12" x14ac:dyDescent="0.2">
      <c r="A27" s="1" t="s">
        <v>124</v>
      </c>
      <c r="B27" s="4"/>
      <c r="C27" s="4"/>
      <c r="D27" s="4"/>
      <c r="E27" s="4"/>
      <c r="F27" s="4"/>
      <c r="G27" s="30"/>
      <c r="H27" s="30"/>
      <c r="I27" s="30"/>
      <c r="J27" s="4"/>
      <c r="K27" s="57"/>
      <c r="L27" s="57"/>
    </row>
    <row r="28" spans="1:12" x14ac:dyDescent="0.2">
      <c r="A28" s="7" t="s">
        <v>2</v>
      </c>
      <c r="B28" s="6"/>
      <c r="C28" s="162">
        <v>90000</v>
      </c>
      <c r="D28" s="8"/>
      <c r="E28" s="8"/>
      <c r="F28" s="162">
        <f>SUM(F29+F31)</f>
        <v>181700</v>
      </c>
      <c r="G28" s="162">
        <v>153000</v>
      </c>
      <c r="H28" s="162">
        <v>45000</v>
      </c>
      <c r="I28" s="162">
        <v>35000</v>
      </c>
      <c r="J28" s="6"/>
      <c r="K28" s="6">
        <f>B28</f>
        <v>0</v>
      </c>
      <c r="L28" s="165">
        <f>SUM(B28:J28)</f>
        <v>504700</v>
      </c>
    </row>
    <row r="29" spans="1:12" x14ac:dyDescent="0.2">
      <c r="A29" s="252" t="s">
        <v>126</v>
      </c>
      <c r="B29" s="89"/>
      <c r="C29" s="89"/>
      <c r="D29" s="89"/>
      <c r="E29" s="90"/>
      <c r="F29" s="161">
        <v>20000</v>
      </c>
      <c r="G29" s="83"/>
      <c r="H29" s="89"/>
      <c r="I29" s="89"/>
      <c r="J29" s="89"/>
      <c r="K29" s="179"/>
      <c r="L29" s="90"/>
    </row>
    <row r="30" spans="1:12" x14ac:dyDescent="0.2">
      <c r="A30" s="253"/>
      <c r="B30" s="62"/>
      <c r="C30" s="62"/>
      <c r="D30" s="62"/>
      <c r="E30" s="86"/>
      <c r="F30" s="216">
        <v>100000</v>
      </c>
      <c r="G30" s="176"/>
      <c r="H30" s="172"/>
      <c r="I30" s="172"/>
      <c r="J30" s="62"/>
      <c r="K30" s="180"/>
      <c r="L30" s="181"/>
    </row>
    <row r="31" spans="1:12" x14ac:dyDescent="0.2">
      <c r="A31" s="254"/>
      <c r="B31" s="91"/>
      <c r="C31" s="91"/>
      <c r="D31" s="91"/>
      <c r="E31" s="88"/>
      <c r="F31" s="161">
        <v>161700</v>
      </c>
      <c r="G31" s="177"/>
      <c r="H31" s="178"/>
      <c r="I31" s="178"/>
      <c r="J31" s="91"/>
      <c r="K31" s="182"/>
      <c r="L31" s="183"/>
    </row>
    <row r="32" spans="1:12" x14ac:dyDescent="0.2">
      <c r="B32" s="4"/>
      <c r="C32" s="4"/>
      <c r="D32" s="4"/>
      <c r="E32" s="4"/>
      <c r="F32" s="4"/>
      <c r="G32" s="30"/>
      <c r="H32" s="30"/>
      <c r="I32" s="30"/>
      <c r="J32" s="4"/>
      <c r="K32" s="4"/>
    </row>
    <row r="33" spans="1:15" x14ac:dyDescent="0.2">
      <c r="A33" s="1" t="s">
        <v>55</v>
      </c>
      <c r="G33" s="160"/>
      <c r="H33" s="160"/>
      <c r="I33" s="160"/>
    </row>
    <row r="34" spans="1:15" x14ac:dyDescent="0.2">
      <c r="A34" s="5" t="s">
        <v>2</v>
      </c>
      <c r="B34" s="50">
        <f>B9+B15+B20+B23</f>
        <v>1413895.75</v>
      </c>
      <c r="C34" s="50">
        <f t="shared" ref="C34:J34" si="1">C9+C15+C20+C23</f>
        <v>1129675</v>
      </c>
      <c r="D34" s="50">
        <f t="shared" si="1"/>
        <v>92075</v>
      </c>
      <c r="E34" s="50">
        <f t="shared" si="1"/>
        <v>136575</v>
      </c>
      <c r="F34" s="50">
        <f t="shared" si="1"/>
        <v>688725</v>
      </c>
      <c r="G34" s="100"/>
      <c r="H34" s="100"/>
      <c r="I34" s="100"/>
      <c r="J34" s="50">
        <f t="shared" si="1"/>
        <v>371784.94</v>
      </c>
      <c r="K34" s="6">
        <f>B34+C34+E34</f>
        <v>2680145.75</v>
      </c>
      <c r="L34" s="50">
        <f>L9+L15+L20+L23</f>
        <v>3832730.69</v>
      </c>
    </row>
    <row r="35" spans="1:15" x14ac:dyDescent="0.2">
      <c r="A35" s="5" t="s">
        <v>44</v>
      </c>
      <c r="B35" s="50">
        <f>B10</f>
        <v>10171.879999999999</v>
      </c>
      <c r="C35" s="50">
        <f t="shared" ref="C35:L35" si="2">C10</f>
        <v>4068.75</v>
      </c>
      <c r="D35" s="50">
        <f t="shared" si="2"/>
        <v>0</v>
      </c>
      <c r="E35" s="50">
        <f t="shared" si="2"/>
        <v>3729.69</v>
      </c>
      <c r="F35" s="50">
        <f t="shared" si="2"/>
        <v>2712.5</v>
      </c>
      <c r="G35" s="100"/>
      <c r="H35" s="100"/>
      <c r="I35" s="100"/>
      <c r="J35" s="50">
        <f t="shared" si="2"/>
        <v>0</v>
      </c>
      <c r="K35" s="6">
        <f>B35+C35+E35</f>
        <v>17970.32</v>
      </c>
      <c r="L35" s="50">
        <f t="shared" si="2"/>
        <v>20682.82</v>
      </c>
      <c r="N35" t="s">
        <v>91</v>
      </c>
    </row>
    <row r="36" spans="1:15" x14ac:dyDescent="0.2">
      <c r="A36" s="5" t="s">
        <v>45</v>
      </c>
      <c r="B36" s="5"/>
      <c r="C36" s="5"/>
      <c r="D36" s="5"/>
      <c r="E36" s="5"/>
      <c r="F36" s="5"/>
      <c r="G36" s="157"/>
      <c r="H36" s="157"/>
      <c r="I36" s="157"/>
      <c r="J36" s="5"/>
      <c r="K36" s="6">
        <f>B36+C36+E36</f>
        <v>0</v>
      </c>
      <c r="L36" s="50">
        <f>L11+L16+L24</f>
        <v>69640.600000000006</v>
      </c>
    </row>
    <row r="37" spans="1:15" x14ac:dyDescent="0.2">
      <c r="A37" s="7" t="s">
        <v>5</v>
      </c>
      <c r="B37" s="58">
        <f>SUM(B34:B36)</f>
        <v>1424067.63</v>
      </c>
      <c r="C37" s="58">
        <f t="shared" ref="C37:L37" si="3">SUM(C34:C36)</f>
        <v>1133743.75</v>
      </c>
      <c r="D37" s="58">
        <f t="shared" si="3"/>
        <v>92075</v>
      </c>
      <c r="E37" s="58">
        <f t="shared" si="3"/>
        <v>140304.69</v>
      </c>
      <c r="F37" s="58">
        <f t="shared" si="3"/>
        <v>691437.5</v>
      </c>
      <c r="G37" s="110"/>
      <c r="H37" s="110"/>
      <c r="I37" s="110"/>
      <c r="J37" s="58">
        <f t="shared" si="3"/>
        <v>371784.94</v>
      </c>
      <c r="K37" s="6">
        <f>B37+C37+E37</f>
        <v>2698116.07</v>
      </c>
      <c r="L37" s="58">
        <f t="shared" si="3"/>
        <v>3923054.11</v>
      </c>
      <c r="N37" s="56">
        <f>L37-L25</f>
        <v>3748210.76</v>
      </c>
      <c r="O37" s="73" t="s">
        <v>64</v>
      </c>
    </row>
    <row r="38" spans="1:15" x14ac:dyDescent="0.2">
      <c r="A38" s="173" t="s">
        <v>125</v>
      </c>
      <c r="B38" s="165">
        <f>B37+B218</f>
        <v>1424067.63</v>
      </c>
      <c r="C38" s="165">
        <f t="shared" ref="C38:K38" si="4">C37+C28</f>
        <v>1223743.75</v>
      </c>
      <c r="D38" s="165">
        <f t="shared" si="4"/>
        <v>92075</v>
      </c>
      <c r="E38" s="165">
        <f t="shared" si="4"/>
        <v>140304.69</v>
      </c>
      <c r="F38" s="217">
        <f>F37+F29+F31</f>
        <v>873137.5</v>
      </c>
      <c r="G38" s="165">
        <f t="shared" si="4"/>
        <v>153000</v>
      </c>
      <c r="H38" s="165">
        <f t="shared" si="4"/>
        <v>45000</v>
      </c>
      <c r="I38" s="165">
        <f t="shared" si="4"/>
        <v>35000</v>
      </c>
      <c r="J38" s="165">
        <f t="shared" si="4"/>
        <v>371784.94</v>
      </c>
      <c r="K38" s="165">
        <f t="shared" si="4"/>
        <v>2698116.07</v>
      </c>
      <c r="L38" s="165">
        <f>L37+L28</f>
        <v>4427754.1099999994</v>
      </c>
      <c r="N38" s="56"/>
      <c r="O38" s="73"/>
    </row>
    <row r="39" spans="1:15" x14ac:dyDescent="0.2">
      <c r="L39" s="56"/>
      <c r="N39" s="56">
        <f>N37*1.077</f>
        <v>4036822.9885199997</v>
      </c>
      <c r="O39" t="s">
        <v>65</v>
      </c>
    </row>
    <row r="40" spans="1:15" x14ac:dyDescent="0.2">
      <c r="A40" s="69" t="s">
        <v>60</v>
      </c>
      <c r="L40" s="56"/>
      <c r="N40" s="4">
        <v>4036823</v>
      </c>
      <c r="O40" t="s">
        <v>90</v>
      </c>
    </row>
    <row r="41" spans="1:15" x14ac:dyDescent="0.2">
      <c r="A41" t="s">
        <v>57</v>
      </c>
      <c r="E41" t="s">
        <v>56</v>
      </c>
    </row>
    <row r="42" spans="1:15" x14ac:dyDescent="0.2">
      <c r="A42" t="s">
        <v>58</v>
      </c>
      <c r="E42" t="s">
        <v>28</v>
      </c>
    </row>
    <row r="45" spans="1:15" x14ac:dyDescent="0.2">
      <c r="A45" s="1" t="s">
        <v>62</v>
      </c>
    </row>
    <row r="46" spans="1:15" x14ac:dyDescent="0.2">
      <c r="A46" s="1"/>
    </row>
    <row r="47" spans="1:15" x14ac:dyDescent="0.2">
      <c r="B47" s="70" t="s">
        <v>46</v>
      </c>
      <c r="C47" s="70" t="s">
        <v>47</v>
      </c>
      <c r="D47" s="70" t="s">
        <v>48</v>
      </c>
      <c r="E47" s="70" t="s">
        <v>49</v>
      </c>
      <c r="F47" s="70" t="s">
        <v>50</v>
      </c>
      <c r="G47" s="70"/>
      <c r="H47" s="70"/>
      <c r="I47" s="70"/>
      <c r="J47" s="70" t="s">
        <v>51</v>
      </c>
      <c r="K47" s="70"/>
      <c r="L47" s="71" t="s">
        <v>5</v>
      </c>
    </row>
    <row r="48" spans="1:15" x14ac:dyDescent="0.2">
      <c r="A48" s="7" t="s">
        <v>2</v>
      </c>
      <c r="B48" s="8">
        <v>1418754.75</v>
      </c>
      <c r="C48" s="8">
        <v>1399659</v>
      </c>
      <c r="D48" s="79"/>
      <c r="E48" s="8">
        <v>88266</v>
      </c>
      <c r="F48" s="79"/>
      <c r="G48" s="79"/>
      <c r="H48" s="79"/>
      <c r="I48" s="79"/>
      <c r="J48" s="79"/>
      <c r="K48" s="79"/>
      <c r="L48" s="8">
        <f>SUM(B48:J48)</f>
        <v>2906679.75</v>
      </c>
    </row>
    <row r="49" spans="1:12" x14ac:dyDescent="0.2">
      <c r="A49" s="5" t="s">
        <v>61</v>
      </c>
      <c r="B49" s="6">
        <f>B48-B37</f>
        <v>-5312.8799999998882</v>
      </c>
      <c r="C49" s="6">
        <f>C48-C37</f>
        <v>265915.25</v>
      </c>
      <c r="D49" s="72"/>
      <c r="E49" s="6">
        <f>E48-E37</f>
        <v>-52038.69</v>
      </c>
      <c r="F49" s="72"/>
      <c r="G49" s="72"/>
      <c r="H49" s="72"/>
      <c r="I49" s="72"/>
      <c r="J49" s="72"/>
      <c r="K49" s="72"/>
      <c r="L49" s="6">
        <f>SUM(B49:J49)</f>
        <v>208563.68000000011</v>
      </c>
    </row>
    <row r="50" spans="1:12" x14ac:dyDescent="0.2">
      <c r="A50" s="78" t="s">
        <v>75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>
        <f>L11+B16+B24</f>
        <v>69640.600000000006</v>
      </c>
    </row>
    <row r="51" spans="1:12" x14ac:dyDescent="0.2">
      <c r="A51" s="78" t="s">
        <v>96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0">
        <f>L48+L50</f>
        <v>2976320.35</v>
      </c>
    </row>
    <row r="52" spans="1:12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1" t="s">
        <v>108</v>
      </c>
    </row>
    <row r="55" spans="1:12" x14ac:dyDescent="0.2">
      <c r="A55" s="1"/>
    </row>
    <row r="56" spans="1:12" x14ac:dyDescent="0.2">
      <c r="B56" s="70" t="s">
        <v>46</v>
      </c>
      <c r="C56" s="70" t="s">
        <v>47</v>
      </c>
      <c r="D56" s="70" t="s">
        <v>48</v>
      </c>
      <c r="E56" s="70" t="s">
        <v>49</v>
      </c>
      <c r="F56" s="70" t="s">
        <v>50</v>
      </c>
      <c r="G56" s="70"/>
      <c r="H56" s="70"/>
      <c r="I56" s="70"/>
      <c r="J56" s="70" t="s">
        <v>51</v>
      </c>
      <c r="K56" s="70"/>
      <c r="L56" s="71" t="s">
        <v>5</v>
      </c>
    </row>
    <row r="57" spans="1:12" x14ac:dyDescent="0.2">
      <c r="A57" s="7" t="s">
        <v>2</v>
      </c>
      <c r="B57" s="8">
        <v>1418754.75</v>
      </c>
      <c r="C57" s="8">
        <v>1399659</v>
      </c>
      <c r="D57" s="79"/>
      <c r="E57" s="8">
        <v>88266</v>
      </c>
      <c r="F57" s="79">
        <f>F37</f>
        <v>691437.5</v>
      </c>
      <c r="G57" s="79"/>
      <c r="H57" s="79"/>
      <c r="I57" s="79"/>
      <c r="J57" s="79"/>
      <c r="K57" s="79"/>
      <c r="L57" s="8">
        <f>SUM(B57:J57)</f>
        <v>3598117.25</v>
      </c>
    </row>
    <row r="58" spans="1:12" x14ac:dyDescent="0.2">
      <c r="A58" s="5" t="s">
        <v>61</v>
      </c>
      <c r="B58" s="6">
        <f>B57-B37</f>
        <v>-5312.8799999998882</v>
      </c>
      <c r="C58" s="6">
        <f>C57-C37</f>
        <v>265915.25</v>
      </c>
      <c r="D58" s="72"/>
      <c r="E58" s="6">
        <f>E57-E37</f>
        <v>-52038.69</v>
      </c>
      <c r="F58" s="72"/>
      <c r="G58" s="72"/>
      <c r="H58" s="72"/>
      <c r="I58" s="72"/>
      <c r="J58" s="72"/>
      <c r="K58" s="72"/>
      <c r="L58" s="6">
        <f>SUM(B58:J58)</f>
        <v>208563.68000000011</v>
      </c>
    </row>
    <row r="59" spans="1:12" x14ac:dyDescent="0.2">
      <c r="A59" s="78" t="s">
        <v>75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>
        <f>L50</f>
        <v>69640.600000000006</v>
      </c>
    </row>
    <row r="60" spans="1:12" x14ac:dyDescent="0.2">
      <c r="A60" s="78" t="s">
        <v>96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0">
        <f>L57+L59</f>
        <v>3667757.85</v>
      </c>
    </row>
    <row r="61" spans="1:12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1" t="s">
        <v>128</v>
      </c>
    </row>
    <row r="64" spans="1:12" x14ac:dyDescent="0.2">
      <c r="A64" s="1"/>
    </row>
    <row r="65" spans="1:12" x14ac:dyDescent="0.2">
      <c r="B65" s="70" t="s">
        <v>46</v>
      </c>
      <c r="C65" s="218" t="s">
        <v>47</v>
      </c>
      <c r="D65" s="70" t="s">
        <v>48</v>
      </c>
      <c r="E65" s="70" t="s">
        <v>49</v>
      </c>
      <c r="F65" s="70" t="s">
        <v>50</v>
      </c>
      <c r="G65" s="70" t="s">
        <v>121</v>
      </c>
      <c r="H65" s="70" t="s">
        <v>123</v>
      </c>
      <c r="I65" s="70" t="s">
        <v>122</v>
      </c>
      <c r="J65" s="70" t="s">
        <v>51</v>
      </c>
      <c r="K65" s="70"/>
      <c r="L65" s="71" t="s">
        <v>5</v>
      </c>
    </row>
    <row r="66" spans="1:12" x14ac:dyDescent="0.2">
      <c r="A66" s="7" t="s">
        <v>2</v>
      </c>
      <c r="B66" s="8">
        <v>1418754.75</v>
      </c>
      <c r="C66" s="219">
        <v>1399659</v>
      </c>
      <c r="D66" s="79"/>
      <c r="E66" s="8">
        <v>88266</v>
      </c>
      <c r="F66" s="159">
        <f>F57+F29+F31</f>
        <v>873137.5</v>
      </c>
      <c r="G66" s="159">
        <v>153000</v>
      </c>
      <c r="H66" s="159">
        <v>45000</v>
      </c>
      <c r="I66" s="159">
        <v>35000</v>
      </c>
      <c r="J66" s="79"/>
      <c r="K66" s="79"/>
      <c r="L66" s="8">
        <f>SUM(B66:J66)</f>
        <v>4012817.25</v>
      </c>
    </row>
    <row r="67" spans="1:12" x14ac:dyDescent="0.2">
      <c r="A67" s="5" t="s">
        <v>61</v>
      </c>
      <c r="B67" s="6">
        <f>B66-B38</f>
        <v>-5312.8799999998882</v>
      </c>
      <c r="C67" s="214">
        <f>C66-C38</f>
        <v>175915.25</v>
      </c>
      <c r="D67" s="72"/>
      <c r="E67" s="6">
        <f>E66-E38</f>
        <v>-52038.69</v>
      </c>
      <c r="F67" s="6">
        <f>F66-F38</f>
        <v>0</v>
      </c>
      <c r="G67" s="6">
        <f>G66-G38</f>
        <v>0</v>
      </c>
      <c r="H67" s="6">
        <f t="shared" ref="H67:I67" si="5">H66-H38</f>
        <v>0</v>
      </c>
      <c r="I67" s="6">
        <f t="shared" si="5"/>
        <v>0</v>
      </c>
      <c r="J67" s="72"/>
      <c r="K67" s="72"/>
      <c r="L67" s="6">
        <f>SUM(B67:J67)</f>
        <v>118563.68000000011</v>
      </c>
    </row>
    <row r="68" spans="1:12" x14ac:dyDescent="0.2">
      <c r="A68" s="78" t="s">
        <v>75</v>
      </c>
      <c r="B68" s="8"/>
      <c r="C68" s="219"/>
      <c r="D68" s="8"/>
      <c r="E68" s="8"/>
      <c r="F68" s="8"/>
      <c r="G68" s="8"/>
      <c r="H68" s="8"/>
      <c r="I68" s="8"/>
      <c r="J68" s="8"/>
      <c r="K68" s="8"/>
      <c r="L68" s="8">
        <f>L59</f>
        <v>69640.600000000006</v>
      </c>
    </row>
    <row r="69" spans="1:12" x14ac:dyDescent="0.2">
      <c r="A69" s="78" t="s">
        <v>96</v>
      </c>
      <c r="B69" s="8"/>
      <c r="C69" s="219"/>
      <c r="D69" s="8"/>
      <c r="E69" s="8"/>
      <c r="F69" s="8"/>
      <c r="G69" s="8"/>
      <c r="H69" s="8"/>
      <c r="I69" s="8"/>
      <c r="J69" s="8"/>
      <c r="K69" s="8"/>
      <c r="L69" s="80">
        <f>L66+L68</f>
        <v>4082457.85</v>
      </c>
    </row>
    <row r="70" spans="1:12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B71" s="113" t="s">
        <v>142</v>
      </c>
    </row>
  </sheetData>
  <mergeCells count="1">
    <mergeCell ref="A29:A31"/>
  </mergeCells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Footer>&amp;L&amp;F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103"/>
  <sheetViews>
    <sheetView topLeftCell="A61" zoomScaleNormal="100" workbookViewId="0">
      <selection activeCell="N94" sqref="N94"/>
    </sheetView>
  </sheetViews>
  <sheetFormatPr baseColWidth="10" defaultRowHeight="12.75" x14ac:dyDescent="0.2"/>
  <cols>
    <col min="1" max="1" width="8.5703125" customWidth="1"/>
    <col min="3" max="20" width="9.85546875" customWidth="1"/>
    <col min="21" max="22" width="12.28515625" bestFit="1" customWidth="1"/>
    <col min="23" max="23" width="3.7109375" customWidth="1"/>
    <col min="29" max="29" width="24.85546875" bestFit="1" customWidth="1"/>
  </cols>
  <sheetData>
    <row r="1" spans="1:26" ht="15" x14ac:dyDescent="0.25">
      <c r="A1" s="3" t="s">
        <v>41</v>
      </c>
      <c r="B1" s="3"/>
    </row>
    <row r="2" spans="1:26" ht="15.75" x14ac:dyDescent="0.25">
      <c r="A2" s="2" t="s">
        <v>137</v>
      </c>
      <c r="B2" s="2"/>
    </row>
    <row r="4" spans="1:26" x14ac:dyDescent="0.2">
      <c r="A4" s="1" t="s">
        <v>63</v>
      </c>
      <c r="B4" s="1"/>
    </row>
    <row r="6" spans="1:26" x14ac:dyDescent="0.2">
      <c r="A6" s="5"/>
      <c r="B6" s="5"/>
      <c r="C6" s="249" t="s">
        <v>42</v>
      </c>
      <c r="D6" s="249"/>
      <c r="E6" s="249" t="s">
        <v>43</v>
      </c>
      <c r="F6" s="249"/>
      <c r="G6" s="249"/>
      <c r="H6" s="249"/>
      <c r="I6" s="249"/>
      <c r="J6" s="250" t="s">
        <v>73</v>
      </c>
      <c r="K6" s="251"/>
      <c r="L6" s="250" t="s">
        <v>74</v>
      </c>
      <c r="M6" s="255"/>
      <c r="N6" s="250" t="s">
        <v>121</v>
      </c>
      <c r="O6" s="251" t="s">
        <v>123</v>
      </c>
      <c r="P6" s="250" t="s">
        <v>122</v>
      </c>
      <c r="Q6" s="251" t="s">
        <v>121</v>
      </c>
      <c r="R6" s="250" t="s">
        <v>123</v>
      </c>
      <c r="S6" s="251" t="s">
        <v>122</v>
      </c>
      <c r="T6" s="251" t="s">
        <v>97</v>
      </c>
      <c r="U6" s="249"/>
      <c r="V6" s="249"/>
      <c r="W6" s="76"/>
      <c r="X6" s="76"/>
    </row>
    <row r="7" spans="1:26" x14ac:dyDescent="0.2">
      <c r="A7" s="151" t="s">
        <v>0</v>
      </c>
      <c r="B7" s="151" t="s">
        <v>1</v>
      </c>
      <c r="C7" s="188" t="s">
        <v>5</v>
      </c>
      <c r="D7" s="192" t="s">
        <v>66</v>
      </c>
      <c r="E7" s="188" t="s">
        <v>5</v>
      </c>
      <c r="F7" s="192" t="s">
        <v>66</v>
      </c>
      <c r="G7" s="209" t="s">
        <v>87</v>
      </c>
      <c r="H7" s="194" t="s">
        <v>88</v>
      </c>
      <c r="I7" s="197" t="s">
        <v>89</v>
      </c>
      <c r="J7" s="188" t="s">
        <v>5</v>
      </c>
      <c r="K7" s="209" t="s">
        <v>87</v>
      </c>
      <c r="L7" s="188" t="s">
        <v>5</v>
      </c>
      <c r="M7" s="192" t="s">
        <v>66</v>
      </c>
      <c r="N7" s="188" t="s">
        <v>5</v>
      </c>
      <c r="O7" s="209" t="s">
        <v>87</v>
      </c>
      <c r="P7" s="188" t="s">
        <v>5</v>
      </c>
      <c r="Q7" s="209" t="s">
        <v>87</v>
      </c>
      <c r="R7" s="188" t="s">
        <v>5</v>
      </c>
      <c r="S7" s="209" t="s">
        <v>87</v>
      </c>
      <c r="T7" s="189" t="s">
        <v>5</v>
      </c>
      <c r="U7" s="192" t="s">
        <v>66</v>
      </c>
      <c r="V7" s="151" t="s">
        <v>92</v>
      </c>
      <c r="W7" s="66"/>
      <c r="X7" s="66"/>
    </row>
    <row r="8" spans="1:26" x14ac:dyDescent="0.2">
      <c r="A8" s="66"/>
      <c r="B8" s="66"/>
      <c r="N8" s="184"/>
      <c r="O8" s="185"/>
      <c r="P8" s="184"/>
      <c r="Q8" s="186"/>
      <c r="R8" s="184"/>
      <c r="S8" s="185"/>
    </row>
    <row r="9" spans="1:26" x14ac:dyDescent="0.2">
      <c r="A9" s="81">
        <v>200</v>
      </c>
      <c r="B9" s="150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89"/>
      <c r="N9" s="83"/>
      <c r="O9" s="90"/>
      <c r="P9" s="83"/>
      <c r="Q9" s="90"/>
      <c r="R9" s="83"/>
      <c r="S9" s="90"/>
      <c r="T9" s="92">
        <f>C9</f>
        <v>1418754.75</v>
      </c>
      <c r="U9" s="6">
        <f>D9</f>
        <v>780622</v>
      </c>
      <c r="V9" s="6">
        <f>T9-U9</f>
        <v>638132.75</v>
      </c>
      <c r="W9" s="4"/>
      <c r="X9" s="4"/>
    </row>
    <row r="10" spans="1:26" x14ac:dyDescent="0.2">
      <c r="A10" s="81">
        <v>200</v>
      </c>
      <c r="B10" s="151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62"/>
      <c r="N10" s="85"/>
      <c r="O10" s="86"/>
      <c r="P10" s="85"/>
      <c r="Q10" s="86"/>
      <c r="R10" s="85"/>
      <c r="S10" s="86"/>
      <c r="T10" s="62"/>
      <c r="U10" s="6">
        <f>U9-D11</f>
        <v>603474</v>
      </c>
      <c r="V10" s="86"/>
      <c r="W10" s="4"/>
      <c r="X10" s="248" t="s">
        <v>102</v>
      </c>
      <c r="Y10" s="248"/>
      <c r="Z10" s="248"/>
    </row>
    <row r="11" spans="1:26" x14ac:dyDescent="0.2">
      <c r="A11" s="81">
        <v>500</v>
      </c>
      <c r="B11" s="151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62"/>
      <c r="N11" s="85"/>
      <c r="O11" s="86"/>
      <c r="P11" s="85"/>
      <c r="Q11" s="86"/>
      <c r="R11" s="85"/>
      <c r="S11" s="86"/>
      <c r="T11" s="62"/>
      <c r="U11" s="62"/>
      <c r="V11" s="86"/>
      <c r="W11" s="4"/>
      <c r="X11" s="4"/>
    </row>
    <row r="12" spans="1:26" x14ac:dyDescent="0.2">
      <c r="A12" s="81">
        <v>200</v>
      </c>
      <c r="B12" s="151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62"/>
      <c r="N12" s="85"/>
      <c r="O12" s="86"/>
      <c r="P12" s="85"/>
      <c r="Q12" s="86"/>
      <c r="R12" s="85"/>
      <c r="S12" s="86"/>
      <c r="T12" s="62"/>
      <c r="U12" s="62"/>
      <c r="V12" s="86"/>
      <c r="W12" s="4"/>
      <c r="X12" s="4"/>
    </row>
    <row r="13" spans="1:26" x14ac:dyDescent="0.2">
      <c r="A13" s="81">
        <v>200</v>
      </c>
      <c r="B13" s="151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62"/>
      <c r="N13" s="85"/>
      <c r="O13" s="86"/>
      <c r="P13" s="85"/>
      <c r="Q13" s="86"/>
      <c r="R13" s="85"/>
      <c r="S13" s="86"/>
      <c r="T13" s="62"/>
      <c r="U13" s="62"/>
      <c r="V13" s="86"/>
      <c r="W13" s="4"/>
      <c r="X13" s="4"/>
    </row>
    <row r="14" spans="1:26" x14ac:dyDescent="0.2">
      <c r="A14" s="81">
        <v>200</v>
      </c>
      <c r="B14" s="151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62"/>
      <c r="N14" s="85"/>
      <c r="O14" s="86"/>
      <c r="P14" s="85"/>
      <c r="Q14" s="86"/>
      <c r="R14" s="85"/>
      <c r="S14" s="86"/>
      <c r="T14" s="62"/>
      <c r="U14" s="62"/>
      <c r="V14" s="86"/>
      <c r="W14" s="4"/>
      <c r="X14" s="4"/>
    </row>
    <row r="15" spans="1:26" x14ac:dyDescent="0.2">
      <c r="A15" s="81">
        <v>200</v>
      </c>
      <c r="B15" s="151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91"/>
      <c r="N15" s="87"/>
      <c r="O15" s="88"/>
      <c r="P15" s="87"/>
      <c r="Q15" s="88"/>
      <c r="R15" s="87"/>
      <c r="S15" s="88"/>
      <c r="T15" s="91"/>
      <c r="U15" s="91"/>
      <c r="V15" s="88"/>
      <c r="W15" s="4"/>
      <c r="X15" s="4"/>
    </row>
    <row r="16" spans="1:26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85"/>
      <c r="O16" s="86"/>
      <c r="P16" s="85"/>
      <c r="Q16" s="86"/>
      <c r="R16" s="85"/>
      <c r="S16" s="86"/>
      <c r="T16" s="4"/>
      <c r="U16" s="4"/>
      <c r="V16" s="4"/>
      <c r="W16" s="4"/>
      <c r="X16" s="4"/>
    </row>
    <row r="17" spans="1:24" x14ac:dyDescent="0.2">
      <c r="A17" s="97">
        <v>300</v>
      </c>
      <c r="B17" s="151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89"/>
      <c r="N17" s="83"/>
      <c r="O17" s="90"/>
      <c r="P17" s="83"/>
      <c r="Q17" s="90"/>
      <c r="R17" s="83"/>
      <c r="S17" s="90"/>
      <c r="T17" s="92">
        <f>E17</f>
        <v>1399660</v>
      </c>
      <c r="U17" s="6">
        <f>F17</f>
        <v>645442</v>
      </c>
      <c r="V17" s="6">
        <f>T17-U17</f>
        <v>754218</v>
      </c>
      <c r="W17" s="4"/>
      <c r="X17" s="4"/>
    </row>
    <row r="18" spans="1:24" x14ac:dyDescent="0.2">
      <c r="A18" s="81">
        <v>100</v>
      </c>
      <c r="B18" s="151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62"/>
      <c r="N18" s="85"/>
      <c r="O18" s="86"/>
      <c r="P18" s="85"/>
      <c r="Q18" s="86"/>
      <c r="R18" s="85"/>
      <c r="S18" s="86"/>
      <c r="T18" s="62"/>
      <c r="U18" s="6">
        <f>F18</f>
        <v>82178</v>
      </c>
      <c r="V18" s="86"/>
      <c r="W18" s="4"/>
      <c r="X18" s="4"/>
    </row>
    <row r="19" spans="1:24" x14ac:dyDescent="0.2">
      <c r="A19" s="81">
        <v>310</v>
      </c>
      <c r="B19" s="151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62"/>
      <c r="N19" s="85"/>
      <c r="O19" s="86"/>
      <c r="P19" s="85"/>
      <c r="Q19" s="86"/>
      <c r="R19" s="85"/>
      <c r="S19" s="86"/>
      <c r="T19" s="62"/>
      <c r="U19" s="6">
        <f t="shared" ref="U19:U22" si="2">F19</f>
        <v>320809</v>
      </c>
      <c r="V19" s="86"/>
      <c r="W19" s="4"/>
      <c r="X19" s="4"/>
    </row>
    <row r="20" spans="1:24" x14ac:dyDescent="0.2">
      <c r="A20" s="81">
        <v>320</v>
      </c>
      <c r="B20" s="151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62"/>
      <c r="N20" s="85"/>
      <c r="O20" s="86"/>
      <c r="P20" s="85"/>
      <c r="Q20" s="86"/>
      <c r="R20" s="85"/>
      <c r="S20" s="86"/>
      <c r="T20" s="62"/>
      <c r="U20" s="6">
        <f t="shared" si="2"/>
        <v>242455</v>
      </c>
      <c r="V20" s="86"/>
      <c r="W20" s="4"/>
      <c r="X20" s="4"/>
    </row>
    <row r="21" spans="1:24" x14ac:dyDescent="0.2">
      <c r="A21" s="81">
        <v>330</v>
      </c>
      <c r="B21" s="151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62"/>
      <c r="N21" s="85"/>
      <c r="O21" s="86"/>
      <c r="P21" s="85"/>
      <c r="Q21" s="86"/>
      <c r="R21" s="85"/>
      <c r="S21" s="86"/>
      <c r="T21" s="62"/>
      <c r="U21" s="6">
        <f t="shared" si="2"/>
        <v>0</v>
      </c>
      <c r="V21" s="86"/>
      <c r="W21" s="4"/>
      <c r="X21" s="4"/>
    </row>
    <row r="22" spans="1:24" x14ac:dyDescent="0.2">
      <c r="A22" s="81"/>
      <c r="B22" s="151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91"/>
      <c r="N22" s="87"/>
      <c r="O22" s="88"/>
      <c r="P22" s="87"/>
      <c r="Q22" s="88"/>
      <c r="R22" s="87"/>
      <c r="S22" s="88"/>
      <c r="T22" s="91"/>
      <c r="U22" s="6">
        <f t="shared" si="2"/>
        <v>0</v>
      </c>
      <c r="V22" s="88"/>
      <c r="W22" s="4"/>
      <c r="X22" s="4"/>
    </row>
    <row r="23" spans="1:24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85"/>
      <c r="O23" s="86"/>
      <c r="P23" s="85"/>
      <c r="Q23" s="86"/>
      <c r="R23" s="85"/>
      <c r="S23" s="86"/>
      <c r="T23" s="4"/>
      <c r="U23" s="4"/>
      <c r="V23" s="4"/>
      <c r="W23" s="4"/>
      <c r="X23" s="4"/>
    </row>
    <row r="24" spans="1:24" x14ac:dyDescent="0.2">
      <c r="A24" s="81">
        <v>410</v>
      </c>
      <c r="B24" s="151" t="s">
        <v>73</v>
      </c>
      <c r="C24" s="94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/>
      <c r="O24" s="92"/>
      <c r="P24" s="93"/>
      <c r="Q24" s="92"/>
      <c r="R24" s="93"/>
      <c r="S24" s="92"/>
      <c r="T24" s="94">
        <f>J24</f>
        <v>88266</v>
      </c>
      <c r="U24" s="6">
        <v>0</v>
      </c>
      <c r="V24" s="6">
        <f>T24-U24</f>
        <v>88266</v>
      </c>
      <c r="W24" s="4"/>
      <c r="X24" s="4"/>
    </row>
    <row r="25" spans="1:24" x14ac:dyDescent="0.2">
      <c r="A25" s="81">
        <v>420</v>
      </c>
      <c r="B25" s="151" t="s">
        <v>74</v>
      </c>
      <c r="C25" s="89"/>
      <c r="D25" s="90"/>
      <c r="E25" s="83"/>
      <c r="F25" s="89"/>
      <c r="G25" s="89"/>
      <c r="H25" s="89"/>
      <c r="I25" s="90"/>
      <c r="J25" s="90"/>
      <c r="K25" s="90"/>
      <c r="L25" s="215">
        <f>691437.5+161700+20000</f>
        <v>873137.5</v>
      </c>
      <c r="M25" s="89">
        <v>525000</v>
      </c>
      <c r="N25" s="83"/>
      <c r="O25" s="90"/>
      <c r="P25" s="83"/>
      <c r="Q25" s="90"/>
      <c r="R25" s="83"/>
      <c r="S25" s="90"/>
      <c r="T25" s="94">
        <f>L25</f>
        <v>873137.5</v>
      </c>
      <c r="U25" s="6">
        <f>M25</f>
        <v>525000</v>
      </c>
      <c r="V25" s="6">
        <f>T25-U25</f>
        <v>348137.5</v>
      </c>
      <c r="W25" s="4"/>
      <c r="X25" s="4"/>
    </row>
    <row r="26" spans="1:24" x14ac:dyDescent="0.2">
      <c r="A26" s="82"/>
      <c r="B26" s="151" t="s">
        <v>121</v>
      </c>
      <c r="C26" s="93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161">
        <v>153000</v>
      </c>
      <c r="O26" s="6">
        <v>145000</v>
      </c>
      <c r="P26" s="93"/>
      <c r="Q26" s="92"/>
      <c r="R26" s="93"/>
      <c r="S26" s="92"/>
      <c r="T26" s="94">
        <f>N26</f>
        <v>153000</v>
      </c>
      <c r="U26" s="6">
        <v>8000</v>
      </c>
      <c r="V26" s="6">
        <f t="shared" ref="V26:V28" si="3">T26-U26</f>
        <v>145000</v>
      </c>
      <c r="W26" s="4"/>
      <c r="X26" s="4"/>
    </row>
    <row r="27" spans="1:24" x14ac:dyDescent="0.2">
      <c r="A27" s="82"/>
      <c r="B27" s="151" t="s">
        <v>129</v>
      </c>
      <c r="C27" s="93"/>
      <c r="D27" s="92"/>
      <c r="E27" s="93"/>
      <c r="F27" s="94"/>
      <c r="G27" s="94"/>
      <c r="H27" s="94"/>
      <c r="I27" s="94"/>
      <c r="J27" s="94"/>
      <c r="K27" s="94"/>
      <c r="L27" s="94"/>
      <c r="M27" s="94"/>
      <c r="N27" s="93"/>
      <c r="O27" s="92"/>
      <c r="P27" s="93"/>
      <c r="Q27" s="92"/>
      <c r="R27" s="161">
        <v>45000</v>
      </c>
      <c r="S27" s="6">
        <v>45000</v>
      </c>
      <c r="T27" s="94">
        <f>R27</f>
        <v>45000</v>
      </c>
      <c r="U27" s="6"/>
      <c r="V27" s="6">
        <f t="shared" si="3"/>
        <v>45000</v>
      </c>
      <c r="W27" s="4"/>
      <c r="X27" s="4"/>
    </row>
    <row r="28" spans="1:24" x14ac:dyDescent="0.2">
      <c r="A28" s="82"/>
      <c r="B28" s="151" t="s">
        <v>122</v>
      </c>
      <c r="C28" s="93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3"/>
      <c r="O28" s="92"/>
      <c r="P28" s="161">
        <v>35000</v>
      </c>
      <c r="Q28" s="6">
        <v>35000</v>
      </c>
      <c r="R28" s="93"/>
      <c r="S28" s="92"/>
      <c r="T28" s="94">
        <f>P28</f>
        <v>35000</v>
      </c>
      <c r="U28" s="6"/>
      <c r="V28" s="6">
        <f t="shared" si="3"/>
        <v>35000</v>
      </c>
      <c r="W28" s="4"/>
      <c r="X28" s="4"/>
    </row>
    <row r="29" spans="1:24" x14ac:dyDescent="0.2">
      <c r="A29" s="82">
        <v>910</v>
      </c>
      <c r="B29" s="151" t="s">
        <v>75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87"/>
      <c r="O29" s="88"/>
      <c r="P29" s="87"/>
      <c r="Q29" s="88"/>
      <c r="R29" s="87"/>
      <c r="S29" s="88"/>
      <c r="T29" s="92">
        <f>'Ausgangslage - Triage'!I11+'Ausgangslage - Triage'!B16+'Ausgangslage - Triage'!B24</f>
        <v>69640.600000000006</v>
      </c>
      <c r="U29" s="72">
        <f>0.5*'Ausgangslage - Triage'!I11+'Ausgangslage - Triage'!B16+'Ausgangslage - Triage'!B24</f>
        <v>49878.1</v>
      </c>
      <c r="V29" s="6">
        <f>T29-U29</f>
        <v>19762.500000000007</v>
      </c>
      <c r="W29" s="4"/>
      <c r="X29" s="4"/>
    </row>
    <row r="30" spans="1:24" x14ac:dyDescent="0.2">
      <c r="A30" s="7" t="s">
        <v>68</v>
      </c>
      <c r="B30" s="7"/>
      <c r="C30" s="190">
        <f>C29+C9</f>
        <v>1418754.75</v>
      </c>
      <c r="D30" s="193">
        <f>D29+D9</f>
        <v>780622</v>
      </c>
      <c r="E30" s="190">
        <f>E17</f>
        <v>1399660</v>
      </c>
      <c r="F30" s="193">
        <f>F18+F19+F20+F21+F22</f>
        <v>645442</v>
      </c>
      <c r="G30" s="210">
        <f>G18+G19+G20+G21+G22</f>
        <v>570319</v>
      </c>
      <c r="H30" s="212">
        <f>H18+H19+H20+H21+H22</f>
        <v>147384</v>
      </c>
      <c r="I30" s="213">
        <f>I18+I19+I20+I21+I22</f>
        <v>36515</v>
      </c>
      <c r="J30" s="190">
        <f>J24</f>
        <v>88266</v>
      </c>
      <c r="K30" s="210">
        <f>K24</f>
        <v>88266</v>
      </c>
      <c r="L30" s="190">
        <f>L25</f>
        <v>873137.5</v>
      </c>
      <c r="M30" s="193">
        <f>M25</f>
        <v>525000</v>
      </c>
      <c r="N30" s="191">
        <f>N26</f>
        <v>153000</v>
      </c>
      <c r="O30" s="211">
        <f>O26</f>
        <v>145000</v>
      </c>
      <c r="P30" s="191">
        <f>P28</f>
        <v>35000</v>
      </c>
      <c r="Q30" s="211">
        <f>Q28</f>
        <v>35000</v>
      </c>
      <c r="R30" s="191">
        <f>R27</f>
        <v>45000</v>
      </c>
      <c r="S30" s="211">
        <f>S27</f>
        <v>45000</v>
      </c>
      <c r="T30" s="187">
        <f>SUM(T9:T29)</f>
        <v>4082458.85</v>
      </c>
      <c r="U30" s="193">
        <f>U9+U17+U29+U25+U26+U27+U28</f>
        <v>2008942.1</v>
      </c>
      <c r="V30" s="8">
        <f>V9+V17+V24+V25+V29+V26+V27+V28</f>
        <v>2073516.75</v>
      </c>
      <c r="W30" s="4"/>
      <c r="X30" s="4"/>
    </row>
    <row r="31" spans="1:24" x14ac:dyDescent="0.2">
      <c r="A31" s="74">
        <v>777</v>
      </c>
      <c r="B31" s="66" t="s">
        <v>78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54">
        <f>T30-V30</f>
        <v>2008942.1</v>
      </c>
      <c r="V31" s="4"/>
      <c r="W31" s="4"/>
      <c r="X31" s="4"/>
    </row>
    <row r="32" spans="1:24" x14ac:dyDescent="0.2">
      <c r="A32" s="74">
        <v>900</v>
      </c>
      <c r="B32" s="66" t="s">
        <v>77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53">
        <f>U31/T30</f>
        <v>0.49209120625918862</v>
      </c>
      <c r="V32" s="153">
        <f>V30/T30</f>
        <v>0.50790879374081133</v>
      </c>
      <c r="W32" s="4"/>
      <c r="X32" s="4"/>
    </row>
    <row r="33" spans="1:24" x14ac:dyDescent="0.2">
      <c r="A33" s="74">
        <v>990</v>
      </c>
      <c r="B33" s="66" t="s">
        <v>76</v>
      </c>
      <c r="C33" s="4"/>
      <c r="D33" s="4"/>
      <c r="E33" s="4"/>
      <c r="F33" s="4"/>
      <c r="G33" s="4"/>
      <c r="H33" s="4"/>
      <c r="I33" s="4"/>
      <c r="J33" s="4"/>
      <c r="K33" s="4"/>
      <c r="L33" s="4"/>
      <c r="T33" s="4"/>
      <c r="U33" s="155"/>
      <c r="V33" s="155"/>
      <c r="W33" s="4"/>
      <c r="X33" s="4"/>
    </row>
    <row r="34" spans="1:24" x14ac:dyDescent="0.2">
      <c r="A34" s="1" t="s">
        <v>5</v>
      </c>
      <c r="C34" s="4"/>
      <c r="D34" s="4"/>
      <c r="E34" s="4"/>
      <c r="F34" s="4"/>
      <c r="G34" s="4"/>
      <c r="H34" s="4"/>
      <c r="I34" s="4"/>
      <c r="J34" s="4"/>
      <c r="K34" s="4"/>
      <c r="L34" s="4"/>
      <c r="T34" s="4"/>
      <c r="U34" s="155"/>
      <c r="V34" s="155"/>
      <c r="W34" s="4"/>
      <c r="X34" s="4"/>
    </row>
    <row r="35" spans="1:24" x14ac:dyDescent="0.2">
      <c r="A35" s="1"/>
      <c r="C35" s="4"/>
      <c r="D35" s="4"/>
      <c r="E35" s="4"/>
      <c r="F35" s="4"/>
      <c r="G35" s="4"/>
      <c r="H35" s="4"/>
      <c r="I35" s="4"/>
      <c r="J35" s="4"/>
      <c r="K35" s="4"/>
      <c r="L35" s="4"/>
      <c r="T35" s="4"/>
      <c r="U35" s="155"/>
      <c r="V35" s="155"/>
      <c r="W35" s="4"/>
      <c r="X35" s="4"/>
    </row>
    <row r="36" spans="1:24" x14ac:dyDescent="0.2">
      <c r="A36" s="174" t="s">
        <v>127</v>
      </c>
      <c r="B36" s="164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4"/>
      <c r="N36" s="164"/>
      <c r="O36" s="164"/>
      <c r="P36" s="164"/>
      <c r="Q36" s="164"/>
      <c r="R36" s="164"/>
      <c r="S36" s="164"/>
      <c r="T36" s="163"/>
      <c r="U36" s="175"/>
      <c r="V36" s="175"/>
      <c r="W36" s="4"/>
      <c r="X36" s="4"/>
    </row>
    <row r="37" spans="1:24" ht="39.75" customHeight="1" x14ac:dyDescent="0.2">
      <c r="A37" s="1"/>
      <c r="C37" s="4"/>
      <c r="D37" s="4"/>
      <c r="E37" s="4"/>
      <c r="F37" s="4"/>
      <c r="G37" s="4"/>
      <c r="H37" s="4"/>
      <c r="I37" s="220">
        <v>44621</v>
      </c>
      <c r="J37" s="4"/>
      <c r="K37" s="256" t="s">
        <v>143</v>
      </c>
      <c r="L37" s="257"/>
      <c r="M37" s="256" t="s">
        <v>145</v>
      </c>
      <c r="N37" s="257"/>
      <c r="O37" s="261" t="s">
        <v>144</v>
      </c>
      <c r="P37" s="262"/>
      <c r="Q37" s="256" t="s">
        <v>146</v>
      </c>
      <c r="R37" s="257"/>
      <c r="S37" s="268" t="s">
        <v>147</v>
      </c>
      <c r="T37" s="269"/>
      <c r="U37" s="155"/>
      <c r="V37" s="155"/>
      <c r="W37" s="4"/>
      <c r="X37" s="4"/>
    </row>
    <row r="38" spans="1:24" x14ac:dyDescent="0.2">
      <c r="A38" s="1"/>
      <c r="C38" s="4"/>
      <c r="D38" s="4"/>
      <c r="E38" s="4"/>
      <c r="F38" s="4"/>
      <c r="G38" s="4"/>
      <c r="H38" s="201" t="s">
        <v>134</v>
      </c>
      <c r="I38" s="201" t="s">
        <v>135</v>
      </c>
      <c r="J38" s="4"/>
      <c r="K38" s="85"/>
      <c r="L38" s="86"/>
      <c r="M38" s="85"/>
      <c r="N38" s="86"/>
      <c r="O38" s="184"/>
      <c r="P38" s="185"/>
      <c r="Q38" s="85"/>
      <c r="R38" s="86"/>
      <c r="S38" s="222"/>
      <c r="T38" s="223"/>
      <c r="U38" s="155"/>
      <c r="V38" s="155"/>
      <c r="W38" s="4"/>
      <c r="X38" s="4"/>
    </row>
    <row r="39" spans="1:24" x14ac:dyDescent="0.2">
      <c r="A39" s="1"/>
      <c r="B39" s="206" t="s">
        <v>136</v>
      </c>
      <c r="C39" s="207">
        <v>44651</v>
      </c>
      <c r="F39" s="4"/>
      <c r="G39" s="200" t="s">
        <v>130</v>
      </c>
      <c r="H39" s="202">
        <v>2000942</v>
      </c>
      <c r="I39" s="203">
        <v>1826413</v>
      </c>
      <c r="J39" s="153">
        <f>I39/I43</f>
        <v>0.51957706147893634</v>
      </c>
      <c r="K39" s="264">
        <f>J39*C41</f>
        <v>2038328.9213008934</v>
      </c>
      <c r="L39" s="264"/>
      <c r="M39" s="258">
        <f>U30</f>
        <v>2008942.1</v>
      </c>
      <c r="N39" s="258"/>
      <c r="O39" s="266">
        <f>M39/T30</f>
        <v>0.49209120625918862</v>
      </c>
      <c r="P39" s="266"/>
      <c r="Q39" s="258">
        <f>I39+297000</f>
        <v>2123413</v>
      </c>
      <c r="R39" s="258"/>
      <c r="S39" s="258">
        <f>U39*C41</f>
        <v>2074402.338159146</v>
      </c>
      <c r="T39" s="258"/>
      <c r="U39" s="221">
        <f>Q39/Q43</f>
        <v>0.52877229966294526</v>
      </c>
      <c r="V39" s="155"/>
      <c r="W39" s="4"/>
      <c r="X39" s="4"/>
    </row>
    <row r="40" spans="1:24" x14ac:dyDescent="0.2">
      <c r="A40" s="1"/>
      <c r="B40" s="75" t="s">
        <v>138</v>
      </c>
      <c r="C40" s="199">
        <f>3515191.75</f>
        <v>3515191.75</v>
      </c>
      <c r="F40" s="4"/>
      <c r="G40" s="208" t="s">
        <v>131</v>
      </c>
      <c r="H40" s="271">
        <v>2081517</v>
      </c>
      <c r="I40" s="271">
        <f>C40-I39</f>
        <v>1688778.75</v>
      </c>
      <c r="J40" s="263">
        <f>I40/I43</f>
        <v>0.4804229385210636</v>
      </c>
      <c r="K40" s="265">
        <f>J40*C41</f>
        <v>1884725.1786991064</v>
      </c>
      <c r="L40" s="265"/>
      <c r="M40" s="259">
        <f>V30</f>
        <v>2073516.75</v>
      </c>
      <c r="N40" s="259"/>
      <c r="O40" s="267">
        <f>M40/T30</f>
        <v>0.50790879374081133</v>
      </c>
      <c r="P40" s="267"/>
      <c r="Q40" s="259">
        <f>I40+203550</f>
        <v>1892328.75</v>
      </c>
      <c r="R40" s="259"/>
      <c r="S40" s="270">
        <f>C41-S39</f>
        <v>1848651.7618408541</v>
      </c>
      <c r="T40" s="270"/>
      <c r="U40" s="267">
        <f>Q40/Q43</f>
        <v>0.4712277003370548</v>
      </c>
      <c r="V40" s="155"/>
      <c r="W40" s="4"/>
      <c r="X40" s="4"/>
    </row>
    <row r="41" spans="1:24" x14ac:dyDescent="0.2">
      <c r="A41" s="1"/>
      <c r="B41" t="s">
        <v>139</v>
      </c>
      <c r="C41" s="4">
        <v>3923054.1</v>
      </c>
      <c r="D41" s="4"/>
      <c r="E41" s="4"/>
      <c r="F41" s="4"/>
      <c r="G41" s="195" t="s">
        <v>132</v>
      </c>
      <c r="H41" s="271"/>
      <c r="I41" s="271"/>
      <c r="J41" s="263"/>
      <c r="K41" s="265"/>
      <c r="L41" s="265"/>
      <c r="M41" s="259"/>
      <c r="N41" s="259"/>
      <c r="O41" s="267"/>
      <c r="P41" s="267"/>
      <c r="Q41" s="259"/>
      <c r="R41" s="259"/>
      <c r="S41" s="270"/>
      <c r="T41" s="270"/>
      <c r="U41" s="267"/>
      <c r="V41" s="155"/>
      <c r="W41" s="4"/>
      <c r="X41" s="4"/>
    </row>
    <row r="42" spans="1:24" x14ac:dyDescent="0.2">
      <c r="A42" s="1"/>
      <c r="B42" s="112" t="s">
        <v>140</v>
      </c>
      <c r="C42" s="205">
        <f>T30</f>
        <v>4082458.85</v>
      </c>
      <c r="D42" s="4"/>
      <c r="E42" s="4"/>
      <c r="F42" s="4"/>
      <c r="G42" s="196" t="s">
        <v>133</v>
      </c>
      <c r="H42" s="271"/>
      <c r="I42" s="271"/>
      <c r="J42" s="263"/>
      <c r="K42" s="265"/>
      <c r="L42" s="265"/>
      <c r="M42" s="259"/>
      <c r="N42" s="259"/>
      <c r="O42" s="267"/>
      <c r="P42" s="267"/>
      <c r="Q42" s="259"/>
      <c r="R42" s="259"/>
      <c r="S42" s="270"/>
      <c r="T42" s="270"/>
      <c r="U42" s="267"/>
      <c r="V42" s="155"/>
      <c r="W42" s="4"/>
      <c r="X42" s="4"/>
    </row>
    <row r="43" spans="1:24" x14ac:dyDescent="0.2">
      <c r="A43" s="1"/>
      <c r="C43" s="4"/>
      <c r="D43" s="4"/>
      <c r="E43" s="4"/>
      <c r="F43" s="4"/>
      <c r="G43" s="4"/>
      <c r="H43" s="4">
        <f>SUM(H39:H42)</f>
        <v>4082459</v>
      </c>
      <c r="I43" s="4">
        <f>SUM(I39:I42)</f>
        <v>3515191.75</v>
      </c>
      <c r="J43" s="4"/>
      <c r="K43" s="260">
        <f t="shared" ref="K43:Q43" si="4">SUM(K39:L42)</f>
        <v>3923054.0999999996</v>
      </c>
      <c r="L43" s="260"/>
      <c r="M43" s="260">
        <f t="shared" si="4"/>
        <v>4082458.85</v>
      </c>
      <c r="N43" s="260"/>
      <c r="O43" s="260">
        <f t="shared" si="4"/>
        <v>1</v>
      </c>
      <c r="P43" s="260"/>
      <c r="Q43" s="260">
        <f t="shared" si="4"/>
        <v>4015741.75</v>
      </c>
      <c r="R43" s="260"/>
      <c r="S43" s="272">
        <f t="shared" ref="S43" si="5">SUM(S39:T42)</f>
        <v>3923054.1</v>
      </c>
      <c r="T43" s="272"/>
      <c r="U43" s="155"/>
      <c r="V43" s="155"/>
      <c r="W43" s="4"/>
      <c r="X43" s="4"/>
    </row>
    <row r="44" spans="1:24" x14ac:dyDescent="0.2">
      <c r="A44" s="1"/>
      <c r="B44" t="s">
        <v>141</v>
      </c>
      <c r="C44" s="4">
        <f>C41-C42</f>
        <v>-159404.75</v>
      </c>
      <c r="D44" s="4"/>
      <c r="E44" s="4"/>
      <c r="F44" s="4"/>
      <c r="G44" s="4"/>
      <c r="H44" s="204"/>
      <c r="I44" s="4"/>
      <c r="J44" s="4"/>
      <c r="K44" s="4"/>
      <c r="L44" s="4"/>
      <c r="T44" s="4"/>
      <c r="U44" s="155"/>
      <c r="V44" s="155"/>
      <c r="W44" s="4"/>
      <c r="X44" s="4"/>
    </row>
    <row r="45" spans="1:24" x14ac:dyDescent="0.2">
      <c r="A45" s="1"/>
      <c r="C45" s="4"/>
      <c r="D45" s="4"/>
      <c r="E45" s="4"/>
      <c r="F45" s="4"/>
      <c r="G45" s="4"/>
      <c r="H45" s="204"/>
      <c r="I45" s="4"/>
      <c r="J45" s="4"/>
      <c r="K45" s="4"/>
      <c r="L45" s="4"/>
      <c r="T45" s="4"/>
      <c r="U45" s="155"/>
      <c r="V45" s="155"/>
      <c r="W45" s="4"/>
      <c r="X45" s="4"/>
    </row>
    <row r="46" spans="1:24" x14ac:dyDescent="0.2">
      <c r="A46" s="1"/>
      <c r="C46" s="4"/>
      <c r="D46" s="4"/>
      <c r="E46" s="4"/>
      <c r="F46" s="4"/>
      <c r="G46" s="4"/>
      <c r="H46" s="204"/>
      <c r="I46" s="4"/>
      <c r="J46" s="4"/>
      <c r="K46" s="4"/>
      <c r="L46" s="4"/>
      <c r="T46" s="4"/>
      <c r="U46" s="155"/>
      <c r="V46" s="155"/>
      <c r="W46" s="4"/>
      <c r="X46" s="4"/>
    </row>
    <row r="47" spans="1:24" x14ac:dyDescent="0.2">
      <c r="A47" s="1"/>
      <c r="C47" s="4"/>
      <c r="D47" s="4"/>
      <c r="E47" s="4"/>
      <c r="F47" s="4"/>
      <c r="G47" s="4"/>
      <c r="H47" s="204"/>
      <c r="I47" s="4"/>
      <c r="J47" s="4"/>
      <c r="K47" s="4"/>
      <c r="L47" s="4"/>
      <c r="T47" s="4"/>
      <c r="U47" s="155"/>
      <c r="V47" s="155"/>
      <c r="W47" s="4"/>
      <c r="X47" s="4"/>
    </row>
    <row r="48" spans="1:24" x14ac:dyDescent="0.2">
      <c r="A48" s="1"/>
      <c r="C48" s="4"/>
      <c r="D48" s="4"/>
      <c r="E48" s="4"/>
      <c r="F48" s="4"/>
      <c r="G48" s="4"/>
      <c r="H48" s="204"/>
      <c r="I48" s="4"/>
      <c r="J48" s="4"/>
      <c r="K48" s="4"/>
      <c r="L48" s="4"/>
      <c r="T48" s="4"/>
      <c r="U48" s="155"/>
      <c r="V48" s="155"/>
      <c r="W48" s="4"/>
      <c r="X48" s="4"/>
    </row>
    <row r="49" spans="1:24" x14ac:dyDescent="0.2">
      <c r="A49" s="1"/>
      <c r="C49" s="4"/>
      <c r="D49" s="4"/>
      <c r="E49" s="4"/>
      <c r="F49" s="4"/>
      <c r="G49" s="4"/>
      <c r="H49" s="204"/>
      <c r="I49" s="4"/>
      <c r="J49" s="4"/>
      <c r="K49" s="4"/>
      <c r="L49" s="4"/>
      <c r="T49" s="4"/>
      <c r="U49" s="155"/>
      <c r="V49" s="155"/>
      <c r="W49" s="4"/>
      <c r="X49" s="4"/>
    </row>
    <row r="50" spans="1:24" x14ac:dyDescent="0.2">
      <c r="A50" s="1"/>
      <c r="C50" s="4"/>
      <c r="D50" s="4"/>
      <c r="E50" s="4"/>
      <c r="F50" s="4"/>
      <c r="G50" s="4"/>
      <c r="H50" s="204"/>
      <c r="I50" s="4"/>
      <c r="J50" s="4"/>
      <c r="K50" s="4"/>
      <c r="L50" s="4"/>
      <c r="T50" s="4"/>
      <c r="U50" s="155"/>
      <c r="V50" s="155"/>
      <c r="W50" s="4"/>
      <c r="X50" s="4"/>
    </row>
    <row r="51" spans="1:24" x14ac:dyDescent="0.2">
      <c r="A51" s="1"/>
      <c r="C51" s="4"/>
      <c r="D51" s="4"/>
      <c r="E51" s="4"/>
      <c r="F51" s="4"/>
      <c r="G51" s="4"/>
      <c r="H51" s="204"/>
      <c r="I51" s="4"/>
      <c r="J51" s="4"/>
      <c r="K51" s="4"/>
      <c r="L51" s="4"/>
      <c r="T51" s="4"/>
      <c r="U51" s="155"/>
      <c r="V51" s="155"/>
      <c r="W51" s="4"/>
      <c r="X51" s="4"/>
    </row>
    <row r="52" spans="1:24" x14ac:dyDescent="0.2">
      <c r="A52" s="1"/>
      <c r="C52" s="4"/>
      <c r="D52" s="4"/>
      <c r="E52" s="4"/>
      <c r="F52" s="4"/>
      <c r="G52" s="4"/>
      <c r="H52" s="204"/>
      <c r="I52" s="4"/>
      <c r="J52" s="4"/>
      <c r="K52" s="4"/>
      <c r="L52" s="4"/>
      <c r="T52" s="4"/>
      <c r="U52" s="155"/>
      <c r="V52" s="155"/>
      <c r="W52" s="4"/>
      <c r="X52" s="4"/>
    </row>
    <row r="53" spans="1:24" x14ac:dyDescent="0.2">
      <c r="A53" s="1"/>
      <c r="C53" s="4"/>
      <c r="D53" s="4"/>
      <c r="E53" s="4"/>
      <c r="F53" s="4"/>
      <c r="G53" s="4"/>
      <c r="H53" s="204"/>
      <c r="I53" s="4"/>
      <c r="J53" s="4"/>
      <c r="K53" s="4"/>
      <c r="L53" s="4"/>
      <c r="T53" s="4"/>
      <c r="U53" s="155"/>
      <c r="V53" s="155"/>
      <c r="W53" s="4"/>
      <c r="X53" s="4"/>
    </row>
    <row r="54" spans="1:24" x14ac:dyDescent="0.2">
      <c r="A54" s="1"/>
      <c r="C54" s="4"/>
      <c r="D54" s="4"/>
      <c r="E54" s="4"/>
      <c r="F54" s="4"/>
      <c r="G54" s="4"/>
      <c r="H54" s="198"/>
      <c r="I54" s="4"/>
      <c r="J54" s="4"/>
      <c r="K54" s="4"/>
      <c r="L54" s="4"/>
      <c r="T54" s="4"/>
      <c r="U54" s="155"/>
      <c r="V54" s="155"/>
      <c r="W54" s="4"/>
      <c r="X54" s="4"/>
    </row>
    <row r="55" spans="1:24" x14ac:dyDescent="0.2">
      <c r="A55" s="1"/>
      <c r="C55" s="4"/>
      <c r="D55" s="4"/>
      <c r="E55" s="4"/>
      <c r="F55" s="4"/>
      <c r="G55" s="4"/>
      <c r="H55" s="4"/>
      <c r="I55" s="4"/>
      <c r="J55" s="4"/>
      <c r="K55" s="4"/>
      <c r="L55" s="4"/>
      <c r="T55" s="4"/>
      <c r="U55" s="155"/>
      <c r="V55" s="155"/>
      <c r="W55" s="4"/>
      <c r="X55" s="4"/>
    </row>
    <row r="56" spans="1:24" x14ac:dyDescent="0.2">
      <c r="A56" s="1"/>
      <c r="C56" s="4"/>
      <c r="D56" s="4"/>
      <c r="E56" s="4"/>
      <c r="F56" s="4"/>
      <c r="G56" s="4"/>
      <c r="H56" s="4"/>
      <c r="I56" s="4"/>
      <c r="J56" s="4"/>
      <c r="K56" s="4"/>
      <c r="L56" s="4"/>
      <c r="T56" s="4"/>
      <c r="U56" s="155"/>
      <c r="V56" s="155"/>
      <c r="W56" s="4"/>
      <c r="X56" s="4"/>
    </row>
    <row r="57" spans="1:24" x14ac:dyDescent="0.2">
      <c r="T57" s="56"/>
      <c r="U57" s="56"/>
      <c r="V57" s="56"/>
      <c r="W57" s="56"/>
      <c r="X57" s="56"/>
    </row>
    <row r="58" spans="1:24" x14ac:dyDescent="0.2">
      <c r="A58" s="75" t="s">
        <v>86</v>
      </c>
      <c r="B58" s="75"/>
      <c r="C58" s="75"/>
      <c r="D58" s="75"/>
      <c r="E58" s="75"/>
      <c r="F58" s="75"/>
      <c r="G58" s="75"/>
      <c r="H58" s="75"/>
      <c r="I58" s="75"/>
      <c r="U58" s="73">
        <f>U33-U31</f>
        <v>-2008942.1</v>
      </c>
    </row>
    <row r="59" spans="1:24" x14ac:dyDescent="0.2">
      <c r="A59" s="75" t="s">
        <v>85</v>
      </c>
      <c r="B59" s="75"/>
      <c r="C59" s="75"/>
      <c r="D59" s="75"/>
      <c r="E59" s="75"/>
      <c r="F59" s="75"/>
      <c r="G59" s="75"/>
      <c r="H59" s="75"/>
      <c r="I59" s="75"/>
      <c r="U59" s="73">
        <f>U34-U31</f>
        <v>-2008942.1</v>
      </c>
    </row>
    <row r="60" spans="1:24" x14ac:dyDescent="0.2">
      <c r="A60" s="75" t="s">
        <v>93</v>
      </c>
      <c r="B60" s="75"/>
      <c r="C60" s="75"/>
      <c r="D60" s="75"/>
      <c r="E60" s="75"/>
      <c r="F60" s="75"/>
      <c r="G60" s="75"/>
      <c r="H60" s="75"/>
      <c r="I60" s="75"/>
    </row>
    <row r="62" spans="1:24" x14ac:dyDescent="0.2">
      <c r="A62" s="28" t="s">
        <v>114</v>
      </c>
      <c r="B62" s="28"/>
      <c r="C62" s="28"/>
      <c r="D62" s="28"/>
      <c r="E62" s="28"/>
      <c r="F62" s="28"/>
      <c r="G62" s="28"/>
      <c r="H62" s="28"/>
      <c r="I62" s="28"/>
      <c r="L62" s="63">
        <f t="shared" ref="L62:L64" si="6">L72/G72</f>
        <v>1.8155760368663594</v>
      </c>
    </row>
    <row r="63" spans="1:24" x14ac:dyDescent="0.2">
      <c r="L63" s="63" t="e">
        <f t="shared" si="6"/>
        <v>#DIV/0!</v>
      </c>
    </row>
    <row r="64" spans="1:24" x14ac:dyDescent="0.2">
      <c r="L64" s="63">
        <f t="shared" si="6"/>
        <v>0.56249929687587885</v>
      </c>
    </row>
    <row r="65" spans="1:29" ht="16.5" x14ac:dyDescent="0.3">
      <c r="A65" s="59" t="s">
        <v>99</v>
      </c>
      <c r="B65" s="60"/>
      <c r="C65" s="61"/>
      <c r="D65" s="61"/>
      <c r="E65" s="62"/>
      <c r="F65" s="63"/>
      <c r="G65" s="63"/>
      <c r="H65" s="63"/>
      <c r="I65" s="63"/>
      <c r="J65" s="63"/>
      <c r="K65" s="63"/>
      <c r="L65" s="63">
        <f>L75/G75</f>
        <v>1.5461925009663704</v>
      </c>
      <c r="M65" s="63"/>
      <c r="N65" s="63"/>
      <c r="O65" s="63"/>
      <c r="P65" s="63"/>
      <c r="Q65" s="63"/>
      <c r="R65" s="63"/>
      <c r="S65" s="63"/>
      <c r="T65" s="63"/>
      <c r="U65" s="63"/>
      <c r="AC65" t="s">
        <v>116</v>
      </c>
    </row>
    <row r="66" spans="1:29" ht="13.5" thickBot="1" x14ac:dyDescent="0.25">
      <c r="C66" s="112" t="s">
        <v>104</v>
      </c>
      <c r="D66" s="112" t="s">
        <v>104</v>
      </c>
      <c r="G66" s="113" t="s">
        <v>105</v>
      </c>
      <c r="I66" s="112" t="s">
        <v>104</v>
      </c>
      <c r="L66" s="113" t="s">
        <v>105</v>
      </c>
      <c r="R66" s="241" t="s">
        <v>24</v>
      </c>
      <c r="S66" s="241"/>
      <c r="T66" s="241"/>
    </row>
    <row r="67" spans="1:29" x14ac:dyDescent="0.2">
      <c r="A67" s="15" t="s">
        <v>0</v>
      </c>
      <c r="B67" s="31" t="s">
        <v>1</v>
      </c>
      <c r="C67" s="242" t="s">
        <v>2</v>
      </c>
      <c r="D67" s="243"/>
      <c r="E67" s="243"/>
      <c r="F67" s="243"/>
      <c r="G67" s="243"/>
      <c r="H67" s="244"/>
      <c r="I67" s="245" t="s">
        <v>11</v>
      </c>
      <c r="J67" s="243"/>
      <c r="K67" s="243"/>
      <c r="L67" s="243"/>
      <c r="M67" s="244"/>
      <c r="N67" s="38" t="s">
        <v>10</v>
      </c>
      <c r="O67" s="38" t="s">
        <v>2</v>
      </c>
      <c r="P67" s="102" t="s">
        <v>11</v>
      </c>
      <c r="R67" s="241" t="s">
        <v>5</v>
      </c>
      <c r="S67" s="241"/>
      <c r="T67" s="241"/>
    </row>
    <row r="68" spans="1:29" ht="13.5" x14ac:dyDescent="0.25">
      <c r="A68" s="11"/>
      <c r="B68" s="9"/>
      <c r="C68" s="46" t="s">
        <v>148</v>
      </c>
      <c r="D68" s="24" t="s">
        <v>3</v>
      </c>
      <c r="E68" s="24" t="s">
        <v>4</v>
      </c>
      <c r="F68" s="24" t="s">
        <v>5</v>
      </c>
      <c r="G68" s="24" t="s">
        <v>8</v>
      </c>
      <c r="H68" s="25" t="s">
        <v>7</v>
      </c>
      <c r="I68" s="64" t="s">
        <v>149</v>
      </c>
      <c r="J68" s="24" t="s">
        <v>4</v>
      </c>
      <c r="K68" s="24" t="s">
        <v>5</v>
      </c>
      <c r="L68" s="24" t="s">
        <v>8</v>
      </c>
      <c r="M68" s="25" t="s">
        <v>7</v>
      </c>
      <c r="N68" s="39" t="s">
        <v>7</v>
      </c>
      <c r="O68" s="101" t="s">
        <v>18</v>
      </c>
      <c r="P68" s="44" t="s">
        <v>18</v>
      </c>
      <c r="R68" s="151" t="s">
        <v>36</v>
      </c>
      <c r="S68" s="151" t="s">
        <v>37</v>
      </c>
      <c r="T68" s="5"/>
    </row>
    <row r="69" spans="1:29" ht="13.5" x14ac:dyDescent="0.25">
      <c r="A69" s="11"/>
      <c r="B69" s="9"/>
      <c r="C69" s="22" t="s">
        <v>112</v>
      </c>
      <c r="D69" s="24" t="s">
        <v>31</v>
      </c>
      <c r="E69" s="24"/>
      <c r="F69" s="24"/>
      <c r="G69" s="24"/>
      <c r="H69" s="25" t="s">
        <v>6</v>
      </c>
      <c r="I69" s="64" t="s">
        <v>33</v>
      </c>
      <c r="J69" s="246" t="s">
        <v>17</v>
      </c>
      <c r="K69" s="247"/>
      <c r="L69" s="26"/>
      <c r="M69" s="25" t="s">
        <v>6</v>
      </c>
      <c r="N69" s="39" t="s">
        <v>6</v>
      </c>
      <c r="O69" s="101" t="s">
        <v>19</v>
      </c>
      <c r="P69" s="44" t="s">
        <v>19</v>
      </c>
      <c r="R69" s="5"/>
      <c r="S69" s="5"/>
      <c r="T69" s="5"/>
      <c r="W69" t="s">
        <v>117</v>
      </c>
      <c r="X69" t="s">
        <v>118</v>
      </c>
    </row>
    <row r="70" spans="1:29" x14ac:dyDescent="0.2">
      <c r="A70" s="11"/>
      <c r="B70" s="9"/>
      <c r="C70" s="22">
        <v>0</v>
      </c>
      <c r="D70" s="24">
        <v>1</v>
      </c>
      <c r="E70" s="24" t="s">
        <v>13</v>
      </c>
      <c r="F70" s="24">
        <v>3</v>
      </c>
      <c r="G70" s="24">
        <v>4</v>
      </c>
      <c r="H70" s="25" t="s">
        <v>30</v>
      </c>
      <c r="I70" s="152">
        <v>6</v>
      </c>
      <c r="J70" s="24" t="s">
        <v>14</v>
      </c>
      <c r="K70" s="24">
        <v>8</v>
      </c>
      <c r="L70" s="24">
        <v>9</v>
      </c>
      <c r="M70" s="25" t="s">
        <v>9</v>
      </c>
      <c r="N70" s="40" t="s">
        <v>15</v>
      </c>
      <c r="O70" s="48" t="s">
        <v>35</v>
      </c>
      <c r="P70" s="103" t="s">
        <v>21</v>
      </c>
      <c r="R70" s="151" t="s">
        <v>38</v>
      </c>
      <c r="S70" s="151" t="s">
        <v>22</v>
      </c>
      <c r="T70" s="151" t="s">
        <v>23</v>
      </c>
    </row>
    <row r="71" spans="1:29" x14ac:dyDescent="0.2">
      <c r="A71" s="12"/>
      <c r="B71" s="10"/>
      <c r="C71" s="12"/>
      <c r="D71" s="5"/>
      <c r="E71" s="5"/>
      <c r="F71" s="5"/>
      <c r="G71" s="5"/>
      <c r="H71" s="13"/>
      <c r="I71" s="17"/>
      <c r="J71" s="5"/>
      <c r="K71" s="5"/>
      <c r="L71" s="5"/>
      <c r="M71" s="13"/>
      <c r="N71" s="41"/>
      <c r="O71" s="41"/>
      <c r="P71" s="104"/>
      <c r="R71" s="5"/>
      <c r="S71" s="5"/>
      <c r="T71" s="5"/>
    </row>
    <row r="72" spans="1:29" x14ac:dyDescent="0.2">
      <c r="A72" s="12">
        <v>100</v>
      </c>
      <c r="B72" s="10" t="s">
        <v>101</v>
      </c>
      <c r="C72" s="18">
        <v>52257</v>
      </c>
      <c r="D72" s="18">
        <v>42558</v>
      </c>
      <c r="E72" s="27">
        <f>F72-D72</f>
        <v>10850</v>
      </c>
      <c r="F72" s="225">
        <v>53408</v>
      </c>
      <c r="G72" s="20">
        <v>10850</v>
      </c>
      <c r="H72" s="33">
        <f t="shared" ref="H72:H84" si="7">C72+G72</f>
        <v>63107</v>
      </c>
      <c r="I72" s="18">
        <v>66917.75</v>
      </c>
      <c r="J72" s="37">
        <f>K72-I72</f>
        <v>0</v>
      </c>
      <c r="K72" s="224">
        <v>66917.75</v>
      </c>
      <c r="L72" s="37">
        <v>19699</v>
      </c>
      <c r="M72" s="33">
        <f>I72+L72</f>
        <v>86616.75</v>
      </c>
      <c r="N72" s="42">
        <f t="shared" ref="N72:N78" si="8">H72-M72</f>
        <v>-23509.75</v>
      </c>
      <c r="O72" s="49">
        <f t="shared" ref="O72:O78" si="9">F72-D72</f>
        <v>10850</v>
      </c>
      <c r="P72" s="105">
        <f t="shared" ref="P72:P78" si="10">F72-N72-I72</f>
        <v>10000</v>
      </c>
      <c r="R72" s="100">
        <f t="shared" ref="R72:R77" si="11">F72</f>
        <v>53408</v>
      </c>
      <c r="S72" s="100">
        <f t="shared" ref="S72:S77" si="12">P72+I72</f>
        <v>76917.75</v>
      </c>
      <c r="T72" s="50">
        <f>R72-S72</f>
        <v>-23509.75</v>
      </c>
      <c r="W72">
        <v>6000</v>
      </c>
    </row>
    <row r="73" spans="1:29" x14ac:dyDescent="0.2">
      <c r="A73" s="12">
        <v>200</v>
      </c>
      <c r="B73" s="10" t="s">
        <v>42</v>
      </c>
      <c r="C73" s="18">
        <f>607215.5+32.97</f>
        <v>607248.47</v>
      </c>
      <c r="D73" s="18">
        <v>603751</v>
      </c>
      <c r="E73" s="27">
        <f t="shared" ref="E73:E81" si="13">F73-D73</f>
        <v>0</v>
      </c>
      <c r="F73" s="225">
        <v>603751</v>
      </c>
      <c r="G73" s="20">
        <v>0</v>
      </c>
      <c r="H73" s="33">
        <f t="shared" si="7"/>
        <v>607248.47</v>
      </c>
      <c r="I73" s="18">
        <v>746118.75</v>
      </c>
      <c r="J73" s="37">
        <f t="shared" ref="J73:J86" si="14">K73-I73</f>
        <v>-0.75</v>
      </c>
      <c r="K73" s="224">
        <v>746118</v>
      </c>
      <c r="L73" s="37">
        <v>0</v>
      </c>
      <c r="M73" s="33">
        <f t="shared" ref="M73:M86" si="15">I73+L73</f>
        <v>746118.75</v>
      </c>
      <c r="N73" s="42">
        <f t="shared" si="8"/>
        <v>-138870.28000000003</v>
      </c>
      <c r="O73" s="49">
        <f t="shared" si="9"/>
        <v>0</v>
      </c>
      <c r="P73" s="105">
        <f t="shared" si="10"/>
        <v>-3497.4699999999721</v>
      </c>
      <c r="R73" s="100">
        <f t="shared" si="11"/>
        <v>603751</v>
      </c>
      <c r="S73" s="100">
        <f t="shared" si="12"/>
        <v>742621.28</v>
      </c>
      <c r="T73" s="50">
        <f t="shared" ref="T73:T86" si="16">R73-S73</f>
        <v>-138870.28000000003</v>
      </c>
    </row>
    <row r="74" spans="1:29" x14ac:dyDescent="0.2">
      <c r="A74" s="12">
        <v>310</v>
      </c>
      <c r="B74" s="232" t="s">
        <v>69</v>
      </c>
      <c r="C74" s="233">
        <v>332499</v>
      </c>
      <c r="D74" s="233">
        <v>283111</v>
      </c>
      <c r="E74" s="27">
        <f>F74-D74</f>
        <v>88889</v>
      </c>
      <c r="F74" s="224">
        <v>372000</v>
      </c>
      <c r="G74" s="20">
        <v>88889</v>
      </c>
      <c r="H74" s="33">
        <f>C74+G74</f>
        <v>421388</v>
      </c>
      <c r="I74" s="18">
        <v>408600.5</v>
      </c>
      <c r="J74" s="37">
        <f t="shared" si="14"/>
        <v>49999.5</v>
      </c>
      <c r="K74" s="224">
        <v>458600</v>
      </c>
      <c r="L74" s="37">
        <v>50000</v>
      </c>
      <c r="M74" s="33">
        <f>I74+L74</f>
        <v>458600.5</v>
      </c>
      <c r="N74" s="42">
        <f t="shared" si="8"/>
        <v>-37212.5</v>
      </c>
      <c r="O74" s="49">
        <f t="shared" si="9"/>
        <v>88889</v>
      </c>
      <c r="P74" s="105">
        <f t="shared" si="10"/>
        <v>612</v>
      </c>
      <c r="R74" s="100">
        <f t="shared" si="11"/>
        <v>372000</v>
      </c>
      <c r="S74" s="100">
        <f t="shared" si="12"/>
        <v>409212.5</v>
      </c>
      <c r="T74" s="50">
        <f t="shared" si="16"/>
        <v>-37212.5</v>
      </c>
      <c r="W74">
        <v>50000</v>
      </c>
    </row>
    <row r="75" spans="1:29" x14ac:dyDescent="0.2">
      <c r="A75" s="12">
        <v>320</v>
      </c>
      <c r="B75" s="232" t="s">
        <v>70</v>
      </c>
      <c r="C75" s="233">
        <v>250492.5</v>
      </c>
      <c r="D75" s="233">
        <v>249065</v>
      </c>
      <c r="E75" s="27">
        <f>F75-D75</f>
        <v>12935</v>
      </c>
      <c r="F75" s="224">
        <v>262000</v>
      </c>
      <c r="G75" s="20">
        <v>12935</v>
      </c>
      <c r="H75" s="33">
        <f t="shared" si="7"/>
        <v>263427.5</v>
      </c>
      <c r="I75" s="18">
        <v>338092</v>
      </c>
      <c r="J75" s="37">
        <f t="shared" si="14"/>
        <v>14500</v>
      </c>
      <c r="K75" s="224">
        <v>352592</v>
      </c>
      <c r="L75" s="37">
        <v>20000</v>
      </c>
      <c r="M75" s="33">
        <f t="shared" si="15"/>
        <v>358092</v>
      </c>
      <c r="N75" s="42">
        <f t="shared" si="8"/>
        <v>-94664.5</v>
      </c>
      <c r="O75" s="49">
        <f t="shared" si="9"/>
        <v>12935</v>
      </c>
      <c r="P75" s="105">
        <f t="shared" si="10"/>
        <v>18572.5</v>
      </c>
      <c r="R75" s="100">
        <f t="shared" si="11"/>
        <v>262000</v>
      </c>
      <c r="S75" s="100">
        <f t="shared" si="12"/>
        <v>356664.5</v>
      </c>
      <c r="T75" s="50">
        <f t="shared" si="16"/>
        <v>-94664.5</v>
      </c>
      <c r="U75">
        <v>284806</v>
      </c>
      <c r="V75" s="56">
        <f>S75-U75</f>
        <v>71858.5</v>
      </c>
      <c r="W75">
        <v>2000</v>
      </c>
    </row>
    <row r="76" spans="1:29" x14ac:dyDescent="0.2">
      <c r="A76" s="12">
        <v>330</v>
      </c>
      <c r="B76" s="151" t="s">
        <v>71</v>
      </c>
      <c r="C76" s="18"/>
      <c r="D76" s="18"/>
      <c r="E76" s="27">
        <f t="shared" si="13"/>
        <v>0</v>
      </c>
      <c r="F76" s="225">
        <f>F21</f>
        <v>0</v>
      </c>
      <c r="G76" s="20"/>
      <c r="H76" s="33">
        <f t="shared" si="7"/>
        <v>0</v>
      </c>
      <c r="I76" s="18"/>
      <c r="J76" s="37">
        <f t="shared" si="14"/>
        <v>0</v>
      </c>
      <c r="K76" s="20"/>
      <c r="L76" s="37"/>
      <c r="M76" s="33">
        <f t="shared" si="15"/>
        <v>0</v>
      </c>
      <c r="N76" s="42">
        <f t="shared" si="8"/>
        <v>0</v>
      </c>
      <c r="O76" s="49">
        <f t="shared" si="9"/>
        <v>0</v>
      </c>
      <c r="P76" s="105">
        <f t="shared" si="10"/>
        <v>0</v>
      </c>
      <c r="R76" s="100">
        <f t="shared" si="11"/>
        <v>0</v>
      </c>
      <c r="S76" s="100">
        <f t="shared" si="12"/>
        <v>0</v>
      </c>
      <c r="T76" s="50">
        <f t="shared" si="16"/>
        <v>0</v>
      </c>
    </row>
    <row r="77" spans="1:29" s="231" customFormat="1" x14ac:dyDescent="0.2">
      <c r="A77" s="226">
        <v>420</v>
      </c>
      <c r="B77" s="234" t="s">
        <v>74</v>
      </c>
      <c r="C77" s="235">
        <v>389216</v>
      </c>
      <c r="D77" s="235">
        <v>315449</v>
      </c>
      <c r="E77" s="228">
        <f>F77-D77</f>
        <v>142565</v>
      </c>
      <c r="F77" s="224">
        <v>458014</v>
      </c>
      <c r="G77" s="229">
        <v>69000</v>
      </c>
      <c r="H77" s="123">
        <f>C77+G77</f>
        <v>458216</v>
      </c>
      <c r="I77" s="227">
        <v>491607.25</v>
      </c>
      <c r="J77" s="230">
        <f t="shared" si="14"/>
        <v>20415.75</v>
      </c>
      <c r="K77" s="224">
        <v>512023</v>
      </c>
      <c r="L77" s="230">
        <v>80000</v>
      </c>
      <c r="M77" s="123">
        <f>I77+L77</f>
        <v>571607.25</v>
      </c>
      <c r="N77" s="125">
        <f t="shared" si="8"/>
        <v>-113391.25</v>
      </c>
      <c r="O77" s="126">
        <f t="shared" si="9"/>
        <v>142565</v>
      </c>
      <c r="P77" s="127">
        <f t="shared" si="10"/>
        <v>79798</v>
      </c>
      <c r="R77" s="128">
        <f t="shared" si="11"/>
        <v>458014</v>
      </c>
      <c r="S77" s="128">
        <f t="shared" si="12"/>
        <v>571405.25</v>
      </c>
      <c r="T77" s="129">
        <f>R77-S77</f>
        <v>-113391.25</v>
      </c>
      <c r="W77" s="231">
        <v>70000</v>
      </c>
    </row>
    <row r="78" spans="1:29" x14ac:dyDescent="0.2">
      <c r="A78" s="12">
        <v>425</v>
      </c>
      <c r="B78" s="151" t="s">
        <v>72</v>
      </c>
      <c r="C78" s="18"/>
      <c r="D78" s="20"/>
      <c r="E78" s="27"/>
      <c r="F78" s="37"/>
      <c r="G78" s="20"/>
      <c r="H78" s="33">
        <f t="shared" si="7"/>
        <v>0</v>
      </c>
      <c r="I78" s="18"/>
      <c r="J78" s="37"/>
      <c r="K78" s="20"/>
      <c r="L78" s="37"/>
      <c r="M78" s="33">
        <f t="shared" si="15"/>
        <v>0</v>
      </c>
      <c r="N78" s="42">
        <f t="shared" si="8"/>
        <v>0</v>
      </c>
      <c r="O78" s="49">
        <f t="shared" si="9"/>
        <v>0</v>
      </c>
      <c r="P78" s="105">
        <f t="shared" si="10"/>
        <v>0</v>
      </c>
      <c r="R78" s="100"/>
      <c r="S78" s="100"/>
      <c r="T78" s="50">
        <f>R78-S78</f>
        <v>0</v>
      </c>
    </row>
    <row r="79" spans="1:29" x14ac:dyDescent="0.2">
      <c r="A79" s="12">
        <v>430</v>
      </c>
      <c r="B79" s="151" t="s">
        <v>115</v>
      </c>
      <c r="C79" s="18">
        <v>4179.25</v>
      </c>
      <c r="D79" s="20">
        <v>4179</v>
      </c>
      <c r="E79" s="27">
        <f>F79-D79</f>
        <v>1821</v>
      </c>
      <c r="F79" s="224">
        <v>6000</v>
      </c>
      <c r="G79" s="20">
        <v>1821</v>
      </c>
      <c r="H79" s="33">
        <f t="shared" si="7"/>
        <v>6000.25</v>
      </c>
      <c r="I79" s="18">
        <v>5131.25</v>
      </c>
      <c r="J79" s="37"/>
      <c r="K79" s="20"/>
      <c r="L79" s="37"/>
      <c r="M79" s="33"/>
      <c r="N79" s="42"/>
      <c r="O79" s="49"/>
      <c r="P79" s="105"/>
      <c r="R79" s="100"/>
      <c r="S79" s="100"/>
      <c r="T79" s="50"/>
    </row>
    <row r="80" spans="1:29" x14ac:dyDescent="0.2">
      <c r="A80" s="12">
        <v>500</v>
      </c>
      <c r="B80" s="151" t="s">
        <v>81</v>
      </c>
      <c r="C80" s="18">
        <v>178010.75</v>
      </c>
      <c r="D80" s="20">
        <v>177053</v>
      </c>
      <c r="E80" s="27">
        <f>F80-D80</f>
        <v>-1</v>
      </c>
      <c r="F80" s="225">
        <v>177052</v>
      </c>
      <c r="G80" s="20">
        <v>0</v>
      </c>
      <c r="H80" s="33">
        <f t="shared" si="7"/>
        <v>178010.75</v>
      </c>
      <c r="I80" s="18">
        <v>223094.75</v>
      </c>
      <c r="J80" s="37">
        <f t="shared" si="14"/>
        <v>0.25</v>
      </c>
      <c r="K80" s="224">
        <v>223095</v>
      </c>
      <c r="L80" s="37">
        <v>0</v>
      </c>
      <c r="M80" s="33">
        <f t="shared" si="15"/>
        <v>223094.75</v>
      </c>
      <c r="N80" s="42">
        <f>H80-M80</f>
        <v>-45084</v>
      </c>
      <c r="O80" s="49">
        <f>F80-D80</f>
        <v>-1</v>
      </c>
      <c r="P80" s="105">
        <f>F80-N80-I80</f>
        <v>-958.75</v>
      </c>
      <c r="R80" s="100">
        <f t="shared" ref="R80:R86" si="17">F80</f>
        <v>177052</v>
      </c>
      <c r="S80" s="100">
        <f t="shared" ref="S80:S86" si="18">P80+I80</f>
        <v>222136</v>
      </c>
      <c r="T80" s="50">
        <f t="shared" si="16"/>
        <v>-45084</v>
      </c>
    </row>
    <row r="81" spans="1:27" x14ac:dyDescent="0.2">
      <c r="A81" s="12">
        <v>500</v>
      </c>
      <c r="B81" s="10" t="s">
        <v>100</v>
      </c>
      <c r="C81" s="18">
        <v>288.77999999999997</v>
      </c>
      <c r="D81" s="20">
        <v>30115.599999999999</v>
      </c>
      <c r="E81" s="27">
        <f t="shared" si="13"/>
        <v>0</v>
      </c>
      <c r="F81" s="37">
        <f>'Ausgangslage - Triage'!B16+'Ausgangslage - Triage'!B24</f>
        <v>30115.599999999999</v>
      </c>
      <c r="G81" s="20">
        <v>0</v>
      </c>
      <c r="H81" s="33">
        <f t="shared" si="7"/>
        <v>288.77999999999997</v>
      </c>
      <c r="I81" s="18">
        <v>379.9</v>
      </c>
      <c r="J81" s="37">
        <f>K81-I81</f>
        <v>0</v>
      </c>
      <c r="K81" s="224">
        <v>379.9</v>
      </c>
      <c r="L81" s="20">
        <v>0</v>
      </c>
      <c r="M81" s="33">
        <f t="shared" si="15"/>
        <v>379.9</v>
      </c>
      <c r="N81" s="42">
        <f>H81-M81</f>
        <v>-91.12</v>
      </c>
      <c r="O81" s="49">
        <f>F81-D81</f>
        <v>0</v>
      </c>
      <c r="P81" s="105">
        <f>F81-N81-I81</f>
        <v>29826.819999999996</v>
      </c>
      <c r="R81" s="100">
        <f t="shared" si="17"/>
        <v>30115.599999999999</v>
      </c>
      <c r="S81" s="100">
        <f t="shared" si="18"/>
        <v>30206.719999999998</v>
      </c>
      <c r="T81" s="50">
        <f t="shared" si="16"/>
        <v>-91.119999999998981</v>
      </c>
    </row>
    <row r="82" spans="1:27" x14ac:dyDescent="0.2">
      <c r="A82" s="12">
        <v>910</v>
      </c>
      <c r="B82" s="10" t="s">
        <v>75</v>
      </c>
      <c r="C82" s="18">
        <v>3958.24</v>
      </c>
      <c r="D82" s="20">
        <v>3482.4</v>
      </c>
      <c r="E82" s="27">
        <f>F82-D82</f>
        <v>16280.1</v>
      </c>
      <c r="F82" s="225">
        <f>0.5*'Ausgangslage - Triage'!I11</f>
        <v>19762.5</v>
      </c>
      <c r="G82" s="20">
        <v>16280</v>
      </c>
      <c r="H82" s="33">
        <f t="shared" si="7"/>
        <v>20238.239999999998</v>
      </c>
      <c r="I82" s="18">
        <v>6724.5</v>
      </c>
      <c r="J82" s="37">
        <f t="shared" si="14"/>
        <v>15780.5</v>
      </c>
      <c r="K82" s="224">
        <v>22505</v>
      </c>
      <c r="L82" s="20">
        <v>3000</v>
      </c>
      <c r="M82" s="33">
        <f t="shared" si="15"/>
        <v>9724.5</v>
      </c>
      <c r="N82" s="42">
        <f>H82-M82</f>
        <v>10513.739999999998</v>
      </c>
      <c r="O82" s="49">
        <f>F82-D82</f>
        <v>16280.1</v>
      </c>
      <c r="P82" s="105">
        <f>F82-N82-I82</f>
        <v>2524.260000000002</v>
      </c>
      <c r="R82" s="100">
        <f t="shared" si="17"/>
        <v>19762.5</v>
      </c>
      <c r="S82" s="100">
        <f t="shared" si="18"/>
        <v>9248.760000000002</v>
      </c>
      <c r="T82" s="50">
        <f t="shared" si="16"/>
        <v>10513.739999999998</v>
      </c>
    </row>
    <row r="83" spans="1:27" x14ac:dyDescent="0.2">
      <c r="A83" s="12"/>
      <c r="B83" s="14" t="s">
        <v>12</v>
      </c>
      <c r="C83" s="43">
        <f>SUM(C72:C77,C78:C82)</f>
        <v>1818149.99</v>
      </c>
      <c r="D83" s="43">
        <f>SUM(D72:D77,D78:D82)</f>
        <v>1708764</v>
      </c>
      <c r="E83" s="43">
        <f>SUM(E72:E77,E78:E82)</f>
        <v>273339.09999999998</v>
      </c>
      <c r="F83" s="43">
        <f>SUM(F72:F82)</f>
        <v>1982103.1</v>
      </c>
      <c r="G83" s="43">
        <f t="shared" ref="G83:P83" si="19">SUM(G72:G77,G78:G82)</f>
        <v>199775</v>
      </c>
      <c r="H83" s="43">
        <f t="shared" si="19"/>
        <v>2017924.99</v>
      </c>
      <c r="I83" s="43">
        <f t="shared" si="19"/>
        <v>2286666.65</v>
      </c>
      <c r="J83" s="43">
        <f t="shared" si="19"/>
        <v>100695.25</v>
      </c>
      <c r="K83" s="43">
        <f t="shared" si="19"/>
        <v>2382230.65</v>
      </c>
      <c r="L83" s="43">
        <f t="shared" si="19"/>
        <v>172699</v>
      </c>
      <c r="M83" s="107">
        <f t="shared" si="19"/>
        <v>2454234.4</v>
      </c>
      <c r="N83" s="42">
        <f t="shared" si="19"/>
        <v>-442309.66000000003</v>
      </c>
      <c r="O83" s="108">
        <f t="shared" si="19"/>
        <v>271518.09999999998</v>
      </c>
      <c r="P83" s="109">
        <f t="shared" si="19"/>
        <v>136877.36000000004</v>
      </c>
      <c r="Q83" s="43"/>
      <c r="R83" s="110">
        <f t="shared" si="17"/>
        <v>1982103.1</v>
      </c>
      <c r="S83" s="110">
        <f t="shared" si="18"/>
        <v>2423544.0099999998</v>
      </c>
      <c r="T83" s="58">
        <f t="shared" si="16"/>
        <v>-441440.90999999968</v>
      </c>
    </row>
    <row r="84" spans="1:27" x14ac:dyDescent="0.2">
      <c r="A84" s="12">
        <v>777</v>
      </c>
      <c r="B84" s="10" t="s">
        <v>78</v>
      </c>
      <c r="C84" s="47">
        <v>0</v>
      </c>
      <c r="D84" s="20">
        <v>5637</v>
      </c>
      <c r="E84" s="27">
        <f>F84-D84</f>
        <v>4363</v>
      </c>
      <c r="F84" s="225">
        <v>10000</v>
      </c>
      <c r="G84" s="20">
        <v>0</v>
      </c>
      <c r="H84" s="33">
        <f t="shared" si="7"/>
        <v>0</v>
      </c>
      <c r="I84" s="19">
        <v>0</v>
      </c>
      <c r="J84" s="37">
        <f t="shared" si="14"/>
        <v>0</v>
      </c>
      <c r="K84" s="20">
        <v>0</v>
      </c>
      <c r="L84" s="20">
        <v>0</v>
      </c>
      <c r="M84" s="33">
        <f t="shared" si="15"/>
        <v>0</v>
      </c>
      <c r="N84" s="42">
        <f>H84-M84</f>
        <v>0</v>
      </c>
      <c r="O84" s="49">
        <f>F84-D84</f>
        <v>4363</v>
      </c>
      <c r="P84" s="105">
        <f>F84-N84-I84</f>
        <v>10000</v>
      </c>
      <c r="R84" s="100">
        <f t="shared" si="17"/>
        <v>10000</v>
      </c>
      <c r="S84" s="100">
        <f t="shared" si="18"/>
        <v>10000</v>
      </c>
      <c r="T84" s="50">
        <f t="shared" si="16"/>
        <v>0</v>
      </c>
    </row>
    <row r="85" spans="1:27" x14ac:dyDescent="0.2">
      <c r="A85" s="12">
        <v>900</v>
      </c>
      <c r="B85" s="10" t="s">
        <v>77</v>
      </c>
      <c r="C85" s="47">
        <v>0</v>
      </c>
      <c r="D85" s="20"/>
      <c r="E85" s="20"/>
      <c r="F85" s="20"/>
      <c r="G85" s="20"/>
      <c r="H85" s="236"/>
      <c r="I85" s="47">
        <v>21251.84</v>
      </c>
      <c r="J85" s="20">
        <f t="shared" si="14"/>
        <v>-2510.0499999999993</v>
      </c>
      <c r="K85" s="224">
        <v>18741.79</v>
      </c>
      <c r="L85" s="20">
        <v>5000</v>
      </c>
      <c r="M85" s="33">
        <f t="shared" si="15"/>
        <v>26251.84</v>
      </c>
      <c r="N85" s="42">
        <f>H85-M85</f>
        <v>-26251.84</v>
      </c>
      <c r="O85" s="49">
        <f>F85-D85</f>
        <v>0</v>
      </c>
      <c r="P85" s="105">
        <f>F85-N85-I85</f>
        <v>5000</v>
      </c>
      <c r="R85" s="100">
        <f t="shared" si="17"/>
        <v>0</v>
      </c>
      <c r="S85" s="100">
        <f t="shared" si="18"/>
        <v>26251.84</v>
      </c>
      <c r="T85" s="50">
        <f t="shared" si="16"/>
        <v>-26251.84</v>
      </c>
    </row>
    <row r="86" spans="1:27" x14ac:dyDescent="0.2">
      <c r="A86" s="12">
        <v>990</v>
      </c>
      <c r="B86" s="45" t="s">
        <v>76</v>
      </c>
      <c r="C86" s="18">
        <v>28939</v>
      </c>
      <c r="D86" s="20">
        <v>13416</v>
      </c>
      <c r="E86" s="27">
        <f>F86-D86</f>
        <v>6709</v>
      </c>
      <c r="F86" s="225">
        <v>20125</v>
      </c>
      <c r="G86" s="20"/>
      <c r="H86" s="33">
        <f>C86+G86</f>
        <v>28939</v>
      </c>
      <c r="I86" s="18">
        <v>40358.25</v>
      </c>
      <c r="J86" s="20">
        <f t="shared" si="14"/>
        <v>-502</v>
      </c>
      <c r="K86" s="224">
        <v>39856.25</v>
      </c>
      <c r="L86" s="37">
        <v>14200</v>
      </c>
      <c r="M86" s="33">
        <f t="shared" si="15"/>
        <v>54558.25</v>
      </c>
      <c r="N86" s="42">
        <f>H86-M86</f>
        <v>-25619.25</v>
      </c>
      <c r="O86" s="49">
        <f>F86-D86</f>
        <v>6709</v>
      </c>
      <c r="P86" s="105">
        <f>F86-N86-I86</f>
        <v>5386</v>
      </c>
      <c r="R86" s="100">
        <f t="shared" si="17"/>
        <v>20125</v>
      </c>
      <c r="S86" s="100">
        <f t="shared" si="18"/>
        <v>45744.25</v>
      </c>
      <c r="T86" s="50">
        <f t="shared" si="16"/>
        <v>-25619.25</v>
      </c>
    </row>
    <row r="87" spans="1:27" ht="15.75" thickBot="1" x14ac:dyDescent="0.3">
      <c r="A87" s="16"/>
      <c r="B87" s="32" t="s">
        <v>5</v>
      </c>
      <c r="C87" s="34">
        <f>SUM(C83:C86)</f>
        <v>1847088.99</v>
      </c>
      <c r="D87" s="34">
        <f t="shared" ref="D87:T87" si="20">SUM(D83:D86)</f>
        <v>1727817</v>
      </c>
      <c r="E87" s="34">
        <f t="shared" si="20"/>
        <v>284411.09999999998</v>
      </c>
      <c r="F87" s="34">
        <f>SUM(F83:F86)</f>
        <v>2012228.1</v>
      </c>
      <c r="G87" s="34">
        <f t="shared" si="20"/>
        <v>199775</v>
      </c>
      <c r="H87" s="34">
        <f t="shared" si="20"/>
        <v>2046863.99</v>
      </c>
      <c r="I87" s="34">
        <f t="shared" si="20"/>
        <v>2348276.7399999998</v>
      </c>
      <c r="J87" s="34">
        <f t="shared" si="20"/>
        <v>97683.199999999997</v>
      </c>
      <c r="K87" s="34">
        <f t="shared" si="20"/>
        <v>2440828.69</v>
      </c>
      <c r="L87" s="34">
        <f t="shared" si="20"/>
        <v>191899</v>
      </c>
      <c r="M87" s="34">
        <f t="shared" si="20"/>
        <v>2535044.4899999998</v>
      </c>
      <c r="N87" s="34">
        <f t="shared" si="20"/>
        <v>-494180.75000000006</v>
      </c>
      <c r="O87" s="34">
        <f t="shared" si="20"/>
        <v>282590.09999999998</v>
      </c>
      <c r="P87" s="34">
        <f t="shared" si="20"/>
        <v>157263.36000000004</v>
      </c>
      <c r="R87" s="34">
        <f t="shared" si="20"/>
        <v>2012228.1</v>
      </c>
      <c r="S87" s="34">
        <f>SUM(S83:S86)</f>
        <v>2505540.0999999996</v>
      </c>
      <c r="T87" s="34">
        <f t="shared" si="20"/>
        <v>-493311.99999999971</v>
      </c>
    </row>
    <row r="88" spans="1:27" x14ac:dyDescent="0.2">
      <c r="C88" s="30"/>
      <c r="D88" s="4"/>
      <c r="E88" s="4"/>
      <c r="F88" s="4"/>
      <c r="G88" s="4"/>
      <c r="H88" s="4"/>
      <c r="I88" s="4"/>
      <c r="J88" s="4"/>
      <c r="K88" s="147">
        <f>K87/H87</f>
        <v>1.1924723391122827</v>
      </c>
      <c r="L88" s="4"/>
      <c r="M88" s="4"/>
      <c r="N88" s="4"/>
      <c r="S88" s="149">
        <f>S87/R87</f>
        <v>1.2451570972495611</v>
      </c>
      <c r="T88" s="5"/>
      <c r="U88" s="5"/>
    </row>
    <row r="89" spans="1:27" x14ac:dyDescent="0.2">
      <c r="B89" s="28" t="s">
        <v>34</v>
      </c>
      <c r="C89" s="29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X89" s="54" t="s">
        <v>40</v>
      </c>
      <c r="Y89" s="51"/>
      <c r="Z89" s="119"/>
      <c r="AA89" s="53" t="s">
        <v>25</v>
      </c>
    </row>
    <row r="90" spans="1:27" x14ac:dyDescent="0.2">
      <c r="B90" s="35" t="s">
        <v>16</v>
      </c>
      <c r="C90" s="36"/>
      <c r="D90" s="3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7" x14ac:dyDescent="0.2">
      <c r="B91" t="s">
        <v>20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3" spans="1:27" x14ac:dyDescent="0.2">
      <c r="G93" s="114">
        <f>G72/C72</f>
        <v>0.20762768624299138</v>
      </c>
      <c r="K93">
        <f>K72/F72</f>
        <v>1.2529536773517076</v>
      </c>
    </row>
    <row r="94" spans="1:27" x14ac:dyDescent="0.2">
      <c r="G94" s="114"/>
      <c r="K94">
        <f>K73/F73</f>
        <v>1.2358041642995208</v>
      </c>
    </row>
    <row r="95" spans="1:27" x14ac:dyDescent="0.2">
      <c r="G95" s="114">
        <f>G74/C74</f>
        <v>0.26733614236433795</v>
      </c>
      <c r="K95">
        <f>K74/F74</f>
        <v>1.2327956989247313</v>
      </c>
    </row>
    <row r="96" spans="1:27" x14ac:dyDescent="0.2">
      <c r="G96" s="114">
        <f>G75/C75</f>
        <v>5.1638272602972143E-2</v>
      </c>
      <c r="K96">
        <f>K75/F75</f>
        <v>1.3457709923664123</v>
      </c>
    </row>
    <row r="97" spans="7:11" x14ac:dyDescent="0.2">
      <c r="G97" s="114"/>
    </row>
    <row r="98" spans="7:11" x14ac:dyDescent="0.2">
      <c r="G98" s="114"/>
      <c r="K98">
        <f>K77/F77</f>
        <v>1.1179199762452676</v>
      </c>
    </row>
    <row r="99" spans="7:11" x14ac:dyDescent="0.2">
      <c r="G99" s="114"/>
    </row>
    <row r="100" spans="7:11" x14ac:dyDescent="0.2">
      <c r="G100" s="114"/>
      <c r="K100">
        <f t="shared" ref="K100:K103" si="21">K80/F80</f>
        <v>1.2600535435917131</v>
      </c>
    </row>
    <row r="101" spans="7:11" x14ac:dyDescent="0.2">
      <c r="G101" s="114">
        <f t="shared" ref="G101:G103" si="22">G82/C82</f>
        <v>4.1129390840373503</v>
      </c>
      <c r="K101">
        <f t="shared" si="21"/>
        <v>1.2614724594562287E-2</v>
      </c>
    </row>
    <row r="102" spans="7:11" x14ac:dyDescent="0.2">
      <c r="G102" s="114">
        <f t="shared" si="22"/>
        <v>0.10987817347236573</v>
      </c>
      <c r="K102">
        <f t="shared" si="21"/>
        <v>1.1387729285262491</v>
      </c>
    </row>
    <row r="103" spans="7:11" x14ac:dyDescent="0.2">
      <c r="G103" s="114" t="e">
        <f t="shared" si="22"/>
        <v>#DIV/0!</v>
      </c>
      <c r="K103">
        <f t="shared" si="21"/>
        <v>1.2018702003947221</v>
      </c>
    </row>
  </sheetData>
  <mergeCells count="38">
    <mergeCell ref="C67:H67"/>
    <mergeCell ref="I67:M67"/>
    <mergeCell ref="R67:T67"/>
    <mergeCell ref="J69:K69"/>
    <mergeCell ref="H40:H42"/>
    <mergeCell ref="I40:I42"/>
    <mergeCell ref="S43:T43"/>
    <mergeCell ref="X10:Z10"/>
    <mergeCell ref="N6:O6"/>
    <mergeCell ref="P6:Q6"/>
    <mergeCell ref="R6:S6"/>
    <mergeCell ref="J40:J42"/>
    <mergeCell ref="K39:L39"/>
    <mergeCell ref="K40:L42"/>
    <mergeCell ref="K37:L37"/>
    <mergeCell ref="M37:N37"/>
    <mergeCell ref="O39:P39"/>
    <mergeCell ref="O40:P42"/>
    <mergeCell ref="S37:T37"/>
    <mergeCell ref="S39:T39"/>
    <mergeCell ref="S40:T42"/>
    <mergeCell ref="U40:U42"/>
    <mergeCell ref="C6:D6"/>
    <mergeCell ref="E6:I6"/>
    <mergeCell ref="J6:K6"/>
    <mergeCell ref="L6:M6"/>
    <mergeCell ref="R66:T66"/>
    <mergeCell ref="T6:V6"/>
    <mergeCell ref="Q37:R37"/>
    <mergeCell ref="Q39:R39"/>
    <mergeCell ref="Q40:R42"/>
    <mergeCell ref="K43:L43"/>
    <mergeCell ref="M43:N43"/>
    <mergeCell ref="O43:P43"/>
    <mergeCell ref="Q43:R43"/>
    <mergeCell ref="M39:N39"/>
    <mergeCell ref="M40:N42"/>
    <mergeCell ref="O37:P37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103"/>
  <sheetViews>
    <sheetView tabSelected="1" topLeftCell="A52" zoomScaleNormal="100" workbookViewId="0">
      <selection activeCell="A80" sqref="A80:XFD80"/>
    </sheetView>
  </sheetViews>
  <sheetFormatPr baseColWidth="10" defaultRowHeight="12.75" x14ac:dyDescent="0.2"/>
  <cols>
    <col min="1" max="1" width="8.5703125" customWidth="1"/>
    <col min="3" max="20" width="9.85546875" customWidth="1"/>
    <col min="21" max="22" width="12.28515625" bestFit="1" customWidth="1"/>
    <col min="23" max="23" width="3.7109375" customWidth="1"/>
    <col min="29" max="29" width="24.85546875" bestFit="1" customWidth="1"/>
  </cols>
  <sheetData>
    <row r="1" spans="1:26" ht="15" x14ac:dyDescent="0.25">
      <c r="A1" s="3" t="s">
        <v>41</v>
      </c>
      <c r="B1" s="3"/>
    </row>
    <row r="2" spans="1:26" ht="15.75" x14ac:dyDescent="0.25">
      <c r="A2" s="2" t="s">
        <v>137</v>
      </c>
      <c r="B2" s="2"/>
    </row>
    <row r="4" spans="1:26" x14ac:dyDescent="0.2">
      <c r="A4" s="1" t="s">
        <v>63</v>
      </c>
      <c r="B4" s="1"/>
    </row>
    <row r="6" spans="1:26" x14ac:dyDescent="0.2">
      <c r="A6" s="5"/>
      <c r="B6" s="5"/>
      <c r="C6" s="249" t="s">
        <v>42</v>
      </c>
      <c r="D6" s="249"/>
      <c r="E6" s="249" t="s">
        <v>43</v>
      </c>
      <c r="F6" s="249"/>
      <c r="G6" s="249"/>
      <c r="H6" s="249"/>
      <c r="I6" s="249"/>
      <c r="J6" s="250" t="s">
        <v>73</v>
      </c>
      <c r="K6" s="251"/>
      <c r="L6" s="250" t="s">
        <v>74</v>
      </c>
      <c r="M6" s="255"/>
      <c r="N6" s="250" t="s">
        <v>121</v>
      </c>
      <c r="O6" s="251" t="s">
        <v>123</v>
      </c>
      <c r="P6" s="250" t="s">
        <v>122</v>
      </c>
      <c r="Q6" s="251" t="s">
        <v>121</v>
      </c>
      <c r="R6" s="250" t="s">
        <v>123</v>
      </c>
      <c r="S6" s="251" t="s">
        <v>122</v>
      </c>
      <c r="T6" s="251" t="s">
        <v>97</v>
      </c>
      <c r="U6" s="249"/>
      <c r="V6" s="249"/>
      <c r="W6" s="76"/>
      <c r="X6" s="76"/>
    </row>
    <row r="7" spans="1:26" x14ac:dyDescent="0.2">
      <c r="A7" s="237" t="s">
        <v>0</v>
      </c>
      <c r="B7" s="237" t="s">
        <v>1</v>
      </c>
      <c r="C7" s="188" t="s">
        <v>5</v>
      </c>
      <c r="D7" s="192" t="s">
        <v>66</v>
      </c>
      <c r="E7" s="188" t="s">
        <v>5</v>
      </c>
      <c r="F7" s="192" t="s">
        <v>66</v>
      </c>
      <c r="G7" s="209" t="s">
        <v>87</v>
      </c>
      <c r="H7" s="194" t="s">
        <v>88</v>
      </c>
      <c r="I7" s="197" t="s">
        <v>89</v>
      </c>
      <c r="J7" s="188" t="s">
        <v>5</v>
      </c>
      <c r="K7" s="209" t="s">
        <v>87</v>
      </c>
      <c r="L7" s="188" t="s">
        <v>5</v>
      </c>
      <c r="M7" s="192" t="s">
        <v>66</v>
      </c>
      <c r="N7" s="188" t="s">
        <v>5</v>
      </c>
      <c r="O7" s="209" t="s">
        <v>87</v>
      </c>
      <c r="P7" s="188" t="s">
        <v>5</v>
      </c>
      <c r="Q7" s="209" t="s">
        <v>87</v>
      </c>
      <c r="R7" s="188" t="s">
        <v>5</v>
      </c>
      <c r="S7" s="209" t="s">
        <v>87</v>
      </c>
      <c r="T7" s="189" t="s">
        <v>5</v>
      </c>
      <c r="U7" s="192" t="s">
        <v>66</v>
      </c>
      <c r="V7" s="237" t="s">
        <v>92</v>
      </c>
      <c r="W7" s="66"/>
      <c r="X7" s="66"/>
    </row>
    <row r="8" spans="1:26" x14ac:dyDescent="0.2">
      <c r="A8" s="66"/>
      <c r="B8" s="66"/>
      <c r="N8" s="184"/>
      <c r="O8" s="185"/>
      <c r="P8" s="184"/>
      <c r="Q8" s="186"/>
      <c r="R8" s="184"/>
      <c r="S8" s="185"/>
    </row>
    <row r="9" spans="1:26" x14ac:dyDescent="0.2">
      <c r="A9" s="81">
        <v>200</v>
      </c>
      <c r="B9" s="239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89"/>
      <c r="N9" s="83"/>
      <c r="O9" s="90"/>
      <c r="P9" s="83"/>
      <c r="Q9" s="90"/>
      <c r="R9" s="83"/>
      <c r="S9" s="90"/>
      <c r="T9" s="92">
        <f>C9</f>
        <v>1418754.75</v>
      </c>
      <c r="U9" s="6">
        <f>D9</f>
        <v>780622</v>
      </c>
      <c r="V9" s="6">
        <f>T9-U9</f>
        <v>638132.75</v>
      </c>
      <c r="W9" s="4"/>
      <c r="X9" s="4"/>
    </row>
    <row r="10" spans="1:26" x14ac:dyDescent="0.2">
      <c r="A10" s="81">
        <v>200</v>
      </c>
      <c r="B10" s="237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62"/>
      <c r="N10" s="85"/>
      <c r="O10" s="86"/>
      <c r="P10" s="85"/>
      <c r="Q10" s="86"/>
      <c r="R10" s="85"/>
      <c r="S10" s="86"/>
      <c r="T10" s="62"/>
      <c r="U10" s="6">
        <f>U9-D11</f>
        <v>603474</v>
      </c>
      <c r="V10" s="86"/>
      <c r="W10" s="4"/>
      <c r="X10" s="248" t="s">
        <v>102</v>
      </c>
      <c r="Y10" s="248"/>
      <c r="Z10" s="248"/>
    </row>
    <row r="11" spans="1:26" x14ac:dyDescent="0.2">
      <c r="A11" s="81">
        <v>500</v>
      </c>
      <c r="B11" s="237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62"/>
      <c r="N11" s="85"/>
      <c r="O11" s="86"/>
      <c r="P11" s="85"/>
      <c r="Q11" s="86"/>
      <c r="R11" s="85"/>
      <c r="S11" s="86"/>
      <c r="T11" s="62"/>
      <c r="U11" s="62"/>
      <c r="V11" s="86"/>
      <c r="W11" s="4"/>
      <c r="X11" s="4"/>
    </row>
    <row r="12" spans="1:26" x14ac:dyDescent="0.2">
      <c r="A12" s="81">
        <v>200</v>
      </c>
      <c r="B12" s="237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62"/>
      <c r="N12" s="85"/>
      <c r="O12" s="86"/>
      <c r="P12" s="85"/>
      <c r="Q12" s="86"/>
      <c r="R12" s="85"/>
      <c r="S12" s="86"/>
      <c r="T12" s="62"/>
      <c r="U12" s="62"/>
      <c r="V12" s="86"/>
      <c r="W12" s="4"/>
      <c r="X12" s="4"/>
    </row>
    <row r="13" spans="1:26" x14ac:dyDescent="0.2">
      <c r="A13" s="81">
        <v>200</v>
      </c>
      <c r="B13" s="237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62"/>
      <c r="N13" s="85"/>
      <c r="O13" s="86"/>
      <c r="P13" s="85"/>
      <c r="Q13" s="86"/>
      <c r="R13" s="85"/>
      <c r="S13" s="86"/>
      <c r="T13" s="62"/>
      <c r="U13" s="62"/>
      <c r="V13" s="86"/>
      <c r="W13" s="4"/>
      <c r="X13" s="4"/>
    </row>
    <row r="14" spans="1:26" x14ac:dyDescent="0.2">
      <c r="A14" s="81">
        <v>200</v>
      </c>
      <c r="B14" s="237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62"/>
      <c r="N14" s="85"/>
      <c r="O14" s="86"/>
      <c r="P14" s="85"/>
      <c r="Q14" s="86"/>
      <c r="R14" s="85"/>
      <c r="S14" s="86"/>
      <c r="T14" s="62"/>
      <c r="U14" s="62"/>
      <c r="V14" s="86"/>
      <c r="W14" s="4"/>
      <c r="X14" s="4"/>
    </row>
    <row r="15" spans="1:26" x14ac:dyDescent="0.2">
      <c r="A15" s="81">
        <v>200</v>
      </c>
      <c r="B15" s="237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91"/>
      <c r="N15" s="87"/>
      <c r="O15" s="88"/>
      <c r="P15" s="87"/>
      <c r="Q15" s="88"/>
      <c r="R15" s="87"/>
      <c r="S15" s="88"/>
      <c r="T15" s="91"/>
      <c r="U15" s="91"/>
      <c r="V15" s="88"/>
      <c r="W15" s="4"/>
      <c r="X15" s="4"/>
    </row>
    <row r="16" spans="1:26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85"/>
      <c r="O16" s="86"/>
      <c r="P16" s="85"/>
      <c r="Q16" s="86"/>
      <c r="R16" s="85"/>
      <c r="S16" s="86"/>
      <c r="T16" s="4"/>
      <c r="U16" s="4"/>
      <c r="V16" s="4"/>
      <c r="W16" s="4"/>
      <c r="X16" s="4"/>
    </row>
    <row r="17" spans="1:24" x14ac:dyDescent="0.2">
      <c r="A17" s="97">
        <v>300</v>
      </c>
      <c r="B17" s="237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89"/>
      <c r="N17" s="83"/>
      <c r="O17" s="90"/>
      <c r="P17" s="83"/>
      <c r="Q17" s="90"/>
      <c r="R17" s="83"/>
      <c r="S17" s="90"/>
      <c r="T17" s="92">
        <f>E17</f>
        <v>1399660</v>
      </c>
      <c r="U17" s="6">
        <f>F17</f>
        <v>645442</v>
      </c>
      <c r="V17" s="6">
        <f>T17-U17</f>
        <v>754218</v>
      </c>
      <c r="W17" s="4"/>
      <c r="X17" s="4"/>
    </row>
    <row r="18" spans="1:24" x14ac:dyDescent="0.2">
      <c r="A18" s="81">
        <v>100</v>
      </c>
      <c r="B18" s="237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62"/>
      <c r="N18" s="85"/>
      <c r="O18" s="86"/>
      <c r="P18" s="85"/>
      <c r="Q18" s="86"/>
      <c r="R18" s="85"/>
      <c r="S18" s="86"/>
      <c r="T18" s="62"/>
      <c r="U18" s="6">
        <f>F18</f>
        <v>82178</v>
      </c>
      <c r="V18" s="86"/>
      <c r="W18" s="4"/>
      <c r="X18" s="4"/>
    </row>
    <row r="19" spans="1:24" x14ac:dyDescent="0.2">
      <c r="A19" s="81">
        <v>310</v>
      </c>
      <c r="B19" s="237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62"/>
      <c r="N19" s="85"/>
      <c r="O19" s="86"/>
      <c r="P19" s="85"/>
      <c r="Q19" s="86"/>
      <c r="R19" s="85"/>
      <c r="S19" s="86"/>
      <c r="T19" s="62"/>
      <c r="U19" s="6">
        <f t="shared" ref="U19:U22" si="2">F19</f>
        <v>320809</v>
      </c>
      <c r="V19" s="86"/>
      <c r="W19" s="4"/>
      <c r="X19" s="4"/>
    </row>
    <row r="20" spans="1:24" x14ac:dyDescent="0.2">
      <c r="A20" s="81">
        <v>320</v>
      </c>
      <c r="B20" s="237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62"/>
      <c r="N20" s="85"/>
      <c r="O20" s="86"/>
      <c r="P20" s="85"/>
      <c r="Q20" s="86"/>
      <c r="R20" s="85"/>
      <c r="S20" s="86"/>
      <c r="T20" s="62"/>
      <c r="U20" s="6">
        <f t="shared" si="2"/>
        <v>242455</v>
      </c>
      <c r="V20" s="86"/>
      <c r="W20" s="4"/>
      <c r="X20" s="4"/>
    </row>
    <row r="21" spans="1:24" x14ac:dyDescent="0.2">
      <c r="A21" s="81">
        <v>330</v>
      </c>
      <c r="B21" s="237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62"/>
      <c r="N21" s="85"/>
      <c r="O21" s="86"/>
      <c r="P21" s="85"/>
      <c r="Q21" s="86"/>
      <c r="R21" s="85"/>
      <c r="S21" s="86"/>
      <c r="T21" s="62"/>
      <c r="U21" s="6">
        <f t="shared" si="2"/>
        <v>0</v>
      </c>
      <c r="V21" s="86"/>
      <c r="W21" s="4"/>
      <c r="X21" s="4"/>
    </row>
    <row r="22" spans="1:24" x14ac:dyDescent="0.2">
      <c r="A22" s="81"/>
      <c r="B22" s="237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91"/>
      <c r="N22" s="87"/>
      <c r="O22" s="88"/>
      <c r="P22" s="87"/>
      <c r="Q22" s="88"/>
      <c r="R22" s="87"/>
      <c r="S22" s="88"/>
      <c r="T22" s="91"/>
      <c r="U22" s="6">
        <f t="shared" si="2"/>
        <v>0</v>
      </c>
      <c r="V22" s="88"/>
      <c r="W22" s="4"/>
      <c r="X22" s="4"/>
    </row>
    <row r="23" spans="1:24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85"/>
      <c r="O23" s="86"/>
      <c r="P23" s="85"/>
      <c r="Q23" s="86"/>
      <c r="R23" s="85"/>
      <c r="S23" s="86"/>
      <c r="T23" s="4"/>
      <c r="U23" s="4"/>
      <c r="V23" s="4"/>
      <c r="W23" s="4"/>
      <c r="X23" s="4"/>
    </row>
    <row r="24" spans="1:24" x14ac:dyDescent="0.2">
      <c r="A24" s="81">
        <v>410</v>
      </c>
      <c r="B24" s="237" t="s">
        <v>73</v>
      </c>
      <c r="C24" s="94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/>
      <c r="O24" s="92"/>
      <c r="P24" s="93"/>
      <c r="Q24" s="92"/>
      <c r="R24" s="93"/>
      <c r="S24" s="92"/>
      <c r="T24" s="94">
        <f>J24</f>
        <v>88266</v>
      </c>
      <c r="U24" s="6">
        <v>0</v>
      </c>
      <c r="V24" s="6">
        <f>T24-U24</f>
        <v>88266</v>
      </c>
      <c r="W24" s="4"/>
      <c r="X24" s="4"/>
    </row>
    <row r="25" spans="1:24" x14ac:dyDescent="0.2">
      <c r="A25" s="81">
        <v>420</v>
      </c>
      <c r="B25" s="237" t="s">
        <v>74</v>
      </c>
      <c r="C25" s="89"/>
      <c r="D25" s="90"/>
      <c r="E25" s="83"/>
      <c r="F25" s="89"/>
      <c r="G25" s="89"/>
      <c r="H25" s="89"/>
      <c r="I25" s="90"/>
      <c r="J25" s="90"/>
      <c r="K25" s="90"/>
      <c r="L25" s="215">
        <f>691437.5+161700+20000</f>
        <v>873137.5</v>
      </c>
      <c r="M25" s="89">
        <v>525000</v>
      </c>
      <c r="N25" s="83"/>
      <c r="O25" s="90"/>
      <c r="P25" s="83"/>
      <c r="Q25" s="90"/>
      <c r="R25" s="83"/>
      <c r="S25" s="90"/>
      <c r="T25" s="94">
        <f>L25</f>
        <v>873137.5</v>
      </c>
      <c r="U25" s="6">
        <f>M25</f>
        <v>525000</v>
      </c>
      <c r="V25" s="6">
        <f>T25-U25</f>
        <v>348137.5</v>
      </c>
      <c r="W25" s="4"/>
      <c r="X25" s="4"/>
    </row>
    <row r="26" spans="1:24" x14ac:dyDescent="0.2">
      <c r="A26" s="82"/>
      <c r="B26" s="237" t="s">
        <v>121</v>
      </c>
      <c r="C26" s="93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161">
        <v>153000</v>
      </c>
      <c r="O26" s="6">
        <v>145000</v>
      </c>
      <c r="P26" s="93"/>
      <c r="Q26" s="92"/>
      <c r="R26" s="93"/>
      <c r="S26" s="92"/>
      <c r="T26" s="94">
        <f>N26</f>
        <v>153000</v>
      </c>
      <c r="U26" s="6">
        <v>8000</v>
      </c>
      <c r="V26" s="6">
        <f t="shared" ref="V26:V28" si="3">T26-U26</f>
        <v>145000</v>
      </c>
      <c r="W26" s="4"/>
      <c r="X26" s="4"/>
    </row>
    <row r="27" spans="1:24" x14ac:dyDescent="0.2">
      <c r="A27" s="82"/>
      <c r="B27" s="237" t="s">
        <v>129</v>
      </c>
      <c r="C27" s="93"/>
      <c r="D27" s="92"/>
      <c r="E27" s="93"/>
      <c r="F27" s="94"/>
      <c r="G27" s="94"/>
      <c r="H27" s="94"/>
      <c r="I27" s="94"/>
      <c r="J27" s="94"/>
      <c r="K27" s="94"/>
      <c r="L27" s="94"/>
      <c r="M27" s="94"/>
      <c r="N27" s="93"/>
      <c r="O27" s="92"/>
      <c r="P27" s="93"/>
      <c r="Q27" s="92"/>
      <c r="R27" s="161">
        <v>45000</v>
      </c>
      <c r="S27" s="6">
        <v>45000</v>
      </c>
      <c r="T27" s="94">
        <f>R27</f>
        <v>45000</v>
      </c>
      <c r="U27" s="6"/>
      <c r="V27" s="6">
        <f t="shared" si="3"/>
        <v>45000</v>
      </c>
      <c r="W27" s="4"/>
      <c r="X27" s="4"/>
    </row>
    <row r="28" spans="1:24" x14ac:dyDescent="0.2">
      <c r="A28" s="82"/>
      <c r="B28" s="237" t="s">
        <v>122</v>
      </c>
      <c r="C28" s="93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3"/>
      <c r="O28" s="92"/>
      <c r="P28" s="161">
        <v>35000</v>
      </c>
      <c r="Q28" s="6">
        <v>35000</v>
      </c>
      <c r="R28" s="93"/>
      <c r="S28" s="92"/>
      <c r="T28" s="94">
        <f>P28</f>
        <v>35000</v>
      </c>
      <c r="U28" s="6"/>
      <c r="V28" s="6">
        <f t="shared" si="3"/>
        <v>35000</v>
      </c>
      <c r="W28" s="4"/>
      <c r="X28" s="4"/>
    </row>
    <row r="29" spans="1:24" x14ac:dyDescent="0.2">
      <c r="A29" s="82">
        <v>910</v>
      </c>
      <c r="B29" s="237" t="s">
        <v>75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87"/>
      <c r="O29" s="88"/>
      <c r="P29" s="87"/>
      <c r="Q29" s="88"/>
      <c r="R29" s="87"/>
      <c r="S29" s="88"/>
      <c r="T29" s="92">
        <f>'Ausgangslage - Triage'!I11+'Ausgangslage - Triage'!B16+'Ausgangslage - Triage'!B24</f>
        <v>69640.600000000006</v>
      </c>
      <c r="U29" s="72">
        <f>0.5*'Ausgangslage - Triage'!I11+'Ausgangslage - Triage'!B16+'Ausgangslage - Triage'!B24</f>
        <v>49878.1</v>
      </c>
      <c r="V29" s="6">
        <f>T29-U29</f>
        <v>19762.500000000007</v>
      </c>
      <c r="W29" s="4"/>
      <c r="X29" s="4"/>
    </row>
    <row r="30" spans="1:24" x14ac:dyDescent="0.2">
      <c r="A30" s="7" t="s">
        <v>68</v>
      </c>
      <c r="B30" s="7"/>
      <c r="C30" s="190">
        <f>C29+C9</f>
        <v>1418754.75</v>
      </c>
      <c r="D30" s="193">
        <f>D29+D9</f>
        <v>780622</v>
      </c>
      <c r="E30" s="190">
        <f>E17</f>
        <v>1399660</v>
      </c>
      <c r="F30" s="193">
        <f>F18+F19+F20+F21+F22</f>
        <v>645442</v>
      </c>
      <c r="G30" s="210">
        <f>G18+G19+G20+G21+G22</f>
        <v>570319</v>
      </c>
      <c r="H30" s="212">
        <f>H18+H19+H20+H21+H22</f>
        <v>147384</v>
      </c>
      <c r="I30" s="213">
        <f>I18+I19+I20+I21+I22</f>
        <v>36515</v>
      </c>
      <c r="J30" s="190">
        <f>J24</f>
        <v>88266</v>
      </c>
      <c r="K30" s="210">
        <f>K24</f>
        <v>88266</v>
      </c>
      <c r="L30" s="190">
        <f>L25</f>
        <v>873137.5</v>
      </c>
      <c r="M30" s="193">
        <f>M25</f>
        <v>525000</v>
      </c>
      <c r="N30" s="191">
        <f>N26</f>
        <v>153000</v>
      </c>
      <c r="O30" s="211">
        <f>O26</f>
        <v>145000</v>
      </c>
      <c r="P30" s="191">
        <f>P28</f>
        <v>35000</v>
      </c>
      <c r="Q30" s="211">
        <f>Q28</f>
        <v>35000</v>
      </c>
      <c r="R30" s="191">
        <f>R27</f>
        <v>45000</v>
      </c>
      <c r="S30" s="211">
        <f>S27</f>
        <v>45000</v>
      </c>
      <c r="T30" s="187">
        <f>SUM(T9:T29)</f>
        <v>4082458.85</v>
      </c>
      <c r="U30" s="193">
        <f>U9+U17+U29+U25+U26+U27+U28</f>
        <v>2008942.1</v>
      </c>
      <c r="V30" s="8">
        <f>V9+V17+V24+V25+V29+V26+V27+V28</f>
        <v>2073516.75</v>
      </c>
      <c r="W30" s="4"/>
      <c r="X30" s="4"/>
    </row>
    <row r="31" spans="1:24" x14ac:dyDescent="0.2">
      <c r="A31" s="74">
        <v>777</v>
      </c>
      <c r="B31" s="66" t="s">
        <v>78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54">
        <f>T30-V30</f>
        <v>2008942.1</v>
      </c>
      <c r="V31" s="4"/>
      <c r="W31" s="4"/>
      <c r="X31" s="4"/>
    </row>
    <row r="32" spans="1:24" x14ac:dyDescent="0.2">
      <c r="A32" s="74">
        <v>900</v>
      </c>
      <c r="B32" s="66" t="s">
        <v>77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53">
        <f>U31/T30</f>
        <v>0.49209120625918862</v>
      </c>
      <c r="V32" s="153">
        <f>V30/T30</f>
        <v>0.50790879374081133</v>
      </c>
      <c r="W32" s="4"/>
      <c r="X32" s="4"/>
    </row>
    <row r="33" spans="1:24" x14ac:dyDescent="0.2">
      <c r="A33" s="74">
        <v>990</v>
      </c>
      <c r="B33" s="66" t="s">
        <v>76</v>
      </c>
      <c r="C33" s="4"/>
      <c r="D33" s="4"/>
      <c r="E33" s="4"/>
      <c r="F33" s="4"/>
      <c r="G33" s="4"/>
      <c r="H33" s="4"/>
      <c r="I33" s="4"/>
      <c r="J33" s="4"/>
      <c r="K33" s="4"/>
      <c r="L33" s="4"/>
      <c r="T33" s="4"/>
      <c r="U33" s="155"/>
      <c r="V33" s="155"/>
      <c r="W33" s="4"/>
      <c r="X33" s="4"/>
    </row>
    <row r="34" spans="1:24" x14ac:dyDescent="0.2">
      <c r="A34" s="1" t="s">
        <v>5</v>
      </c>
      <c r="C34" s="4"/>
      <c r="D34" s="4"/>
      <c r="E34" s="4"/>
      <c r="F34" s="4"/>
      <c r="G34" s="4"/>
      <c r="H34" s="4"/>
      <c r="I34" s="4"/>
      <c r="J34" s="4"/>
      <c r="K34" s="4"/>
      <c r="L34" s="4"/>
      <c r="T34" s="4"/>
      <c r="U34" s="155"/>
      <c r="V34" s="155"/>
      <c r="W34" s="4"/>
      <c r="X34" s="4"/>
    </row>
    <row r="35" spans="1:24" x14ac:dyDescent="0.2">
      <c r="A35" s="1"/>
      <c r="C35" s="4"/>
      <c r="D35" s="4"/>
      <c r="E35" s="4"/>
      <c r="F35" s="4"/>
      <c r="G35" s="4"/>
      <c r="H35" s="4"/>
      <c r="I35" s="4"/>
      <c r="J35" s="4"/>
      <c r="K35" s="4"/>
      <c r="L35" s="4"/>
      <c r="T35" s="4"/>
      <c r="U35" s="155"/>
      <c r="V35" s="155"/>
      <c r="W35" s="4"/>
      <c r="X35" s="4"/>
    </row>
    <row r="36" spans="1:24" x14ac:dyDescent="0.2">
      <c r="A36" s="174" t="s">
        <v>127</v>
      </c>
      <c r="B36" s="164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4"/>
      <c r="N36" s="164"/>
      <c r="O36" s="164"/>
      <c r="P36" s="164"/>
      <c r="Q36" s="164"/>
      <c r="R36" s="164"/>
      <c r="S36" s="164"/>
      <c r="T36" s="163"/>
      <c r="U36" s="175"/>
      <c r="V36" s="175"/>
      <c r="W36" s="4"/>
      <c r="X36" s="4"/>
    </row>
    <row r="37" spans="1:24" ht="39.75" customHeight="1" x14ac:dyDescent="0.2">
      <c r="A37" s="1"/>
      <c r="C37" s="4"/>
      <c r="D37" s="4"/>
      <c r="E37" s="4"/>
      <c r="F37" s="4"/>
      <c r="G37" s="4"/>
      <c r="H37" s="4"/>
      <c r="I37" s="220">
        <v>44621</v>
      </c>
      <c r="J37" s="4"/>
      <c r="K37" s="256" t="s">
        <v>143</v>
      </c>
      <c r="L37" s="257"/>
      <c r="M37" s="256" t="s">
        <v>145</v>
      </c>
      <c r="N37" s="257"/>
      <c r="O37" s="261" t="s">
        <v>144</v>
      </c>
      <c r="P37" s="262"/>
      <c r="Q37" s="256" t="s">
        <v>146</v>
      </c>
      <c r="R37" s="257"/>
      <c r="S37" s="268" t="s">
        <v>147</v>
      </c>
      <c r="T37" s="269"/>
      <c r="U37" s="155"/>
      <c r="V37" s="155"/>
      <c r="W37" s="4"/>
      <c r="X37" s="4"/>
    </row>
    <row r="38" spans="1:24" x14ac:dyDescent="0.2">
      <c r="A38" s="1"/>
      <c r="C38" s="4"/>
      <c r="D38" s="4"/>
      <c r="E38" s="4"/>
      <c r="F38" s="4"/>
      <c r="G38" s="4"/>
      <c r="H38" s="201" t="s">
        <v>134</v>
      </c>
      <c r="I38" s="201" t="s">
        <v>135</v>
      </c>
      <c r="J38" s="4"/>
      <c r="K38" s="85"/>
      <c r="L38" s="86"/>
      <c r="M38" s="85"/>
      <c r="N38" s="86"/>
      <c r="O38" s="184"/>
      <c r="P38" s="185"/>
      <c r="Q38" s="85"/>
      <c r="R38" s="86"/>
      <c r="S38" s="222"/>
      <c r="T38" s="223"/>
      <c r="U38" s="155"/>
      <c r="V38" s="155"/>
      <c r="W38" s="4"/>
      <c r="X38" s="4"/>
    </row>
    <row r="39" spans="1:24" x14ac:dyDescent="0.2">
      <c r="A39" s="1"/>
      <c r="B39" s="206" t="s">
        <v>136</v>
      </c>
      <c r="C39" s="207">
        <v>44651</v>
      </c>
      <c r="F39" s="4"/>
      <c r="G39" s="200" t="s">
        <v>130</v>
      </c>
      <c r="H39" s="202">
        <v>2000942</v>
      </c>
      <c r="I39" s="203">
        <v>1826413</v>
      </c>
      <c r="J39" s="153">
        <f>I39/I43</f>
        <v>0.51957706147893634</v>
      </c>
      <c r="K39" s="264">
        <f>J39*C41</f>
        <v>2038328.9213008934</v>
      </c>
      <c r="L39" s="264"/>
      <c r="M39" s="258">
        <f>U30</f>
        <v>2008942.1</v>
      </c>
      <c r="N39" s="258"/>
      <c r="O39" s="266">
        <f>M39/T30</f>
        <v>0.49209120625918862</v>
      </c>
      <c r="P39" s="266"/>
      <c r="Q39" s="258">
        <f>I39+297000</f>
        <v>2123413</v>
      </c>
      <c r="R39" s="258"/>
      <c r="S39" s="258">
        <f>U39*C41</f>
        <v>2074402.338159146</v>
      </c>
      <c r="T39" s="258"/>
      <c r="U39" s="240">
        <f>Q39/Q43</f>
        <v>0.52877229966294526</v>
      </c>
      <c r="V39" s="155"/>
      <c r="W39" s="4"/>
      <c r="X39" s="4"/>
    </row>
    <row r="40" spans="1:24" x14ac:dyDescent="0.2">
      <c r="A40" s="1"/>
      <c r="B40" s="75" t="s">
        <v>138</v>
      </c>
      <c r="C40" s="199">
        <f>3515191.75</f>
        <v>3515191.75</v>
      </c>
      <c r="F40" s="4"/>
      <c r="G40" s="208" t="s">
        <v>131</v>
      </c>
      <c r="H40" s="271">
        <v>2081517</v>
      </c>
      <c r="I40" s="271">
        <f>C40-I39</f>
        <v>1688778.75</v>
      </c>
      <c r="J40" s="263">
        <f>I40/I43</f>
        <v>0.4804229385210636</v>
      </c>
      <c r="K40" s="265">
        <f>J40*C41</f>
        <v>1884725.1786991064</v>
      </c>
      <c r="L40" s="265"/>
      <c r="M40" s="259">
        <f>V30</f>
        <v>2073516.75</v>
      </c>
      <c r="N40" s="259"/>
      <c r="O40" s="267">
        <f>M40/T30</f>
        <v>0.50790879374081133</v>
      </c>
      <c r="P40" s="267"/>
      <c r="Q40" s="259">
        <f>I40+203550</f>
        <v>1892328.75</v>
      </c>
      <c r="R40" s="259"/>
      <c r="S40" s="270">
        <f>C41-S39</f>
        <v>1848651.7618408541</v>
      </c>
      <c r="T40" s="270"/>
      <c r="U40" s="267">
        <f>Q40/Q43</f>
        <v>0.4712277003370548</v>
      </c>
      <c r="V40" s="155"/>
      <c r="W40" s="4"/>
      <c r="X40" s="4"/>
    </row>
    <row r="41" spans="1:24" x14ac:dyDescent="0.2">
      <c r="A41" s="1"/>
      <c r="B41" t="s">
        <v>139</v>
      </c>
      <c r="C41" s="4">
        <v>3923054.1</v>
      </c>
      <c r="D41" s="4"/>
      <c r="E41" s="4"/>
      <c r="F41" s="4"/>
      <c r="G41" s="195" t="s">
        <v>132</v>
      </c>
      <c r="H41" s="271"/>
      <c r="I41" s="271"/>
      <c r="J41" s="263"/>
      <c r="K41" s="265"/>
      <c r="L41" s="265"/>
      <c r="M41" s="259"/>
      <c r="N41" s="259"/>
      <c r="O41" s="267"/>
      <c r="P41" s="267"/>
      <c r="Q41" s="259"/>
      <c r="R41" s="259"/>
      <c r="S41" s="270"/>
      <c r="T41" s="270"/>
      <c r="U41" s="267"/>
      <c r="V41" s="155"/>
      <c r="W41" s="4"/>
      <c r="X41" s="4"/>
    </row>
    <row r="42" spans="1:24" x14ac:dyDescent="0.2">
      <c r="A42" s="1"/>
      <c r="B42" s="112" t="s">
        <v>140</v>
      </c>
      <c r="C42" s="205">
        <f>T30</f>
        <v>4082458.85</v>
      </c>
      <c r="D42" s="4"/>
      <c r="E42" s="4"/>
      <c r="F42" s="4"/>
      <c r="G42" s="196" t="s">
        <v>133</v>
      </c>
      <c r="H42" s="271"/>
      <c r="I42" s="271"/>
      <c r="J42" s="263"/>
      <c r="K42" s="265"/>
      <c r="L42" s="265"/>
      <c r="M42" s="259"/>
      <c r="N42" s="259"/>
      <c r="O42" s="267"/>
      <c r="P42" s="267"/>
      <c r="Q42" s="259"/>
      <c r="R42" s="259"/>
      <c r="S42" s="270"/>
      <c r="T42" s="270"/>
      <c r="U42" s="267"/>
      <c r="V42" s="155"/>
      <c r="W42" s="4"/>
      <c r="X42" s="4"/>
    </row>
    <row r="43" spans="1:24" x14ac:dyDescent="0.2">
      <c r="A43" s="1"/>
      <c r="C43" s="4"/>
      <c r="D43" s="4"/>
      <c r="E43" s="4"/>
      <c r="F43" s="4"/>
      <c r="G43" s="4"/>
      <c r="H43" s="4">
        <f>SUM(H39:H42)</f>
        <v>4082459</v>
      </c>
      <c r="I43" s="4">
        <f>SUM(I39:I42)</f>
        <v>3515191.75</v>
      </c>
      <c r="J43" s="4"/>
      <c r="K43" s="260">
        <f t="shared" ref="K43:Q43" si="4">SUM(K39:L42)</f>
        <v>3923054.0999999996</v>
      </c>
      <c r="L43" s="260"/>
      <c r="M43" s="260">
        <f t="shared" si="4"/>
        <v>4082458.85</v>
      </c>
      <c r="N43" s="260"/>
      <c r="O43" s="260">
        <f t="shared" si="4"/>
        <v>1</v>
      </c>
      <c r="P43" s="260"/>
      <c r="Q43" s="260">
        <f t="shared" si="4"/>
        <v>4015741.75</v>
      </c>
      <c r="R43" s="260"/>
      <c r="S43" s="272">
        <f t="shared" ref="S43" si="5">SUM(S39:T42)</f>
        <v>3923054.1</v>
      </c>
      <c r="T43" s="272"/>
      <c r="U43" s="155"/>
      <c r="V43" s="155"/>
      <c r="W43" s="4"/>
      <c r="X43" s="4"/>
    </row>
    <row r="44" spans="1:24" x14ac:dyDescent="0.2">
      <c r="A44" s="1"/>
      <c r="B44" t="s">
        <v>141</v>
      </c>
      <c r="C44" s="4">
        <f>C41-C42</f>
        <v>-159404.75</v>
      </c>
      <c r="D44" s="4"/>
      <c r="E44" s="4"/>
      <c r="F44" s="4"/>
      <c r="G44" s="4"/>
      <c r="H44" s="204"/>
      <c r="I44" s="4"/>
      <c r="J44" s="4"/>
      <c r="K44" s="4"/>
      <c r="L44" s="4"/>
      <c r="T44" s="4"/>
      <c r="U44" s="155"/>
      <c r="V44" s="155"/>
      <c r="W44" s="4"/>
      <c r="X44" s="4"/>
    </row>
    <row r="45" spans="1:24" x14ac:dyDescent="0.2">
      <c r="A45" s="1"/>
      <c r="C45" s="4"/>
      <c r="D45" s="4"/>
      <c r="E45" s="4"/>
      <c r="F45" s="4"/>
      <c r="G45" s="4"/>
      <c r="H45" s="204"/>
      <c r="I45" s="4"/>
      <c r="J45" s="4"/>
      <c r="K45" s="4"/>
      <c r="L45" s="4"/>
      <c r="T45" s="4"/>
      <c r="U45" s="155"/>
      <c r="V45" s="155"/>
      <c r="W45" s="4"/>
      <c r="X45" s="4"/>
    </row>
    <row r="46" spans="1:24" x14ac:dyDescent="0.2">
      <c r="A46" s="1"/>
      <c r="C46" s="4"/>
      <c r="D46" s="4"/>
      <c r="E46" s="4"/>
      <c r="F46" s="4"/>
      <c r="G46" s="4"/>
      <c r="H46" s="204"/>
      <c r="I46" s="4"/>
      <c r="J46" s="4"/>
      <c r="K46" s="4"/>
      <c r="L46" s="4"/>
      <c r="T46" s="4"/>
      <c r="U46" s="155"/>
      <c r="V46" s="155"/>
      <c r="W46" s="4"/>
      <c r="X46" s="4"/>
    </row>
    <row r="47" spans="1:24" x14ac:dyDescent="0.2">
      <c r="A47" s="1"/>
      <c r="C47" s="4"/>
      <c r="D47" s="4"/>
      <c r="E47" s="4"/>
      <c r="F47" s="4"/>
      <c r="G47" s="4"/>
      <c r="H47" s="204"/>
      <c r="I47" s="4"/>
      <c r="J47" s="4"/>
      <c r="K47" s="4"/>
      <c r="L47" s="4"/>
      <c r="T47" s="4"/>
      <c r="U47" s="155"/>
      <c r="V47" s="155"/>
      <c r="W47" s="4"/>
      <c r="X47" s="4"/>
    </row>
    <row r="48" spans="1:24" x14ac:dyDescent="0.2">
      <c r="A48" s="1"/>
      <c r="C48" s="4"/>
      <c r="D48" s="4"/>
      <c r="E48" s="4"/>
      <c r="F48" s="4"/>
      <c r="G48" s="4"/>
      <c r="H48" s="204"/>
      <c r="I48" s="4"/>
      <c r="J48" s="4"/>
      <c r="K48" s="4"/>
      <c r="L48" s="4"/>
      <c r="T48" s="4"/>
      <c r="U48" s="155"/>
      <c r="V48" s="155"/>
      <c r="W48" s="4"/>
      <c r="X48" s="4"/>
    </row>
    <row r="49" spans="1:24" x14ac:dyDescent="0.2">
      <c r="A49" s="1"/>
      <c r="C49" s="4"/>
      <c r="D49" s="4"/>
      <c r="E49" s="4"/>
      <c r="F49" s="4"/>
      <c r="G49" s="4"/>
      <c r="H49" s="204"/>
      <c r="I49" s="4"/>
      <c r="J49" s="4"/>
      <c r="K49" s="4"/>
      <c r="L49" s="4"/>
      <c r="T49" s="4"/>
      <c r="U49" s="155"/>
      <c r="V49" s="155"/>
      <c r="W49" s="4"/>
      <c r="X49" s="4"/>
    </row>
    <row r="50" spans="1:24" x14ac:dyDescent="0.2">
      <c r="A50" s="1"/>
      <c r="C50" s="4"/>
      <c r="D50" s="4"/>
      <c r="E50" s="4"/>
      <c r="F50" s="4"/>
      <c r="G50" s="4"/>
      <c r="H50" s="204"/>
      <c r="I50" s="4"/>
      <c r="J50" s="4"/>
      <c r="K50" s="4"/>
      <c r="L50" s="4"/>
      <c r="T50" s="4"/>
      <c r="U50" s="155"/>
      <c r="V50" s="155"/>
      <c r="W50" s="4"/>
      <c r="X50" s="4"/>
    </row>
    <row r="51" spans="1:24" x14ac:dyDescent="0.2">
      <c r="A51" s="1"/>
      <c r="C51" s="4"/>
      <c r="D51" s="4"/>
      <c r="E51" s="4"/>
      <c r="F51" s="4"/>
      <c r="G51" s="4"/>
      <c r="H51" s="204"/>
      <c r="I51" s="4"/>
      <c r="J51" s="4"/>
      <c r="K51" s="4"/>
      <c r="L51" s="4"/>
      <c r="T51" s="4"/>
      <c r="U51" s="155"/>
      <c r="V51" s="155"/>
      <c r="W51" s="4"/>
      <c r="X51" s="4"/>
    </row>
    <row r="52" spans="1:24" x14ac:dyDescent="0.2">
      <c r="A52" s="1"/>
      <c r="C52" s="4"/>
      <c r="D52" s="4"/>
      <c r="E52" s="4"/>
      <c r="F52" s="4"/>
      <c r="G52" s="4"/>
      <c r="H52" s="204"/>
      <c r="I52" s="4"/>
      <c r="J52" s="4"/>
      <c r="K52" s="4"/>
      <c r="L52" s="4"/>
      <c r="T52" s="4"/>
      <c r="U52" s="155"/>
      <c r="V52" s="155"/>
      <c r="W52" s="4"/>
      <c r="X52" s="4"/>
    </row>
    <row r="53" spans="1:24" x14ac:dyDescent="0.2">
      <c r="A53" s="1"/>
      <c r="C53" s="4"/>
      <c r="D53" s="4"/>
      <c r="E53" s="4"/>
      <c r="F53" s="4"/>
      <c r="G53" s="4"/>
      <c r="H53" s="204"/>
      <c r="I53" s="4"/>
      <c r="J53" s="4"/>
      <c r="K53" s="4"/>
      <c r="L53" s="4"/>
      <c r="T53" s="4"/>
      <c r="U53" s="155"/>
      <c r="V53" s="155"/>
      <c r="W53" s="4"/>
      <c r="X53" s="4"/>
    </row>
    <row r="54" spans="1:24" x14ac:dyDescent="0.2">
      <c r="A54" s="1"/>
      <c r="C54" s="4"/>
      <c r="D54" s="4"/>
      <c r="E54" s="4"/>
      <c r="F54" s="4"/>
      <c r="G54" s="4"/>
      <c r="H54" s="198"/>
      <c r="I54" s="4"/>
      <c r="J54" s="4"/>
      <c r="K54" s="4"/>
      <c r="L54" s="4"/>
      <c r="T54" s="4"/>
      <c r="U54" s="155"/>
      <c r="V54" s="155"/>
      <c r="W54" s="4"/>
      <c r="X54" s="4"/>
    </row>
    <row r="55" spans="1:24" x14ac:dyDescent="0.2">
      <c r="A55" s="1"/>
      <c r="C55" s="4"/>
      <c r="D55" s="4"/>
      <c r="E55" s="4"/>
      <c r="F55" s="4"/>
      <c r="G55" s="4"/>
      <c r="H55" s="4"/>
      <c r="I55" s="4"/>
      <c r="J55" s="4"/>
      <c r="K55" s="4"/>
      <c r="L55" s="4"/>
      <c r="T55" s="4"/>
      <c r="U55" s="155"/>
      <c r="V55" s="155"/>
      <c r="W55" s="4"/>
      <c r="X55" s="4"/>
    </row>
    <row r="56" spans="1:24" x14ac:dyDescent="0.2">
      <c r="A56" s="1"/>
      <c r="C56" s="4"/>
      <c r="D56" s="4"/>
      <c r="E56" s="4"/>
      <c r="F56" s="4"/>
      <c r="G56" s="4"/>
      <c r="H56" s="4"/>
      <c r="I56" s="4"/>
      <c r="J56" s="4"/>
      <c r="K56" s="4"/>
      <c r="L56" s="4"/>
      <c r="T56" s="4"/>
      <c r="U56" s="155"/>
      <c r="V56" s="155"/>
      <c r="W56" s="4"/>
      <c r="X56" s="4"/>
    </row>
    <row r="57" spans="1:24" x14ac:dyDescent="0.2">
      <c r="T57" s="56"/>
      <c r="U57" s="56"/>
      <c r="V57" s="56"/>
      <c r="W57" s="56"/>
      <c r="X57" s="56"/>
    </row>
    <row r="58" spans="1:24" x14ac:dyDescent="0.2">
      <c r="A58" s="75" t="s">
        <v>86</v>
      </c>
      <c r="B58" s="75"/>
      <c r="C58" s="75"/>
      <c r="D58" s="75"/>
      <c r="E58" s="75"/>
      <c r="F58" s="75"/>
      <c r="G58" s="75"/>
      <c r="H58" s="75"/>
      <c r="I58" s="75"/>
      <c r="U58" s="73">
        <f>U33-U31</f>
        <v>-2008942.1</v>
      </c>
    </row>
    <row r="59" spans="1:24" x14ac:dyDescent="0.2">
      <c r="A59" s="75" t="s">
        <v>85</v>
      </c>
      <c r="B59" s="75"/>
      <c r="C59" s="75"/>
      <c r="D59" s="75"/>
      <c r="E59" s="75"/>
      <c r="F59" s="75"/>
      <c r="G59" s="75"/>
      <c r="H59" s="75"/>
      <c r="I59" s="75"/>
      <c r="U59" s="73">
        <f>U34-U31</f>
        <v>-2008942.1</v>
      </c>
    </row>
    <row r="60" spans="1:24" x14ac:dyDescent="0.2">
      <c r="A60" s="75" t="s">
        <v>93</v>
      </c>
      <c r="B60" s="75"/>
      <c r="C60" s="75"/>
      <c r="D60" s="75"/>
      <c r="E60" s="75"/>
      <c r="F60" s="75"/>
      <c r="G60" s="75"/>
      <c r="H60" s="75"/>
      <c r="I60" s="75"/>
    </row>
    <row r="62" spans="1:24" x14ac:dyDescent="0.2">
      <c r="A62" s="28" t="s">
        <v>114</v>
      </c>
      <c r="B62" s="28"/>
      <c r="C62" s="28"/>
      <c r="D62" s="28"/>
      <c r="E62" s="28"/>
      <c r="F62" s="28"/>
      <c r="G62" s="28"/>
      <c r="H62" s="28"/>
      <c r="I62" s="28"/>
      <c r="L62" s="63">
        <f t="shared" ref="L62:L64" si="6">L72/G72</f>
        <v>1.5</v>
      </c>
    </row>
    <row r="63" spans="1:24" x14ac:dyDescent="0.2">
      <c r="L63" s="63" t="e">
        <f t="shared" si="6"/>
        <v>#DIV/0!</v>
      </c>
    </row>
    <row r="64" spans="1:24" x14ac:dyDescent="0.2">
      <c r="L64" s="63">
        <f t="shared" si="6"/>
        <v>0.56249929687587885</v>
      </c>
    </row>
    <row r="65" spans="1:29" ht="16.5" x14ac:dyDescent="0.3">
      <c r="A65" s="59" t="s">
        <v>99</v>
      </c>
      <c r="B65" s="60"/>
      <c r="C65" s="61"/>
      <c r="D65" s="61"/>
      <c r="E65" s="62"/>
      <c r="F65" s="63"/>
      <c r="G65" s="63"/>
      <c r="H65" s="63"/>
      <c r="I65" s="63"/>
      <c r="J65" s="63"/>
      <c r="K65" s="63"/>
      <c r="L65" s="63">
        <f>L75/G75</f>
        <v>1.5461925009663704</v>
      </c>
      <c r="M65" s="63"/>
      <c r="N65" s="63"/>
      <c r="O65" s="63"/>
      <c r="P65" s="63"/>
      <c r="Q65" s="63"/>
      <c r="R65" s="63"/>
      <c r="S65" s="63"/>
      <c r="T65" s="63"/>
      <c r="U65" s="63"/>
      <c r="AC65" t="s">
        <v>116</v>
      </c>
    </row>
    <row r="66" spans="1:29" ht="13.5" thickBot="1" x14ac:dyDescent="0.25">
      <c r="C66" s="112" t="s">
        <v>104</v>
      </c>
      <c r="D66" s="112" t="s">
        <v>104</v>
      </c>
      <c r="G66" s="113" t="s">
        <v>105</v>
      </c>
      <c r="I66" s="112" t="s">
        <v>104</v>
      </c>
      <c r="L66" s="113" t="s">
        <v>105</v>
      </c>
      <c r="R66" s="241" t="s">
        <v>24</v>
      </c>
      <c r="S66" s="241"/>
      <c r="T66" s="241"/>
    </row>
    <row r="67" spans="1:29" x14ac:dyDescent="0.2">
      <c r="A67" s="15" t="s">
        <v>0</v>
      </c>
      <c r="B67" s="31" t="s">
        <v>1</v>
      </c>
      <c r="C67" s="242" t="s">
        <v>2</v>
      </c>
      <c r="D67" s="243"/>
      <c r="E67" s="243"/>
      <c r="F67" s="243"/>
      <c r="G67" s="243"/>
      <c r="H67" s="244"/>
      <c r="I67" s="245" t="s">
        <v>11</v>
      </c>
      <c r="J67" s="243"/>
      <c r="K67" s="243"/>
      <c r="L67" s="243"/>
      <c r="M67" s="244"/>
      <c r="N67" s="38" t="s">
        <v>10</v>
      </c>
      <c r="O67" s="38" t="s">
        <v>2</v>
      </c>
      <c r="P67" s="102" t="s">
        <v>11</v>
      </c>
      <c r="R67" s="241" t="s">
        <v>5</v>
      </c>
      <c r="S67" s="241"/>
      <c r="T67" s="241"/>
    </row>
    <row r="68" spans="1:29" ht="13.5" x14ac:dyDescent="0.25">
      <c r="A68" s="11"/>
      <c r="B68" s="9"/>
      <c r="C68" s="46" t="s">
        <v>150</v>
      </c>
      <c r="D68" s="24" t="s">
        <v>3</v>
      </c>
      <c r="E68" s="24" t="s">
        <v>4</v>
      </c>
      <c r="F68" s="24" t="s">
        <v>5</v>
      </c>
      <c r="G68" s="24" t="s">
        <v>8</v>
      </c>
      <c r="H68" s="25" t="s">
        <v>7</v>
      </c>
      <c r="I68" s="46" t="s">
        <v>150</v>
      </c>
      <c r="J68" s="24" t="s">
        <v>4</v>
      </c>
      <c r="K68" s="24" t="s">
        <v>5</v>
      </c>
      <c r="L68" s="24" t="s">
        <v>8</v>
      </c>
      <c r="M68" s="25" t="s">
        <v>7</v>
      </c>
      <c r="N68" s="39" t="s">
        <v>7</v>
      </c>
      <c r="O68" s="101" t="s">
        <v>18</v>
      </c>
      <c r="P68" s="44" t="s">
        <v>18</v>
      </c>
      <c r="R68" s="237" t="s">
        <v>36</v>
      </c>
      <c r="S68" s="237" t="s">
        <v>37</v>
      </c>
      <c r="T68" s="5"/>
    </row>
    <row r="69" spans="1:29" ht="13.5" x14ac:dyDescent="0.25">
      <c r="A69" s="11"/>
      <c r="B69" s="9"/>
      <c r="C69" s="22" t="s">
        <v>112</v>
      </c>
      <c r="D69" s="24" t="s">
        <v>31</v>
      </c>
      <c r="E69" s="24"/>
      <c r="F69" s="24"/>
      <c r="G69" s="24"/>
      <c r="H69" s="25" t="s">
        <v>6</v>
      </c>
      <c r="I69" s="64" t="s">
        <v>33</v>
      </c>
      <c r="J69" s="246" t="s">
        <v>17</v>
      </c>
      <c r="K69" s="247"/>
      <c r="L69" s="26"/>
      <c r="M69" s="25" t="s">
        <v>6</v>
      </c>
      <c r="N69" s="39" t="s">
        <v>6</v>
      </c>
      <c r="O69" s="101" t="s">
        <v>19</v>
      </c>
      <c r="P69" s="44" t="s">
        <v>19</v>
      </c>
      <c r="R69" s="5"/>
      <c r="S69" s="5"/>
      <c r="T69" s="5"/>
      <c r="W69" t="s">
        <v>117</v>
      </c>
      <c r="X69" t="s">
        <v>118</v>
      </c>
    </row>
    <row r="70" spans="1:29" x14ac:dyDescent="0.2">
      <c r="A70" s="11"/>
      <c r="B70" s="9"/>
      <c r="C70" s="22">
        <v>0</v>
      </c>
      <c r="D70" s="24">
        <v>1</v>
      </c>
      <c r="E70" s="24" t="s">
        <v>13</v>
      </c>
      <c r="F70" s="24">
        <v>3</v>
      </c>
      <c r="G70" s="24">
        <v>4</v>
      </c>
      <c r="H70" s="25" t="s">
        <v>30</v>
      </c>
      <c r="I70" s="238">
        <v>6</v>
      </c>
      <c r="J70" s="24" t="s">
        <v>14</v>
      </c>
      <c r="K70" s="24">
        <v>8</v>
      </c>
      <c r="L70" s="24">
        <v>9</v>
      </c>
      <c r="M70" s="25" t="s">
        <v>9</v>
      </c>
      <c r="N70" s="40" t="s">
        <v>15</v>
      </c>
      <c r="O70" s="48" t="s">
        <v>35</v>
      </c>
      <c r="P70" s="103" t="s">
        <v>21</v>
      </c>
      <c r="R70" s="237" t="s">
        <v>38</v>
      </c>
      <c r="S70" s="237" t="s">
        <v>22</v>
      </c>
      <c r="T70" s="237" t="s">
        <v>23</v>
      </c>
    </row>
    <row r="71" spans="1:29" x14ac:dyDescent="0.2">
      <c r="A71" s="12"/>
      <c r="B71" s="10"/>
      <c r="C71" s="12"/>
      <c r="D71" s="5"/>
      <c r="E71" s="5"/>
      <c r="F71" s="5"/>
      <c r="G71" s="5"/>
      <c r="H71" s="13"/>
      <c r="I71" s="17"/>
      <c r="J71" s="5"/>
      <c r="K71" s="5"/>
      <c r="L71" s="5"/>
      <c r="M71" s="13"/>
      <c r="N71" s="41"/>
      <c r="O71" s="41"/>
      <c r="P71" s="104"/>
      <c r="R71" s="5"/>
      <c r="S71" s="5"/>
      <c r="T71" s="5"/>
    </row>
    <row r="72" spans="1:29" x14ac:dyDescent="0.2">
      <c r="A72" s="12">
        <v>100</v>
      </c>
      <c r="B72" s="10" t="s">
        <v>101</v>
      </c>
      <c r="C72" s="18">
        <v>70000</v>
      </c>
      <c r="D72" s="18">
        <v>56372</v>
      </c>
      <c r="E72" s="27">
        <f>F72-D72</f>
        <v>13628</v>
      </c>
      <c r="F72" s="225">
        <v>70000</v>
      </c>
      <c r="G72" s="20">
        <v>2000</v>
      </c>
      <c r="H72" s="33">
        <f t="shared" ref="H72:H84" si="7">C72+G72</f>
        <v>72000</v>
      </c>
      <c r="I72" s="18">
        <v>76210</v>
      </c>
      <c r="J72" s="37">
        <f>K72-I72</f>
        <v>10030</v>
      </c>
      <c r="K72" s="224">
        <v>86240</v>
      </c>
      <c r="L72" s="37">
        <v>3000</v>
      </c>
      <c r="M72" s="33">
        <f>I72+L72</f>
        <v>79210</v>
      </c>
      <c r="N72" s="42">
        <f t="shared" ref="N72:N78" si="8">H72-M72</f>
        <v>-7210</v>
      </c>
      <c r="O72" s="49">
        <f t="shared" ref="O72:O78" si="9">F72-D72</f>
        <v>13628</v>
      </c>
      <c r="P72" s="105">
        <f t="shared" ref="P72:P78" si="10">F72-N72-I72</f>
        <v>1000</v>
      </c>
      <c r="R72" s="100">
        <f t="shared" ref="R72:R77" si="11">F72</f>
        <v>70000</v>
      </c>
      <c r="S72" s="100">
        <f t="shared" ref="S72:S77" si="12">P72+I72</f>
        <v>77210</v>
      </c>
      <c r="T72" s="50">
        <f>R72-S72</f>
        <v>-7210</v>
      </c>
      <c r="W72">
        <v>6000</v>
      </c>
    </row>
    <row r="73" spans="1:29" x14ac:dyDescent="0.2">
      <c r="A73" s="12">
        <v>200</v>
      </c>
      <c r="B73" s="10" t="s">
        <v>42</v>
      </c>
      <c r="C73" s="18">
        <v>603751</v>
      </c>
      <c r="D73" s="18">
        <v>603751</v>
      </c>
      <c r="E73" s="27">
        <f t="shared" ref="E73:E81" si="13">F73-D73</f>
        <v>0</v>
      </c>
      <c r="F73" s="225">
        <v>603751</v>
      </c>
      <c r="G73" s="20">
        <v>0</v>
      </c>
      <c r="H73" s="33">
        <f t="shared" si="7"/>
        <v>603751</v>
      </c>
      <c r="I73" s="18">
        <v>746118.75</v>
      </c>
      <c r="J73" s="37">
        <f t="shared" ref="J73:J86" si="14">K73-I73</f>
        <v>0.25</v>
      </c>
      <c r="K73" s="224">
        <v>746119</v>
      </c>
      <c r="L73" s="37">
        <v>0</v>
      </c>
      <c r="M73" s="33">
        <f t="shared" ref="M73:M86" si="15">I73+L73</f>
        <v>746118.75</v>
      </c>
      <c r="N73" s="42">
        <f t="shared" si="8"/>
        <v>-142367.75</v>
      </c>
      <c r="O73" s="49">
        <f t="shared" si="9"/>
        <v>0</v>
      </c>
      <c r="P73" s="105">
        <f t="shared" si="10"/>
        <v>0</v>
      </c>
      <c r="R73" s="100">
        <f t="shared" si="11"/>
        <v>603751</v>
      </c>
      <c r="S73" s="100">
        <f t="shared" si="12"/>
        <v>746118.75</v>
      </c>
      <c r="T73" s="50">
        <f t="shared" ref="T73:T86" si="16">R73-S73</f>
        <v>-142367.75</v>
      </c>
    </row>
    <row r="74" spans="1:29" x14ac:dyDescent="0.2">
      <c r="A74" s="12">
        <v>310</v>
      </c>
      <c r="B74" s="232" t="s">
        <v>69</v>
      </c>
      <c r="C74" s="233">
        <v>372000</v>
      </c>
      <c r="D74" s="233">
        <v>283111</v>
      </c>
      <c r="E74" s="27">
        <f>F74-D74</f>
        <v>88889</v>
      </c>
      <c r="F74" s="224">
        <v>372000</v>
      </c>
      <c r="G74" s="20">
        <v>88889</v>
      </c>
      <c r="H74" s="33">
        <f>C74+G74</f>
        <v>460889</v>
      </c>
      <c r="I74" s="18">
        <v>432936</v>
      </c>
      <c r="J74" s="37">
        <f t="shared" si="14"/>
        <v>25664</v>
      </c>
      <c r="K74" s="224">
        <v>458600</v>
      </c>
      <c r="L74" s="37">
        <v>50000</v>
      </c>
      <c r="M74" s="33">
        <f>I74+L74</f>
        <v>482936</v>
      </c>
      <c r="N74" s="42">
        <f t="shared" si="8"/>
        <v>-22047</v>
      </c>
      <c r="O74" s="49">
        <f t="shared" si="9"/>
        <v>88889</v>
      </c>
      <c r="P74" s="105">
        <f t="shared" si="10"/>
        <v>-38889</v>
      </c>
      <c r="R74" s="100">
        <f t="shared" si="11"/>
        <v>372000</v>
      </c>
      <c r="S74" s="100">
        <f t="shared" si="12"/>
        <v>394047</v>
      </c>
      <c r="T74" s="50">
        <f t="shared" si="16"/>
        <v>-22047</v>
      </c>
      <c r="W74">
        <v>50000</v>
      </c>
    </row>
    <row r="75" spans="1:29" x14ac:dyDescent="0.2">
      <c r="A75" s="12">
        <v>320</v>
      </c>
      <c r="B75" s="232" t="s">
        <v>70</v>
      </c>
      <c r="C75" s="233">
        <v>270777</v>
      </c>
      <c r="D75" s="233">
        <v>253204</v>
      </c>
      <c r="E75" s="27">
        <f>F75-D75</f>
        <v>17573</v>
      </c>
      <c r="F75" s="224">
        <v>270777</v>
      </c>
      <c r="G75" s="20">
        <v>12935</v>
      </c>
      <c r="H75" s="33">
        <f t="shared" si="7"/>
        <v>283712</v>
      </c>
      <c r="I75" s="18">
        <v>343900</v>
      </c>
      <c r="J75" s="37">
        <f t="shared" si="14"/>
        <v>22888</v>
      </c>
      <c r="K75" s="224">
        <v>366788</v>
      </c>
      <c r="L75" s="37">
        <v>20000</v>
      </c>
      <c r="M75" s="33">
        <f t="shared" si="15"/>
        <v>363900</v>
      </c>
      <c r="N75" s="42">
        <f t="shared" si="8"/>
        <v>-80188</v>
      </c>
      <c r="O75" s="49">
        <f t="shared" si="9"/>
        <v>17573</v>
      </c>
      <c r="P75" s="105">
        <f t="shared" si="10"/>
        <v>7065</v>
      </c>
      <c r="R75" s="100">
        <f t="shared" si="11"/>
        <v>270777</v>
      </c>
      <c r="S75" s="100">
        <f t="shared" si="12"/>
        <v>350965</v>
      </c>
      <c r="T75" s="50">
        <f t="shared" si="16"/>
        <v>-80188</v>
      </c>
      <c r="U75">
        <v>284806</v>
      </c>
      <c r="V75" s="56">
        <f>S75-U75</f>
        <v>66159</v>
      </c>
      <c r="W75">
        <v>2000</v>
      </c>
    </row>
    <row r="76" spans="1:29" x14ac:dyDescent="0.2">
      <c r="A76" s="12">
        <v>330</v>
      </c>
      <c r="B76" s="237" t="s">
        <v>71</v>
      </c>
      <c r="C76" s="18"/>
      <c r="D76" s="18"/>
      <c r="E76" s="27">
        <f t="shared" si="13"/>
        <v>0</v>
      </c>
      <c r="F76" s="225">
        <f>F21</f>
        <v>0</v>
      </c>
      <c r="G76" s="20"/>
      <c r="H76" s="33">
        <f t="shared" si="7"/>
        <v>0</v>
      </c>
      <c r="I76" s="18"/>
      <c r="J76" s="37">
        <f t="shared" si="14"/>
        <v>0</v>
      </c>
      <c r="K76" s="20"/>
      <c r="L76" s="37"/>
      <c r="M76" s="33">
        <f t="shared" si="15"/>
        <v>0</v>
      </c>
      <c r="N76" s="42">
        <f t="shared" si="8"/>
        <v>0</v>
      </c>
      <c r="O76" s="49">
        <f t="shared" si="9"/>
        <v>0</v>
      </c>
      <c r="P76" s="105">
        <f t="shared" si="10"/>
        <v>0</v>
      </c>
      <c r="R76" s="100">
        <f t="shared" si="11"/>
        <v>0</v>
      </c>
      <c r="S76" s="100">
        <f t="shared" si="12"/>
        <v>0</v>
      </c>
      <c r="T76" s="50">
        <f t="shared" si="16"/>
        <v>0</v>
      </c>
    </row>
    <row r="77" spans="1:29" s="231" customFormat="1" x14ac:dyDescent="0.2">
      <c r="A77" s="226">
        <v>420</v>
      </c>
      <c r="B77" s="234" t="s">
        <v>74</v>
      </c>
      <c r="C77" s="235">
        <v>503014</v>
      </c>
      <c r="D77" s="235">
        <v>462640</v>
      </c>
      <c r="E77" s="228">
        <f>F77-D77</f>
        <v>40374</v>
      </c>
      <c r="F77" s="224">
        <v>503014</v>
      </c>
      <c r="G77" s="229">
        <v>69000</v>
      </c>
      <c r="H77" s="123">
        <f>C77+G77</f>
        <v>572014</v>
      </c>
      <c r="I77" s="227">
        <v>605119</v>
      </c>
      <c r="J77" s="230">
        <f t="shared" si="14"/>
        <v>31532</v>
      </c>
      <c r="K77" s="224">
        <v>636651</v>
      </c>
      <c r="L77" s="230">
        <v>80000</v>
      </c>
      <c r="M77" s="123">
        <f>I77+L77</f>
        <v>685119</v>
      </c>
      <c r="N77" s="125">
        <f t="shared" si="8"/>
        <v>-113105</v>
      </c>
      <c r="O77" s="126">
        <f t="shared" si="9"/>
        <v>40374</v>
      </c>
      <c r="P77" s="127">
        <f t="shared" si="10"/>
        <v>11000</v>
      </c>
      <c r="R77" s="128">
        <f t="shared" si="11"/>
        <v>503014</v>
      </c>
      <c r="S77" s="128">
        <f t="shared" si="12"/>
        <v>616119</v>
      </c>
      <c r="T77" s="129">
        <f>R77-S77</f>
        <v>-113105</v>
      </c>
      <c r="W77" s="231">
        <v>70000</v>
      </c>
    </row>
    <row r="78" spans="1:29" x14ac:dyDescent="0.2">
      <c r="A78" s="12">
        <v>425</v>
      </c>
      <c r="B78" s="237" t="s">
        <v>72</v>
      </c>
      <c r="C78" s="18"/>
      <c r="D78" s="20"/>
      <c r="E78" s="27"/>
      <c r="F78" s="37"/>
      <c r="G78" s="20"/>
      <c r="H78" s="33">
        <f t="shared" si="7"/>
        <v>0</v>
      </c>
      <c r="I78" s="18"/>
      <c r="J78" s="37"/>
      <c r="K78" s="20"/>
      <c r="L78" s="37"/>
      <c r="M78" s="33">
        <f t="shared" si="15"/>
        <v>0</v>
      </c>
      <c r="N78" s="42">
        <f t="shared" si="8"/>
        <v>0</v>
      </c>
      <c r="O78" s="49">
        <f t="shared" si="9"/>
        <v>0</v>
      </c>
      <c r="P78" s="105">
        <f t="shared" si="10"/>
        <v>0</v>
      </c>
      <c r="R78" s="100"/>
      <c r="S78" s="100"/>
      <c r="T78" s="50">
        <f>R78-S78</f>
        <v>0</v>
      </c>
    </row>
    <row r="79" spans="1:29" x14ac:dyDescent="0.2">
      <c r="A79" s="12">
        <v>430</v>
      </c>
      <c r="B79" s="237" t="s">
        <v>115</v>
      </c>
      <c r="C79" s="18">
        <v>6000</v>
      </c>
      <c r="D79" s="20">
        <v>4179</v>
      </c>
      <c r="E79" s="27">
        <f>F79-D79</f>
        <v>1821</v>
      </c>
      <c r="F79" s="224">
        <v>6000</v>
      </c>
      <c r="G79" s="20">
        <v>1821</v>
      </c>
      <c r="H79" s="33">
        <f t="shared" si="7"/>
        <v>7821</v>
      </c>
      <c r="I79" s="18">
        <v>5131.25</v>
      </c>
      <c r="J79" s="37">
        <f t="shared" si="14"/>
        <v>999.75</v>
      </c>
      <c r="K79" s="20">
        <v>6131</v>
      </c>
      <c r="L79" s="37"/>
      <c r="M79" s="33"/>
      <c r="N79" s="42"/>
      <c r="O79" s="49">
        <f>F79-D79</f>
        <v>1821</v>
      </c>
      <c r="P79" s="105">
        <f>F79-N79-I79</f>
        <v>868.75</v>
      </c>
      <c r="R79" s="100"/>
      <c r="S79" s="100"/>
      <c r="T79" s="50"/>
    </row>
    <row r="80" spans="1:29" x14ac:dyDescent="0.2">
      <c r="A80" s="12">
        <v>500</v>
      </c>
      <c r="B80" s="237" t="s">
        <v>81</v>
      </c>
      <c r="C80" s="18">
        <v>178010.75</v>
      </c>
      <c r="D80" s="20">
        <v>177053</v>
      </c>
      <c r="E80" s="27">
        <f>F80-D80</f>
        <v>-1</v>
      </c>
      <c r="F80" s="225">
        <v>177052</v>
      </c>
      <c r="G80" s="20">
        <v>0</v>
      </c>
      <c r="H80" s="33">
        <f t="shared" si="7"/>
        <v>178010.75</v>
      </c>
      <c r="I80" s="18">
        <v>223094.75</v>
      </c>
      <c r="J80" s="37">
        <f t="shared" si="14"/>
        <v>0.25</v>
      </c>
      <c r="K80" s="224">
        <v>223095</v>
      </c>
      <c r="L80" s="37">
        <v>0</v>
      </c>
      <c r="M80" s="33">
        <f t="shared" si="15"/>
        <v>223094.75</v>
      </c>
      <c r="N80" s="42">
        <f>H80-M80</f>
        <v>-45084</v>
      </c>
      <c r="O80" s="49">
        <f>F80-D80</f>
        <v>-1</v>
      </c>
      <c r="P80" s="105">
        <f>F80-N80-I80</f>
        <v>-958.75</v>
      </c>
      <c r="R80" s="100">
        <f t="shared" ref="R80:R86" si="17">F80</f>
        <v>177052</v>
      </c>
      <c r="S80" s="100">
        <f t="shared" ref="S80:S86" si="18">P80+I80</f>
        <v>222136</v>
      </c>
      <c r="T80" s="50">
        <f t="shared" si="16"/>
        <v>-45084</v>
      </c>
    </row>
    <row r="81" spans="1:27" x14ac:dyDescent="0.2">
      <c r="A81" s="12">
        <v>500</v>
      </c>
      <c r="B81" s="10" t="s">
        <v>100</v>
      </c>
      <c r="C81" s="18">
        <v>288.77999999999997</v>
      </c>
      <c r="D81" s="20">
        <v>30115.599999999999</v>
      </c>
      <c r="E81" s="27">
        <f t="shared" si="13"/>
        <v>0</v>
      </c>
      <c r="F81" s="37">
        <f>'Ausgangslage - Triage'!B16+'Ausgangslage - Triage'!B24</f>
        <v>30115.599999999999</v>
      </c>
      <c r="G81" s="20">
        <v>0</v>
      </c>
      <c r="H81" s="33">
        <f t="shared" si="7"/>
        <v>288.77999999999997</v>
      </c>
      <c r="I81" s="18">
        <v>379.9</v>
      </c>
      <c r="J81" s="37">
        <f>K81-I81</f>
        <v>0</v>
      </c>
      <c r="K81" s="224">
        <v>379.9</v>
      </c>
      <c r="L81" s="20">
        <v>0</v>
      </c>
      <c r="M81" s="33">
        <f t="shared" si="15"/>
        <v>379.9</v>
      </c>
      <c r="N81" s="42">
        <f>H81-M81</f>
        <v>-91.12</v>
      </c>
      <c r="O81" s="49">
        <f>F81-D81</f>
        <v>0</v>
      </c>
      <c r="P81" s="105">
        <f>F81-N81-I81</f>
        <v>29826.819999999996</v>
      </c>
      <c r="R81" s="100">
        <f t="shared" si="17"/>
        <v>30115.599999999999</v>
      </c>
      <c r="S81" s="100">
        <f t="shared" si="18"/>
        <v>30206.719999999998</v>
      </c>
      <c r="T81" s="50">
        <f t="shared" si="16"/>
        <v>-91.119999999998981</v>
      </c>
    </row>
    <row r="82" spans="1:27" x14ac:dyDescent="0.2">
      <c r="A82" s="12">
        <v>910</v>
      </c>
      <c r="B82" s="10" t="s">
        <v>75</v>
      </c>
      <c r="C82" s="18">
        <v>19763</v>
      </c>
      <c r="D82" s="20">
        <v>3482.4</v>
      </c>
      <c r="E82" s="27">
        <f>F82-D82</f>
        <v>16280.1</v>
      </c>
      <c r="F82" s="225">
        <f>0.5*'Ausgangslage - Triage'!I11</f>
        <v>19762.5</v>
      </c>
      <c r="G82" s="20">
        <v>16280</v>
      </c>
      <c r="H82" s="33">
        <f t="shared" si="7"/>
        <v>36043</v>
      </c>
      <c r="I82" s="18">
        <v>6724.5</v>
      </c>
      <c r="J82" s="37">
        <f t="shared" si="14"/>
        <v>15780.5</v>
      </c>
      <c r="K82" s="224">
        <v>22505</v>
      </c>
      <c r="L82" s="20">
        <v>3000</v>
      </c>
      <c r="M82" s="33">
        <f t="shared" si="15"/>
        <v>9724.5</v>
      </c>
      <c r="N82" s="42">
        <f>H82-M82</f>
        <v>26318.5</v>
      </c>
      <c r="O82" s="49">
        <f>F82-D82</f>
        <v>16280.1</v>
      </c>
      <c r="P82" s="105">
        <f>F82-N82-I82</f>
        <v>-13280.5</v>
      </c>
      <c r="R82" s="100">
        <f t="shared" si="17"/>
        <v>19762.5</v>
      </c>
      <c r="S82" s="100">
        <f t="shared" si="18"/>
        <v>-6556</v>
      </c>
      <c r="T82" s="50">
        <f t="shared" si="16"/>
        <v>26318.5</v>
      </c>
    </row>
    <row r="83" spans="1:27" x14ac:dyDescent="0.2">
      <c r="A83" s="12"/>
      <c r="B83" s="14" t="s">
        <v>12</v>
      </c>
      <c r="C83" s="43">
        <f>SUM(C72:C77,C78:C82)</f>
        <v>2023604.53</v>
      </c>
      <c r="D83" s="43">
        <f>SUM(D72:D77,D78:D82)</f>
        <v>1873908</v>
      </c>
      <c r="E83" s="43">
        <f>SUM(E72:E77,E78:E82)</f>
        <v>178564.1</v>
      </c>
      <c r="F83" s="43">
        <f>SUM(F72:F82)</f>
        <v>2052472.1</v>
      </c>
      <c r="G83" s="43">
        <f t="shared" ref="G83:P83" si="19">SUM(G72:G77,G78:G82)</f>
        <v>190925</v>
      </c>
      <c r="H83" s="43">
        <f t="shared" si="19"/>
        <v>2214529.5299999998</v>
      </c>
      <c r="I83" s="43">
        <f t="shared" si="19"/>
        <v>2439614.15</v>
      </c>
      <c r="J83" s="43">
        <f t="shared" si="19"/>
        <v>106894.75</v>
      </c>
      <c r="K83" s="43">
        <f t="shared" si="19"/>
        <v>2546508.9</v>
      </c>
      <c r="L83" s="43">
        <f t="shared" si="19"/>
        <v>156000</v>
      </c>
      <c r="M83" s="107">
        <f t="shared" si="19"/>
        <v>2590482.9</v>
      </c>
      <c r="N83" s="42">
        <f t="shared" si="19"/>
        <v>-383774.37</v>
      </c>
      <c r="O83" s="108">
        <f t="shared" si="19"/>
        <v>178564.1</v>
      </c>
      <c r="P83" s="109">
        <f t="shared" si="19"/>
        <v>-3367.6800000000039</v>
      </c>
      <c r="Q83" s="43"/>
      <c r="R83" s="110">
        <f t="shared" si="17"/>
        <v>2052472.1</v>
      </c>
      <c r="S83" s="110">
        <f t="shared" si="18"/>
        <v>2436246.4699999997</v>
      </c>
      <c r="T83" s="58">
        <f t="shared" si="16"/>
        <v>-383774.36999999965</v>
      </c>
    </row>
    <row r="84" spans="1:27" x14ac:dyDescent="0.2">
      <c r="A84" s="12">
        <v>777</v>
      </c>
      <c r="B84" s="10" t="s">
        <v>78</v>
      </c>
      <c r="C84" s="47">
        <v>10000</v>
      </c>
      <c r="D84" s="20">
        <v>5637</v>
      </c>
      <c r="E84" s="27">
        <f>F84-D84</f>
        <v>4363</v>
      </c>
      <c r="F84" s="225">
        <v>10000</v>
      </c>
      <c r="G84" s="20">
        <v>0</v>
      </c>
      <c r="H84" s="33">
        <f t="shared" si="7"/>
        <v>10000</v>
      </c>
      <c r="I84" s="19">
        <v>0</v>
      </c>
      <c r="J84" s="37">
        <f t="shared" si="14"/>
        <v>0</v>
      </c>
      <c r="K84" s="20">
        <v>0</v>
      </c>
      <c r="L84" s="20">
        <v>0</v>
      </c>
      <c r="M84" s="33">
        <f t="shared" si="15"/>
        <v>0</v>
      </c>
      <c r="N84" s="42">
        <f>H84-M84</f>
        <v>10000</v>
      </c>
      <c r="O84" s="49">
        <f>F84-D84</f>
        <v>4363</v>
      </c>
      <c r="P84" s="105">
        <f>F84-N84-I84</f>
        <v>0</v>
      </c>
      <c r="R84" s="100">
        <f t="shared" si="17"/>
        <v>10000</v>
      </c>
      <c r="S84" s="100">
        <f t="shared" si="18"/>
        <v>0</v>
      </c>
      <c r="T84" s="50">
        <f t="shared" si="16"/>
        <v>10000</v>
      </c>
    </row>
    <row r="85" spans="1:27" x14ac:dyDescent="0.2">
      <c r="A85" s="12">
        <v>900</v>
      </c>
      <c r="B85" s="10" t="s">
        <v>77</v>
      </c>
      <c r="C85" s="47">
        <v>0</v>
      </c>
      <c r="D85" s="20"/>
      <c r="E85" s="20"/>
      <c r="F85" s="20"/>
      <c r="G85" s="20"/>
      <c r="H85" s="236"/>
      <c r="I85" s="47">
        <v>21251.84</v>
      </c>
      <c r="J85" s="20">
        <f t="shared" si="14"/>
        <v>-2510.0499999999993</v>
      </c>
      <c r="K85" s="224">
        <v>18741.79</v>
      </c>
      <c r="L85" s="20">
        <v>5000</v>
      </c>
      <c r="M85" s="33">
        <f t="shared" si="15"/>
        <v>26251.84</v>
      </c>
      <c r="N85" s="42">
        <f>H85-M85</f>
        <v>-26251.84</v>
      </c>
      <c r="O85" s="49">
        <f>F85-D85</f>
        <v>0</v>
      </c>
      <c r="P85" s="105">
        <f>F85-N85-I85</f>
        <v>5000</v>
      </c>
      <c r="R85" s="100">
        <f t="shared" si="17"/>
        <v>0</v>
      </c>
      <c r="S85" s="100">
        <f t="shared" si="18"/>
        <v>26251.84</v>
      </c>
      <c r="T85" s="50">
        <f t="shared" si="16"/>
        <v>-26251.84</v>
      </c>
    </row>
    <row r="86" spans="1:27" x14ac:dyDescent="0.2">
      <c r="A86" s="12">
        <v>990</v>
      </c>
      <c r="B86" s="45" t="s">
        <v>76</v>
      </c>
      <c r="C86" s="18">
        <v>33939</v>
      </c>
      <c r="D86" s="20">
        <v>13416</v>
      </c>
      <c r="E86" s="27">
        <f>F86-D86</f>
        <v>20523</v>
      </c>
      <c r="F86" s="225">
        <v>33939</v>
      </c>
      <c r="G86" s="20"/>
      <c r="H86" s="33">
        <f>C86+G86</f>
        <v>33939</v>
      </c>
      <c r="I86" s="18">
        <v>35843</v>
      </c>
      <c r="J86" s="20">
        <f t="shared" si="14"/>
        <v>4352</v>
      </c>
      <c r="K86" s="224">
        <v>40195</v>
      </c>
      <c r="L86" s="37">
        <v>4500</v>
      </c>
      <c r="M86" s="33">
        <f t="shared" si="15"/>
        <v>40343</v>
      </c>
      <c r="N86" s="42">
        <f>H86-M86</f>
        <v>-6404</v>
      </c>
      <c r="O86" s="49">
        <f>F86-D86</f>
        <v>20523</v>
      </c>
      <c r="P86" s="105">
        <f>F86-N86-I86</f>
        <v>4500</v>
      </c>
      <c r="R86" s="100">
        <f t="shared" si="17"/>
        <v>33939</v>
      </c>
      <c r="S86" s="100">
        <f t="shared" si="18"/>
        <v>40343</v>
      </c>
      <c r="T86" s="50">
        <f t="shared" si="16"/>
        <v>-6404</v>
      </c>
    </row>
    <row r="87" spans="1:27" ht="15.75" thickBot="1" x14ac:dyDescent="0.3">
      <c r="A87" s="16"/>
      <c r="B87" s="32" t="s">
        <v>5</v>
      </c>
      <c r="C87" s="34">
        <f>SUM(C83:C86)</f>
        <v>2067543.53</v>
      </c>
      <c r="D87" s="34">
        <f t="shared" ref="D87:T87" si="20">SUM(D83:D86)</f>
        <v>1892961</v>
      </c>
      <c r="E87" s="34">
        <f t="shared" si="20"/>
        <v>203450.1</v>
      </c>
      <c r="F87" s="34">
        <f>SUM(F83:F86)</f>
        <v>2096411.1</v>
      </c>
      <c r="G87" s="34">
        <f t="shared" si="20"/>
        <v>190925</v>
      </c>
      <c r="H87" s="34">
        <f t="shared" si="20"/>
        <v>2258468.5299999998</v>
      </c>
      <c r="I87" s="34">
        <f t="shared" si="20"/>
        <v>2496708.9899999998</v>
      </c>
      <c r="J87" s="34">
        <f t="shared" si="20"/>
        <v>108736.7</v>
      </c>
      <c r="K87" s="34">
        <f t="shared" si="20"/>
        <v>2605445.69</v>
      </c>
      <c r="L87" s="34">
        <f t="shared" si="20"/>
        <v>165500</v>
      </c>
      <c r="M87" s="34">
        <f t="shared" si="20"/>
        <v>2657077.7399999998</v>
      </c>
      <c r="N87" s="34">
        <f t="shared" si="20"/>
        <v>-406430.21</v>
      </c>
      <c r="O87" s="34">
        <f t="shared" si="20"/>
        <v>203450.1</v>
      </c>
      <c r="P87" s="34">
        <f t="shared" si="20"/>
        <v>6132.3199999999961</v>
      </c>
      <c r="R87" s="34">
        <f t="shared" si="20"/>
        <v>2096411.1</v>
      </c>
      <c r="S87" s="34">
        <f>SUM(S83:S86)</f>
        <v>2502841.3099999996</v>
      </c>
      <c r="T87" s="34">
        <f t="shared" si="20"/>
        <v>-406430.20999999967</v>
      </c>
    </row>
    <row r="88" spans="1:27" x14ac:dyDescent="0.2">
      <c r="C88" s="30"/>
      <c r="D88" s="4"/>
      <c r="E88" s="4"/>
      <c r="F88" s="4"/>
      <c r="G88" s="4"/>
      <c r="H88" s="4"/>
      <c r="I88" s="4"/>
      <c r="J88" s="4"/>
      <c r="K88" s="147">
        <f>K87/H87</f>
        <v>1.153633825484387</v>
      </c>
      <c r="L88" s="4"/>
      <c r="M88" s="4"/>
      <c r="N88" s="4"/>
      <c r="S88" s="149">
        <f>S87/R87</f>
        <v>1.1938695182447754</v>
      </c>
      <c r="T88" s="5"/>
      <c r="U88" s="5"/>
    </row>
    <row r="89" spans="1:27" x14ac:dyDescent="0.2">
      <c r="B89" s="28" t="s">
        <v>34</v>
      </c>
      <c r="C89" s="29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X89" s="54" t="s">
        <v>40</v>
      </c>
      <c r="Y89" s="51"/>
      <c r="Z89" s="119"/>
      <c r="AA89" s="53" t="s">
        <v>25</v>
      </c>
    </row>
    <row r="90" spans="1:27" x14ac:dyDescent="0.2">
      <c r="B90" s="35" t="s">
        <v>16</v>
      </c>
      <c r="C90" s="36"/>
      <c r="D90" s="3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7" x14ac:dyDescent="0.2">
      <c r="B91" t="s">
        <v>20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3" spans="1:27" x14ac:dyDescent="0.2">
      <c r="G93" s="114">
        <f>G72/C72</f>
        <v>2.8571428571428571E-2</v>
      </c>
      <c r="K93">
        <f>K72/F72</f>
        <v>1.232</v>
      </c>
    </row>
    <row r="94" spans="1:27" x14ac:dyDescent="0.2">
      <c r="G94" s="114"/>
      <c r="K94">
        <f>K73/F73</f>
        <v>1.2358058206114773</v>
      </c>
    </row>
    <row r="95" spans="1:27" x14ac:dyDescent="0.2">
      <c r="G95" s="114">
        <f>G74/C74</f>
        <v>0.23894892473118279</v>
      </c>
      <c r="K95">
        <f>K74/F74</f>
        <v>1.2327956989247313</v>
      </c>
    </row>
    <row r="96" spans="1:27" x14ac:dyDescent="0.2">
      <c r="G96" s="114">
        <f>G75/C75</f>
        <v>4.7769936146718518E-2</v>
      </c>
      <c r="K96">
        <f>K75/F75</f>
        <v>1.3545759056345259</v>
      </c>
    </row>
    <row r="97" spans="7:11" x14ac:dyDescent="0.2">
      <c r="G97" s="114"/>
    </row>
    <row r="98" spans="7:11" x14ac:dyDescent="0.2">
      <c r="G98" s="114"/>
      <c r="K98">
        <f>K77/F77</f>
        <v>1.2656725260131925</v>
      </c>
    </row>
    <row r="99" spans="7:11" x14ac:dyDescent="0.2">
      <c r="G99" s="114"/>
    </row>
    <row r="100" spans="7:11" x14ac:dyDescent="0.2">
      <c r="G100" s="114"/>
      <c r="K100">
        <f t="shared" ref="K100:K103" si="21">K80/F80</f>
        <v>1.2600535435917131</v>
      </c>
    </row>
    <row r="101" spans="7:11" x14ac:dyDescent="0.2">
      <c r="G101" s="114">
        <f t="shared" ref="G101:G103" si="22">G82/C82</f>
        <v>0.82376157465971767</v>
      </c>
      <c r="K101">
        <f t="shared" si="21"/>
        <v>1.2614724594562287E-2</v>
      </c>
    </row>
    <row r="102" spans="7:11" x14ac:dyDescent="0.2">
      <c r="G102" s="114">
        <f t="shared" si="22"/>
        <v>9.4348968471621275E-2</v>
      </c>
      <c r="K102">
        <f t="shared" si="21"/>
        <v>1.1387729285262491</v>
      </c>
    </row>
    <row r="103" spans="7:11" x14ac:dyDescent="0.2">
      <c r="G103" s="114">
        <f t="shared" si="22"/>
        <v>0</v>
      </c>
      <c r="K103">
        <f t="shared" si="21"/>
        <v>1.24070329628354</v>
      </c>
    </row>
  </sheetData>
  <mergeCells count="38">
    <mergeCell ref="C6:D6"/>
    <mergeCell ref="E6:I6"/>
    <mergeCell ref="J6:K6"/>
    <mergeCell ref="L6:M6"/>
    <mergeCell ref="N6:O6"/>
    <mergeCell ref="R6:S6"/>
    <mergeCell ref="T6:V6"/>
    <mergeCell ref="X10:Z10"/>
    <mergeCell ref="K37:L37"/>
    <mergeCell ref="M37:N37"/>
    <mergeCell ref="O37:P37"/>
    <mergeCell ref="Q37:R37"/>
    <mergeCell ref="S37:T37"/>
    <mergeCell ref="P6:Q6"/>
    <mergeCell ref="H40:H42"/>
    <mergeCell ref="I40:I42"/>
    <mergeCell ref="J40:J42"/>
    <mergeCell ref="K40:L42"/>
    <mergeCell ref="M40:N42"/>
    <mergeCell ref="K39:L39"/>
    <mergeCell ref="M39:N39"/>
    <mergeCell ref="O39:P39"/>
    <mergeCell ref="Q39:R39"/>
    <mergeCell ref="S39:T39"/>
    <mergeCell ref="O40:P42"/>
    <mergeCell ref="Q40:R42"/>
    <mergeCell ref="S40:T42"/>
    <mergeCell ref="U40:U42"/>
    <mergeCell ref="K43:L43"/>
    <mergeCell ref="M43:N43"/>
    <mergeCell ref="O43:P43"/>
    <mergeCell ref="Q43:R43"/>
    <mergeCell ref="S43:T43"/>
    <mergeCell ref="R66:T66"/>
    <mergeCell ref="C67:H67"/>
    <mergeCell ref="I67:M67"/>
    <mergeCell ref="R67:T67"/>
    <mergeCell ref="J69:K69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6</vt:i4>
      </vt:variant>
    </vt:vector>
  </HeadingPairs>
  <TitlesOfParts>
    <vt:vector size="15" baseType="lpstr">
      <vt:lpstr>Ausgangslage - Triage</vt:lpstr>
      <vt:lpstr>Budget EK-MK-AP (2-2020)</vt:lpstr>
      <vt:lpstr>Budget EK-MK-AP (3-2020)</vt:lpstr>
      <vt:lpstr>Budget EK-MK-AP (1-2021)</vt:lpstr>
      <vt:lpstr>Budget EK-MK-AP (2-2021)</vt:lpstr>
      <vt:lpstr>Budget EK-MK-AP (3-2021)</vt:lpstr>
      <vt:lpstr>Ausgangslage - Triage ergänzt</vt:lpstr>
      <vt:lpstr>Budget EK-MK-AP (1-2022)</vt:lpstr>
      <vt:lpstr>Budget EK-MK-AP (2-2022)</vt:lpstr>
      <vt:lpstr>'Budget EK-MK-AP (1-2021)'!Druckbereich</vt:lpstr>
      <vt:lpstr>'Budget EK-MK-AP (1-2022)'!Druckbereich</vt:lpstr>
      <vt:lpstr>'Budget EK-MK-AP (2-2021)'!Druckbereich</vt:lpstr>
      <vt:lpstr>'Budget EK-MK-AP (2-2022)'!Druckbereich</vt:lpstr>
      <vt:lpstr>'Budget EK-MK-AP (3-2020)'!Druckbereich</vt:lpstr>
      <vt:lpstr>'Budget EK-MK-AP (3-2021)'!Druckbereich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2021-09-17T13:17:45Z</cp:lastPrinted>
  <dcterms:created xsi:type="dcterms:W3CDTF">2017-05-17T09:35:26Z</dcterms:created>
  <dcterms:modified xsi:type="dcterms:W3CDTF">2022-09-21T14:44:58Z</dcterms:modified>
</cp:coreProperties>
</file>