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 EK\Phase EK\"/>
    </mc:Choice>
  </mc:AlternateContent>
  <bookViews>
    <workbookView xWindow="0" yWindow="0" windowWidth="28800" windowHeight="14295" activeTab="6"/>
  </bookViews>
  <sheets>
    <sheet name="per 31.12.2019" sheetId="1" r:id="rId1"/>
    <sheet name="per 31.03.2020" sheetId="2" r:id="rId2"/>
    <sheet name="per 20.05.2020" sheetId="3" r:id="rId3"/>
    <sheet name="per 31.05.2020" sheetId="4" r:id="rId4"/>
    <sheet name="per 30.06.2020" sheetId="6" r:id="rId5"/>
    <sheet name="per 30.09.2020" sheetId="7" r:id="rId6"/>
    <sheet name="per 31.10.2020" sheetId="8" r:id="rId7"/>
  </sheets>
  <definedNames>
    <definedName name="_xlnm.Print_Area" localSheetId="2">'per 20.05.2020'!$A$1:$L$41</definedName>
    <definedName name="_xlnm.Print_Area" localSheetId="4">'per 30.06.2020'!$A$1:$L$41</definedName>
    <definedName name="_xlnm.Print_Area" localSheetId="5">'per 30.09.2020'!$A$1:$M$43</definedName>
    <definedName name="_xlnm.Print_Area" localSheetId="1">'per 31.03.2020'!$A$1:$I$38</definedName>
    <definedName name="_xlnm.Print_Area" localSheetId="3">'per 31.05.2020'!$A$1:$L$41</definedName>
    <definedName name="_xlnm.Print_Area" localSheetId="6">'per 31.10.2020'!$A$1:$M$44</definedName>
    <definedName name="_xlnm.Print_Area" localSheetId="0">'per 31.12.2019'!$A$1:$I$37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8" l="1"/>
  <c r="I42" i="8"/>
  <c r="I40" i="8" l="1"/>
  <c r="M42" i="8"/>
  <c r="D42" i="8"/>
  <c r="D41" i="8"/>
  <c r="K39" i="8"/>
  <c r="D39" i="8"/>
  <c r="H39" i="8" s="1"/>
  <c r="I39" i="8" s="1"/>
  <c r="M39" i="8" s="1"/>
  <c r="H40" i="8"/>
  <c r="D38" i="8"/>
  <c r="D36" i="8"/>
  <c r="D34" i="8"/>
  <c r="D33" i="8"/>
  <c r="D35" i="8" s="1"/>
  <c r="D32" i="8"/>
  <c r="D24" i="8"/>
  <c r="I24" i="8" s="1"/>
  <c r="D19" i="8"/>
  <c r="D16" i="8"/>
  <c r="I16" i="8" s="1"/>
  <c r="D14" i="8"/>
  <c r="H14" i="8" s="1"/>
  <c r="D13" i="8"/>
  <c r="I13" i="8"/>
  <c r="D12" i="8"/>
  <c r="F28" i="8"/>
  <c r="F25" i="8"/>
  <c r="F24" i="8"/>
  <c r="F23" i="8"/>
  <c r="K23" i="8" s="1"/>
  <c r="F22" i="8"/>
  <c r="K22" i="8" s="1"/>
  <c r="F16" i="8"/>
  <c r="K16" i="8" s="1"/>
  <c r="F14" i="8"/>
  <c r="K14" i="8" s="1"/>
  <c r="F13" i="8"/>
  <c r="K13" i="8" s="1"/>
  <c r="F12" i="8"/>
  <c r="K12" i="8" s="1"/>
  <c r="G25" i="8"/>
  <c r="L25" i="8" s="1"/>
  <c r="G24" i="8"/>
  <c r="G23" i="8"/>
  <c r="G22" i="8"/>
  <c r="L22" i="8" s="1"/>
  <c r="J41" i="8"/>
  <c r="F41" i="8"/>
  <c r="E41" i="8"/>
  <c r="K40" i="8"/>
  <c r="K38" i="8"/>
  <c r="K37" i="8"/>
  <c r="I37" i="8"/>
  <c r="M37" i="8" s="1"/>
  <c r="H37" i="8"/>
  <c r="K36" i="8"/>
  <c r="H36" i="8"/>
  <c r="I36" i="8" s="1"/>
  <c r="J35" i="8"/>
  <c r="F35" i="8"/>
  <c r="E35" i="8"/>
  <c r="K34" i="8"/>
  <c r="H34" i="8"/>
  <c r="I34" i="8" s="1"/>
  <c r="M34" i="8" s="1"/>
  <c r="K33" i="8"/>
  <c r="H33" i="8"/>
  <c r="I33" i="8" s="1"/>
  <c r="M33" i="8" s="1"/>
  <c r="K32" i="8"/>
  <c r="L29" i="8"/>
  <c r="K29" i="8"/>
  <c r="J29" i="8"/>
  <c r="I29" i="8"/>
  <c r="H29" i="8"/>
  <c r="D29" i="8"/>
  <c r="L28" i="8"/>
  <c r="J28" i="8"/>
  <c r="I28" i="8"/>
  <c r="D28" i="8"/>
  <c r="L27" i="8"/>
  <c r="K27" i="8"/>
  <c r="J27" i="8"/>
  <c r="D27" i="8"/>
  <c r="I27" i="8" s="1"/>
  <c r="M27" i="8" s="1"/>
  <c r="L26" i="8"/>
  <c r="K26" i="8"/>
  <c r="J26" i="8"/>
  <c r="D26" i="8"/>
  <c r="I26" i="8" s="1"/>
  <c r="U25" i="8"/>
  <c r="T25" i="8"/>
  <c r="J25" i="8"/>
  <c r="I25" i="8"/>
  <c r="K25" i="8"/>
  <c r="D25" i="8"/>
  <c r="K24" i="8"/>
  <c r="J24" i="8"/>
  <c r="L24" i="8"/>
  <c r="E24" i="8"/>
  <c r="L23" i="8"/>
  <c r="J23" i="8"/>
  <c r="E23" i="8"/>
  <c r="E30" i="8" s="1"/>
  <c r="D23" i="8"/>
  <c r="I23" i="8" s="1"/>
  <c r="J22" i="8"/>
  <c r="D22" i="8"/>
  <c r="L21" i="8"/>
  <c r="K21" i="8"/>
  <c r="J21" i="8"/>
  <c r="J30" i="8" s="1"/>
  <c r="I21" i="8"/>
  <c r="M21" i="8" s="1"/>
  <c r="H21" i="8"/>
  <c r="F20" i="8"/>
  <c r="K19" i="8"/>
  <c r="J19" i="8"/>
  <c r="I19" i="8"/>
  <c r="E19" i="8"/>
  <c r="H19" i="8" s="1"/>
  <c r="K18" i="8"/>
  <c r="J18" i="8"/>
  <c r="I18" i="8"/>
  <c r="E18" i="8"/>
  <c r="D18" i="8"/>
  <c r="H18" i="8" s="1"/>
  <c r="K17" i="8"/>
  <c r="J17" i="8"/>
  <c r="I17" i="8"/>
  <c r="M17" i="8" s="1"/>
  <c r="H17" i="8"/>
  <c r="E16" i="8"/>
  <c r="J16" i="8" s="1"/>
  <c r="K15" i="8"/>
  <c r="E15" i="8"/>
  <c r="J15" i="8" s="1"/>
  <c r="D15" i="8"/>
  <c r="I15" i="8" s="1"/>
  <c r="M15" i="8" s="1"/>
  <c r="E14" i="8"/>
  <c r="J14" i="8" s="1"/>
  <c r="E13" i="8"/>
  <c r="J13" i="8" s="1"/>
  <c r="E12" i="8"/>
  <c r="J12" i="8" s="1"/>
  <c r="M40" i="8" l="1"/>
  <c r="M29" i="8"/>
  <c r="M19" i="8"/>
  <c r="M26" i="8"/>
  <c r="K41" i="8"/>
  <c r="M18" i="8"/>
  <c r="K35" i="8"/>
  <c r="D30" i="8"/>
  <c r="H24" i="8"/>
  <c r="F30" i="8"/>
  <c r="F42" i="8" s="1"/>
  <c r="M13" i="8"/>
  <c r="K20" i="8"/>
  <c r="H12" i="8"/>
  <c r="M24" i="8"/>
  <c r="M23" i="8"/>
  <c r="L30" i="8"/>
  <c r="L42" i="8" s="1"/>
  <c r="M25" i="8"/>
  <c r="M16" i="8"/>
  <c r="M36" i="8"/>
  <c r="J20" i="8"/>
  <c r="H25" i="8"/>
  <c r="H27" i="8"/>
  <c r="G30" i="8"/>
  <c r="G42" i="8" s="1"/>
  <c r="H38" i="8"/>
  <c r="I38" i="8" s="1"/>
  <c r="M38" i="8" s="1"/>
  <c r="H26" i="8"/>
  <c r="H16" i="8"/>
  <c r="D20" i="8"/>
  <c r="H15" i="8"/>
  <c r="E20" i="8"/>
  <c r="E42" i="8" s="1"/>
  <c r="H22" i="8"/>
  <c r="K28" i="8"/>
  <c r="M28" i="8" s="1"/>
  <c r="H28" i="8"/>
  <c r="H32" i="8"/>
  <c r="H13" i="8"/>
  <c r="H20" i="8" s="1"/>
  <c r="I22" i="8"/>
  <c r="H41" i="8"/>
  <c r="I12" i="8"/>
  <c r="I14" i="8"/>
  <c r="M14" i="8" s="1"/>
  <c r="H23" i="8"/>
  <c r="K22" i="7"/>
  <c r="D35" i="7"/>
  <c r="D41" i="7" s="1"/>
  <c r="D20" i="7"/>
  <c r="D30" i="7"/>
  <c r="L41" i="7"/>
  <c r="K41" i="7"/>
  <c r="J41" i="7"/>
  <c r="I41" i="7"/>
  <c r="M41" i="7"/>
  <c r="M13" i="7"/>
  <c r="M12" i="7"/>
  <c r="J45" i="8" l="1"/>
  <c r="M41" i="8"/>
  <c r="I41" i="8"/>
  <c r="H30" i="8"/>
  <c r="I20" i="8"/>
  <c r="M12" i="8"/>
  <c r="M20" i="8" s="1"/>
  <c r="H35" i="8"/>
  <c r="I32" i="8"/>
  <c r="I30" i="8"/>
  <c r="M22" i="8"/>
  <c r="M30" i="8" s="1"/>
  <c r="K30" i="8"/>
  <c r="K42" i="8" s="1"/>
  <c r="K45" i="8" s="1"/>
  <c r="G25" i="7"/>
  <c r="G24" i="7"/>
  <c r="G23" i="7"/>
  <c r="G22" i="7"/>
  <c r="F24" i="7"/>
  <c r="F28" i="7"/>
  <c r="F25" i="7"/>
  <c r="F23" i="7"/>
  <c r="F22" i="7"/>
  <c r="D25" i="7"/>
  <c r="D24" i="7"/>
  <c r="D23" i="7"/>
  <c r="D22" i="7"/>
  <c r="H42" i="8" l="1"/>
  <c r="M32" i="8"/>
  <c r="M35" i="8" s="1"/>
  <c r="I35" i="8"/>
  <c r="I45" i="8" s="1"/>
  <c r="H23" i="7"/>
  <c r="H22" i="7"/>
  <c r="H29" i="7"/>
  <c r="H28" i="7"/>
  <c r="H27" i="7"/>
  <c r="H26" i="7"/>
  <c r="H25" i="7"/>
  <c r="H24" i="7"/>
  <c r="H21" i="7"/>
  <c r="M39" i="7"/>
  <c r="M38" i="7"/>
  <c r="M37" i="7"/>
  <c r="M36" i="7"/>
  <c r="M34" i="7"/>
  <c r="M33" i="7"/>
  <c r="M32" i="7"/>
  <c r="M29" i="7"/>
  <c r="M28" i="7"/>
  <c r="M27" i="7"/>
  <c r="M26" i="7"/>
  <c r="M21" i="7"/>
  <c r="M19" i="7"/>
  <c r="M18" i="7"/>
  <c r="M17" i="7"/>
  <c r="M16" i="7"/>
  <c r="M15" i="7"/>
  <c r="M14" i="7"/>
  <c r="L21" i="7"/>
  <c r="L29" i="7"/>
  <c r="L28" i="7"/>
  <c r="L27" i="7"/>
  <c r="L26" i="7"/>
  <c r="L25" i="7"/>
  <c r="L24" i="7"/>
  <c r="L23" i="7"/>
  <c r="L22" i="7"/>
  <c r="M22" i="7"/>
  <c r="G30" i="7"/>
  <c r="G41" i="7" s="1"/>
  <c r="K23" i="7"/>
  <c r="K25" i="7"/>
  <c r="J44" i="7"/>
  <c r="H42" i="4"/>
  <c r="G42" i="4"/>
  <c r="D34" i="7"/>
  <c r="D32" i="7"/>
  <c r="H32" i="7" s="1"/>
  <c r="I32" i="7" s="1"/>
  <c r="D39" i="7"/>
  <c r="H39" i="7" s="1"/>
  <c r="I39" i="7" s="1"/>
  <c r="D38" i="7"/>
  <c r="H38" i="7" s="1"/>
  <c r="I38" i="7" s="1"/>
  <c r="D36" i="7"/>
  <c r="F14" i="7"/>
  <c r="F13" i="7"/>
  <c r="K13" i="7" s="1"/>
  <c r="F12" i="7"/>
  <c r="D19" i="7"/>
  <c r="H19" i="7" s="1"/>
  <c r="D16" i="7"/>
  <c r="D14" i="7"/>
  <c r="D13" i="7"/>
  <c r="D12" i="7"/>
  <c r="I12" i="7" s="1"/>
  <c r="H12" i="7"/>
  <c r="I23" i="7"/>
  <c r="J23" i="7"/>
  <c r="K14" i="7"/>
  <c r="K12" i="7"/>
  <c r="K39" i="7"/>
  <c r="K38" i="7"/>
  <c r="K37" i="7"/>
  <c r="K40" i="7" s="1"/>
  <c r="K36" i="7"/>
  <c r="K34" i="7"/>
  <c r="K33" i="7"/>
  <c r="K35" i="7" s="1"/>
  <c r="K32" i="7"/>
  <c r="K29" i="7"/>
  <c r="K28" i="7"/>
  <c r="K27" i="7"/>
  <c r="K26" i="7"/>
  <c r="K24" i="7"/>
  <c r="K21" i="7"/>
  <c r="K19" i="7"/>
  <c r="K18" i="7"/>
  <c r="K17" i="7"/>
  <c r="K16" i="7"/>
  <c r="K15" i="7"/>
  <c r="J12" i="7"/>
  <c r="I16" i="7"/>
  <c r="I14" i="7"/>
  <c r="D33" i="7"/>
  <c r="H33" i="7" s="1"/>
  <c r="I33" i="7" s="1"/>
  <c r="I24" i="7"/>
  <c r="F40" i="7"/>
  <c r="F35" i="7"/>
  <c r="D29" i="7"/>
  <c r="I29" i="7" s="1"/>
  <c r="D28" i="7"/>
  <c r="D27" i="7"/>
  <c r="I27" i="7" s="1"/>
  <c r="D26" i="7"/>
  <c r="I26" i="7" s="1"/>
  <c r="I22" i="7"/>
  <c r="D18" i="7"/>
  <c r="H18" i="7" s="1"/>
  <c r="J40" i="7"/>
  <c r="E40" i="7"/>
  <c r="H37" i="7"/>
  <c r="I37" i="7" s="1"/>
  <c r="J35" i="7"/>
  <c r="E35" i="7"/>
  <c r="H34" i="7"/>
  <c r="I34" i="7" s="1"/>
  <c r="J29" i="7"/>
  <c r="J28" i="7"/>
  <c r="I28" i="7"/>
  <c r="J27" i="7"/>
  <c r="J26" i="7"/>
  <c r="U25" i="7"/>
  <c r="T25" i="7"/>
  <c r="J25" i="7"/>
  <c r="I25" i="7"/>
  <c r="E24" i="7"/>
  <c r="J24" i="7" s="1"/>
  <c r="E23" i="7"/>
  <c r="J22" i="7"/>
  <c r="J21" i="7"/>
  <c r="I21" i="7"/>
  <c r="E19" i="7"/>
  <c r="J19" i="7" s="1"/>
  <c r="E18" i="7"/>
  <c r="J18" i="7" s="1"/>
  <c r="J17" i="7"/>
  <c r="I17" i="7"/>
  <c r="H17" i="7"/>
  <c r="E16" i="7"/>
  <c r="J16" i="7" s="1"/>
  <c r="E15" i="7"/>
  <c r="J15" i="7" s="1"/>
  <c r="D15" i="7"/>
  <c r="H15" i="7" s="1"/>
  <c r="E14" i="7"/>
  <c r="J14" i="7" s="1"/>
  <c r="E13" i="7"/>
  <c r="J13" i="7" s="1"/>
  <c r="E12" i="7"/>
  <c r="M45" i="8" l="1"/>
  <c r="L30" i="7"/>
  <c r="M25" i="7"/>
  <c r="M24" i="7"/>
  <c r="M23" i="7"/>
  <c r="H30" i="7"/>
  <c r="K30" i="7"/>
  <c r="K20" i="7"/>
  <c r="I19" i="7"/>
  <c r="E30" i="7"/>
  <c r="E41" i="7" s="1"/>
  <c r="E20" i="7"/>
  <c r="H16" i="7"/>
  <c r="J20" i="7"/>
  <c r="F30" i="7"/>
  <c r="J30" i="7"/>
  <c r="H13" i="7"/>
  <c r="F20" i="7"/>
  <c r="I13" i="7"/>
  <c r="D40" i="7"/>
  <c r="M35" i="7"/>
  <c r="I35" i="7"/>
  <c r="H36" i="7"/>
  <c r="I15" i="7"/>
  <c r="I18" i="7"/>
  <c r="H14" i="7"/>
  <c r="I30" i="7"/>
  <c r="H35" i="7"/>
  <c r="D37" i="6"/>
  <c r="D35" i="6"/>
  <c r="D32" i="6"/>
  <c r="D31" i="6"/>
  <c r="D15" i="6"/>
  <c r="D13" i="6"/>
  <c r="D12" i="6"/>
  <c r="D11" i="6"/>
  <c r="F41" i="7" l="1"/>
  <c r="M20" i="7"/>
  <c r="I20" i="7"/>
  <c r="M30" i="7"/>
  <c r="H20" i="7"/>
  <c r="I36" i="7"/>
  <c r="H40" i="7"/>
  <c r="H39" i="6"/>
  <c r="E39" i="6"/>
  <c r="D38" i="6"/>
  <c r="F38" i="6" s="1"/>
  <c r="G38" i="6" s="1"/>
  <c r="I38" i="6" s="1"/>
  <c r="F37" i="6"/>
  <c r="G37" i="6" s="1"/>
  <c r="I37" i="6" s="1"/>
  <c r="F36" i="6"/>
  <c r="G36" i="6" s="1"/>
  <c r="I36" i="6" s="1"/>
  <c r="F35" i="6"/>
  <c r="H34" i="6"/>
  <c r="E34" i="6"/>
  <c r="F33" i="6"/>
  <c r="G33" i="6" s="1"/>
  <c r="I33" i="6" s="1"/>
  <c r="F32" i="6"/>
  <c r="G32" i="6" s="1"/>
  <c r="I32" i="6" s="1"/>
  <c r="F31" i="6"/>
  <c r="H28" i="6"/>
  <c r="G28" i="6"/>
  <c r="I28" i="6" s="1"/>
  <c r="D28" i="6"/>
  <c r="F28" i="6" s="1"/>
  <c r="H27" i="6"/>
  <c r="D27" i="6"/>
  <c r="G27" i="6" s="1"/>
  <c r="I27" i="6" s="1"/>
  <c r="I26" i="6"/>
  <c r="H26" i="6"/>
  <c r="G26" i="6"/>
  <c r="F26" i="6"/>
  <c r="H25" i="6"/>
  <c r="D25" i="6"/>
  <c r="G25" i="6" s="1"/>
  <c r="I25" i="6" s="1"/>
  <c r="Q24" i="6"/>
  <c r="P24" i="6"/>
  <c r="H24" i="6"/>
  <c r="D24" i="6"/>
  <c r="F24" i="6" s="1"/>
  <c r="H23" i="6"/>
  <c r="F23" i="6"/>
  <c r="E23" i="6"/>
  <c r="D23" i="6"/>
  <c r="G23" i="6" s="1"/>
  <c r="I23" i="6" s="1"/>
  <c r="H22" i="6"/>
  <c r="G22" i="6"/>
  <c r="I22" i="6" s="1"/>
  <c r="E22" i="6"/>
  <c r="E29" i="6" s="1"/>
  <c r="D22" i="6"/>
  <c r="F22" i="6" s="1"/>
  <c r="H21" i="6"/>
  <c r="D21" i="6"/>
  <c r="G21" i="6" s="1"/>
  <c r="I21" i="6" s="1"/>
  <c r="H20" i="6"/>
  <c r="H29" i="6" s="1"/>
  <c r="G20" i="6"/>
  <c r="I20" i="6" s="1"/>
  <c r="F20" i="6"/>
  <c r="E18" i="6"/>
  <c r="H18" i="6" s="1"/>
  <c r="D18" i="6"/>
  <c r="F18" i="6" s="1"/>
  <c r="E17" i="6"/>
  <c r="H17" i="6" s="1"/>
  <c r="D17" i="6"/>
  <c r="G17" i="6" s="1"/>
  <c r="I17" i="6" s="1"/>
  <c r="H16" i="6"/>
  <c r="I16" i="6" s="1"/>
  <c r="G16" i="6"/>
  <c r="F16" i="6"/>
  <c r="E15" i="6"/>
  <c r="H15" i="6" s="1"/>
  <c r="F15" i="6"/>
  <c r="E14" i="6"/>
  <c r="H14" i="6" s="1"/>
  <c r="D14" i="6"/>
  <c r="G14" i="6" s="1"/>
  <c r="I14" i="6" s="1"/>
  <c r="H13" i="6"/>
  <c r="G13" i="6"/>
  <c r="E13" i="6"/>
  <c r="F13" i="6" s="1"/>
  <c r="H12" i="6"/>
  <c r="G12" i="6"/>
  <c r="I12" i="6" s="1"/>
  <c r="F12" i="6"/>
  <c r="E12" i="6"/>
  <c r="E11" i="6"/>
  <c r="E19" i="6" s="1"/>
  <c r="E40" i="6" s="1"/>
  <c r="D19" i="6"/>
  <c r="D38" i="4"/>
  <c r="D37" i="4"/>
  <c r="D35" i="4"/>
  <c r="D32" i="4"/>
  <c r="D31" i="4"/>
  <c r="D28" i="4"/>
  <c r="D25" i="4"/>
  <c r="D24" i="4"/>
  <c r="D23" i="4"/>
  <c r="D22" i="4"/>
  <c r="D21" i="4"/>
  <c r="D17" i="4"/>
  <c r="D18" i="4"/>
  <c r="D15" i="4"/>
  <c r="D13" i="4"/>
  <c r="D12" i="4"/>
  <c r="D11" i="4"/>
  <c r="D14" i="4"/>
  <c r="K44" i="7" l="1"/>
  <c r="H41" i="7"/>
  <c r="I40" i="7"/>
  <c r="I44" i="7" s="1"/>
  <c r="M40" i="7"/>
  <c r="I13" i="6"/>
  <c r="G35" i="6"/>
  <c r="F39" i="6"/>
  <c r="F34" i="6"/>
  <c r="G31" i="6"/>
  <c r="F21" i="6"/>
  <c r="F25" i="6"/>
  <c r="F27" i="6"/>
  <c r="G11" i="6"/>
  <c r="G15" i="6"/>
  <c r="I15" i="6" s="1"/>
  <c r="G18" i="6"/>
  <c r="I18" i="6" s="1"/>
  <c r="G24" i="6"/>
  <c r="I24" i="6" s="1"/>
  <c r="I29" i="6" s="1"/>
  <c r="D29" i="6"/>
  <c r="H11" i="6"/>
  <c r="H19" i="6" s="1"/>
  <c r="H40" i="6" s="1"/>
  <c r="H42" i="6" s="1"/>
  <c r="F14" i="6"/>
  <c r="F17" i="6"/>
  <c r="D34" i="6"/>
  <c r="D39" i="6"/>
  <c r="F11" i="6"/>
  <c r="Q24" i="4"/>
  <c r="P24" i="4"/>
  <c r="E13" i="4"/>
  <c r="M44" i="7" l="1"/>
  <c r="D40" i="6"/>
  <c r="F29" i="6"/>
  <c r="G34" i="6"/>
  <c r="I31" i="6"/>
  <c r="I34" i="6" s="1"/>
  <c r="G29" i="6"/>
  <c r="F19" i="6"/>
  <c r="I11" i="6"/>
  <c r="I19" i="6" s="1"/>
  <c r="G19" i="6"/>
  <c r="G40" i="6" s="1"/>
  <c r="G42" i="6" s="1"/>
  <c r="I35" i="6"/>
  <c r="I39" i="6" s="1"/>
  <c r="G39" i="6"/>
  <c r="H39" i="4"/>
  <c r="E39" i="4"/>
  <c r="F38" i="4"/>
  <c r="G38" i="4" s="1"/>
  <c r="I38" i="4" s="1"/>
  <c r="F37" i="4"/>
  <c r="G37" i="4" s="1"/>
  <c r="I37" i="4" s="1"/>
  <c r="I36" i="4"/>
  <c r="G36" i="4"/>
  <c r="F36" i="4"/>
  <c r="F35" i="4"/>
  <c r="G35" i="4" s="1"/>
  <c r="H34" i="4"/>
  <c r="E34" i="4"/>
  <c r="D34" i="4"/>
  <c r="F33" i="4"/>
  <c r="G33" i="4" s="1"/>
  <c r="I33" i="4" s="1"/>
  <c r="F32" i="4"/>
  <c r="G32" i="4" s="1"/>
  <c r="I32" i="4" s="1"/>
  <c r="F31" i="4"/>
  <c r="H28" i="4"/>
  <c r="G28" i="4"/>
  <c r="I28" i="4" s="1"/>
  <c r="F28" i="4"/>
  <c r="H27" i="4"/>
  <c r="G27" i="4"/>
  <c r="I27" i="4" s="1"/>
  <c r="D27" i="4"/>
  <c r="F27" i="4" s="1"/>
  <c r="I26" i="4"/>
  <c r="H26" i="4"/>
  <c r="G26" i="4"/>
  <c r="F26" i="4"/>
  <c r="H25" i="4"/>
  <c r="G25" i="4"/>
  <c r="I25" i="4" s="1"/>
  <c r="H24" i="4"/>
  <c r="G24" i="4"/>
  <c r="I24" i="4" s="1"/>
  <c r="H23" i="4"/>
  <c r="G23" i="4"/>
  <c r="I23" i="4" s="1"/>
  <c r="F23" i="4"/>
  <c r="E23" i="4"/>
  <c r="E22" i="4"/>
  <c r="H22" i="4" s="1"/>
  <c r="D29" i="4"/>
  <c r="H21" i="4"/>
  <c r="G21" i="4"/>
  <c r="I21" i="4" s="1"/>
  <c r="F21" i="4"/>
  <c r="H20" i="4"/>
  <c r="G20" i="4"/>
  <c r="F20" i="4"/>
  <c r="G18" i="4"/>
  <c r="E18" i="4"/>
  <c r="H18" i="4" s="1"/>
  <c r="H17" i="4"/>
  <c r="G17" i="4"/>
  <c r="I17" i="4" s="1"/>
  <c r="E17" i="4"/>
  <c r="F17" i="4"/>
  <c r="I16" i="4"/>
  <c r="H16" i="4"/>
  <c r="G16" i="4"/>
  <c r="F16" i="4"/>
  <c r="G15" i="4"/>
  <c r="E15" i="4"/>
  <c r="H15" i="4" s="1"/>
  <c r="I15" i="4" s="1"/>
  <c r="H14" i="4"/>
  <c r="G14" i="4"/>
  <c r="I14" i="4" s="1"/>
  <c r="E14" i="4"/>
  <c r="F14" i="4"/>
  <c r="G13" i="4"/>
  <c r="H13" i="4"/>
  <c r="I13" i="4" s="1"/>
  <c r="E12" i="4"/>
  <c r="H12" i="4" s="1"/>
  <c r="G12" i="4"/>
  <c r="G11" i="4"/>
  <c r="E11" i="4"/>
  <c r="H11" i="4" s="1"/>
  <c r="I40" i="6" l="1"/>
  <c r="F40" i="6"/>
  <c r="I18" i="4"/>
  <c r="G19" i="4"/>
  <c r="I12" i="4"/>
  <c r="G29" i="4"/>
  <c r="H29" i="4"/>
  <c r="F34" i="4"/>
  <c r="G31" i="4"/>
  <c r="I11" i="4"/>
  <c r="H19" i="4"/>
  <c r="H40" i="4" s="1"/>
  <c r="I35" i="4"/>
  <c r="I39" i="4" s="1"/>
  <c r="G39" i="4"/>
  <c r="F13" i="4"/>
  <c r="E19" i="4"/>
  <c r="I20" i="4"/>
  <c r="I29" i="4" s="1"/>
  <c r="F22" i="4"/>
  <c r="F25" i="4"/>
  <c r="D39" i="4"/>
  <c r="F12" i="4"/>
  <c r="G22" i="4"/>
  <c r="I22" i="4" s="1"/>
  <c r="D19" i="4"/>
  <c r="F39" i="4"/>
  <c r="F11" i="4"/>
  <c r="F18" i="4"/>
  <c r="F24" i="4"/>
  <c r="E29" i="4"/>
  <c r="F15" i="4"/>
  <c r="H40" i="3"/>
  <c r="E13" i="3"/>
  <c r="E12" i="3"/>
  <c r="E11" i="3"/>
  <c r="H39" i="3"/>
  <c r="E39" i="3"/>
  <c r="F38" i="3"/>
  <c r="G38" i="3" s="1"/>
  <c r="I38" i="3" s="1"/>
  <c r="D38" i="3"/>
  <c r="D37" i="3"/>
  <c r="F37" i="3" s="1"/>
  <c r="G37" i="3" s="1"/>
  <c r="I37" i="3" s="1"/>
  <c r="F36" i="3"/>
  <c r="G36" i="3" s="1"/>
  <c r="I36" i="3" s="1"/>
  <c r="F35" i="3"/>
  <c r="G35" i="3" s="1"/>
  <c r="D35" i="3"/>
  <c r="H34" i="3"/>
  <c r="E34" i="3"/>
  <c r="D34" i="3"/>
  <c r="F33" i="3"/>
  <c r="G33" i="3" s="1"/>
  <c r="I33" i="3" s="1"/>
  <c r="F32" i="3"/>
  <c r="G32" i="3" s="1"/>
  <c r="I32" i="3" s="1"/>
  <c r="D32" i="3"/>
  <c r="D31" i="3"/>
  <c r="F31" i="3" s="1"/>
  <c r="E29" i="3"/>
  <c r="H28" i="3"/>
  <c r="D28" i="3"/>
  <c r="G28" i="3" s="1"/>
  <c r="I28" i="3" s="1"/>
  <c r="H27" i="3"/>
  <c r="G27" i="3"/>
  <c r="I27" i="3" s="1"/>
  <c r="D27" i="3"/>
  <c r="F27" i="3" s="1"/>
  <c r="H26" i="3"/>
  <c r="G26" i="3"/>
  <c r="I26" i="3" s="1"/>
  <c r="F26" i="3"/>
  <c r="H25" i="3"/>
  <c r="F25" i="3"/>
  <c r="D25" i="3"/>
  <c r="G25" i="3" s="1"/>
  <c r="I25" i="3" s="1"/>
  <c r="H24" i="3"/>
  <c r="D24" i="3"/>
  <c r="G24" i="3" s="1"/>
  <c r="I24" i="3" s="1"/>
  <c r="E23" i="3"/>
  <c r="H23" i="3" s="1"/>
  <c r="D23" i="3"/>
  <c r="G23" i="3" s="1"/>
  <c r="I23" i="3" s="1"/>
  <c r="H22" i="3"/>
  <c r="F22" i="3"/>
  <c r="E22" i="3"/>
  <c r="D22" i="3"/>
  <c r="G22" i="3" s="1"/>
  <c r="I22" i="3" s="1"/>
  <c r="H21" i="3"/>
  <c r="G21" i="3"/>
  <c r="F21" i="3"/>
  <c r="D21" i="3"/>
  <c r="I20" i="3"/>
  <c r="H20" i="3"/>
  <c r="G20" i="3"/>
  <c r="F20" i="3"/>
  <c r="G18" i="3"/>
  <c r="E18" i="3"/>
  <c r="H18" i="3" s="1"/>
  <c r="D18" i="3"/>
  <c r="E17" i="3"/>
  <c r="H17" i="3" s="1"/>
  <c r="D17" i="3"/>
  <c r="G17" i="3" s="1"/>
  <c r="I17" i="3" s="1"/>
  <c r="I16" i="3"/>
  <c r="H16" i="3"/>
  <c r="G16" i="3"/>
  <c r="F16" i="3"/>
  <c r="G15" i="3"/>
  <c r="E15" i="3"/>
  <c r="H15" i="3" s="1"/>
  <c r="D15" i="3"/>
  <c r="E14" i="3"/>
  <c r="H14" i="3" s="1"/>
  <c r="D14" i="3"/>
  <c r="F14" i="3" s="1"/>
  <c r="H13" i="3"/>
  <c r="D13" i="3"/>
  <c r="G13" i="3" s="1"/>
  <c r="H12" i="3"/>
  <c r="G12" i="3"/>
  <c r="I12" i="3" s="1"/>
  <c r="D12" i="3"/>
  <c r="F12" i="3" s="1"/>
  <c r="G11" i="3"/>
  <c r="E19" i="3"/>
  <c r="E40" i="3" s="1"/>
  <c r="D11" i="3"/>
  <c r="D19" i="3" s="1"/>
  <c r="I42" i="6" l="1"/>
  <c r="F29" i="4"/>
  <c r="I19" i="4"/>
  <c r="G34" i="4"/>
  <c r="G40" i="4" s="1"/>
  <c r="I31" i="4"/>
  <c r="I34" i="4" s="1"/>
  <c r="F19" i="4"/>
  <c r="E40" i="4"/>
  <c r="D40" i="4"/>
  <c r="I13" i="3"/>
  <c r="F34" i="3"/>
  <c r="G31" i="3"/>
  <c r="I15" i="3"/>
  <c r="G29" i="3"/>
  <c r="I29" i="3"/>
  <c r="I35" i="3"/>
  <c r="I39" i="3" s="1"/>
  <c r="G39" i="3"/>
  <c r="I18" i="3"/>
  <c r="H29" i="3"/>
  <c r="F39" i="3"/>
  <c r="F11" i="3"/>
  <c r="F15" i="3"/>
  <c r="F18" i="3"/>
  <c r="F24" i="3"/>
  <c r="F17" i="3"/>
  <c r="I21" i="3"/>
  <c r="G14" i="3"/>
  <c r="I14" i="3" s="1"/>
  <c r="F23" i="3"/>
  <c r="F29" i="3" s="1"/>
  <c r="F28" i="3"/>
  <c r="F13" i="3"/>
  <c r="D29" i="3"/>
  <c r="D40" i="3" s="1"/>
  <c r="H11" i="3"/>
  <c r="H19" i="3" s="1"/>
  <c r="H42" i="3" s="1"/>
  <c r="D39" i="3"/>
  <c r="D35" i="2"/>
  <c r="F35" i="2"/>
  <c r="G35" i="2" s="1"/>
  <c r="I35" i="2" s="1"/>
  <c r="D36" i="2"/>
  <c r="F36" i="2" s="1"/>
  <c r="G36" i="2" s="1"/>
  <c r="I36" i="2" s="1"/>
  <c r="D33" i="2"/>
  <c r="F33" i="2" s="1"/>
  <c r="D30" i="2"/>
  <c r="D29" i="2"/>
  <c r="D16" i="2"/>
  <c r="G16" i="2" s="1"/>
  <c r="D15" i="2"/>
  <c r="D26" i="2"/>
  <c r="D25" i="2"/>
  <c r="G25" i="2" s="1"/>
  <c r="D23" i="2"/>
  <c r="G23" i="2" s="1"/>
  <c r="D22" i="2"/>
  <c r="G22" i="2" s="1"/>
  <c r="D21" i="2"/>
  <c r="D20" i="2"/>
  <c r="G20" i="2" s="1"/>
  <c r="D19" i="2"/>
  <c r="G19" i="2" s="1"/>
  <c r="G15" i="2"/>
  <c r="D13" i="2"/>
  <c r="G13" i="2" s="1"/>
  <c r="D12" i="2"/>
  <c r="G12" i="2" s="1"/>
  <c r="D11" i="2"/>
  <c r="G11" i="2" s="1"/>
  <c r="I11" i="2" s="1"/>
  <c r="D10" i="2"/>
  <c r="D9" i="2"/>
  <c r="H37" i="2"/>
  <c r="E37" i="2"/>
  <c r="F34" i="2"/>
  <c r="G34" i="2" s="1"/>
  <c r="I34" i="2" s="1"/>
  <c r="H32" i="2"/>
  <c r="E32" i="2"/>
  <c r="F31" i="2"/>
  <c r="G31" i="2" s="1"/>
  <c r="I31" i="2" s="1"/>
  <c r="F30" i="2"/>
  <c r="G30" i="2" s="1"/>
  <c r="I30" i="2" s="1"/>
  <c r="F29" i="2"/>
  <c r="H26" i="2"/>
  <c r="G26" i="2"/>
  <c r="I26" i="2" s="1"/>
  <c r="H25" i="2"/>
  <c r="H24" i="2"/>
  <c r="G24" i="2"/>
  <c r="I24" i="2" s="1"/>
  <c r="F24" i="2"/>
  <c r="H23" i="2"/>
  <c r="H22" i="2"/>
  <c r="E21" i="2"/>
  <c r="H21" i="2" s="1"/>
  <c r="E20" i="2"/>
  <c r="H19" i="2"/>
  <c r="H18" i="2"/>
  <c r="G18" i="2"/>
  <c r="F18" i="2"/>
  <c r="E16" i="2"/>
  <c r="H16" i="2" s="1"/>
  <c r="E15" i="2"/>
  <c r="H15" i="2" s="1"/>
  <c r="H14" i="2"/>
  <c r="G14" i="2"/>
  <c r="F14" i="2"/>
  <c r="E13" i="2"/>
  <c r="H13" i="2" s="1"/>
  <c r="E12" i="2"/>
  <c r="H12" i="2" s="1"/>
  <c r="E11" i="2"/>
  <c r="H11" i="2" s="1"/>
  <c r="E10" i="2"/>
  <c r="H10" i="2" s="1"/>
  <c r="G10" i="2"/>
  <c r="E9" i="2"/>
  <c r="E17" i="2" s="1"/>
  <c r="F34" i="1"/>
  <c r="G34" i="1" s="1"/>
  <c r="I34" i="1" s="1"/>
  <c r="D33" i="1"/>
  <c r="E10" i="1"/>
  <c r="D30" i="1"/>
  <c r="D29" i="1"/>
  <c r="D26" i="1"/>
  <c r="D25" i="1"/>
  <c r="D22" i="1"/>
  <c r="D21" i="1"/>
  <c r="D20" i="1"/>
  <c r="D19" i="1"/>
  <c r="D13" i="1"/>
  <c r="D11" i="1"/>
  <c r="D10" i="1"/>
  <c r="D9" i="1"/>
  <c r="E21" i="1"/>
  <c r="E20" i="1"/>
  <c r="E16" i="1"/>
  <c r="E15" i="1"/>
  <c r="E11" i="1"/>
  <c r="F40" i="4" l="1"/>
  <c r="I40" i="4"/>
  <c r="F19" i="3"/>
  <c r="F40" i="3" s="1"/>
  <c r="I11" i="3"/>
  <c r="I19" i="3" s="1"/>
  <c r="I40" i="3" s="1"/>
  <c r="I42" i="3" s="1"/>
  <c r="G19" i="3"/>
  <c r="I31" i="3"/>
  <c r="I34" i="3" s="1"/>
  <c r="G34" i="3"/>
  <c r="F12" i="2"/>
  <c r="H9" i="2"/>
  <c r="H17" i="2" s="1"/>
  <c r="F23" i="2"/>
  <c r="F9" i="2"/>
  <c r="F21" i="2"/>
  <c r="I14" i="2"/>
  <c r="I22" i="2"/>
  <c r="I23" i="2"/>
  <c r="I12" i="2"/>
  <c r="I25" i="2"/>
  <c r="I18" i="2"/>
  <c r="I13" i="2"/>
  <c r="I15" i="2"/>
  <c r="I10" i="2"/>
  <c r="F15" i="2"/>
  <c r="G21" i="2"/>
  <c r="I21" i="2" s="1"/>
  <c r="F20" i="2"/>
  <c r="D27" i="2"/>
  <c r="F19" i="2"/>
  <c r="D17" i="2"/>
  <c r="G9" i="2"/>
  <c r="G29" i="2"/>
  <c r="F32" i="2"/>
  <c r="I16" i="2"/>
  <c r="G33" i="2"/>
  <c r="F37" i="2"/>
  <c r="D37" i="2"/>
  <c r="F16" i="2"/>
  <c r="F22" i="2"/>
  <c r="F10" i="2"/>
  <c r="F13" i="2"/>
  <c r="I19" i="2"/>
  <c r="F26" i="2"/>
  <c r="F11" i="2"/>
  <c r="H20" i="2"/>
  <c r="I20" i="2" s="1"/>
  <c r="E27" i="2"/>
  <c r="E38" i="2" s="1"/>
  <c r="D32" i="2"/>
  <c r="F25" i="2"/>
  <c r="I42" i="4" l="1"/>
  <c r="G40" i="3"/>
  <c r="G42" i="3" s="1"/>
  <c r="I9" i="2"/>
  <c r="I27" i="2"/>
  <c r="I17" i="2"/>
  <c r="G27" i="2"/>
  <c r="F27" i="2"/>
  <c r="F17" i="2"/>
  <c r="G17" i="2"/>
  <c r="D38" i="2"/>
  <c r="H27" i="2"/>
  <c r="H38" i="2" s="1"/>
  <c r="H40" i="2" s="1"/>
  <c r="G32" i="2"/>
  <c r="I29" i="2"/>
  <c r="I32" i="2" s="1"/>
  <c r="G37" i="2"/>
  <c r="I33" i="2"/>
  <c r="I37" i="2" s="1"/>
  <c r="I38" i="2" l="1"/>
  <c r="G38" i="2"/>
  <c r="G40" i="2" s="1"/>
  <c r="F38" i="2"/>
  <c r="I40" i="2" l="1"/>
  <c r="H36" i="1" l="1"/>
  <c r="E36" i="1"/>
  <c r="D36" i="1"/>
  <c r="H32" i="1"/>
  <c r="E32" i="1"/>
  <c r="D32" i="1"/>
  <c r="E27" i="1"/>
  <c r="D27" i="1"/>
  <c r="D17" i="1"/>
  <c r="F35" i="1"/>
  <c r="H26" i="1"/>
  <c r="G26" i="1"/>
  <c r="I26" i="1" s="1"/>
  <c r="F26" i="1"/>
  <c r="G35" i="1" l="1"/>
  <c r="I35" i="1" s="1"/>
  <c r="D37" i="1"/>
  <c r="G25" i="1"/>
  <c r="G24" i="1"/>
  <c r="G23" i="1"/>
  <c r="G22" i="1"/>
  <c r="G21" i="1"/>
  <c r="G20" i="1"/>
  <c r="G19" i="1"/>
  <c r="G18" i="1"/>
  <c r="G16" i="1"/>
  <c r="G15" i="1"/>
  <c r="G14" i="1"/>
  <c r="G12" i="1"/>
  <c r="G11" i="1"/>
  <c r="G10" i="1"/>
  <c r="G9" i="1"/>
  <c r="G27" i="1" l="1"/>
  <c r="F33" i="1"/>
  <c r="G33" i="1" l="1"/>
  <c r="G36" i="1" s="1"/>
  <c r="F36" i="1"/>
  <c r="I33" i="1"/>
  <c r="I36" i="1" s="1"/>
  <c r="F30" i="1"/>
  <c r="G30" i="1" s="1"/>
  <c r="I30" i="1" s="1"/>
  <c r="F31" i="1"/>
  <c r="G31" i="1" s="1"/>
  <c r="F29" i="1"/>
  <c r="G13" i="1"/>
  <c r="G17" i="1" s="1"/>
  <c r="H14" i="1"/>
  <c r="H15" i="1"/>
  <c r="H16" i="1"/>
  <c r="F13" i="1"/>
  <c r="F14" i="1"/>
  <c r="F15" i="1"/>
  <c r="F16" i="1"/>
  <c r="H11" i="1"/>
  <c r="E12" i="1"/>
  <c r="F12" i="1" s="1"/>
  <c r="E13" i="1"/>
  <c r="H13" i="1" s="1"/>
  <c r="H10" i="1"/>
  <c r="E9" i="1"/>
  <c r="E17" i="1" l="1"/>
  <c r="E37" i="1" s="1"/>
  <c r="G29" i="1"/>
  <c r="G32" i="1" s="1"/>
  <c r="G37" i="1" s="1"/>
  <c r="G39" i="1" s="1"/>
  <c r="F32" i="1"/>
  <c r="F9" i="1"/>
  <c r="F10" i="1"/>
  <c r="H9" i="1"/>
  <c r="H17" i="1" s="1"/>
  <c r="I29" i="1"/>
  <c r="I10" i="1"/>
  <c r="I31" i="1"/>
  <c r="I11" i="1"/>
  <c r="I13" i="1"/>
  <c r="F11" i="1"/>
  <c r="I15" i="1"/>
  <c r="I14" i="1"/>
  <c r="I16" i="1"/>
  <c r="H12" i="1"/>
  <c r="I12" i="1" s="1"/>
  <c r="I32" i="1" l="1"/>
  <c r="F17" i="1"/>
  <c r="I9" i="1"/>
  <c r="I17" i="1" s="1"/>
  <c r="H19" i="1"/>
  <c r="I19" i="1" s="1"/>
  <c r="H20" i="1"/>
  <c r="H21" i="1"/>
  <c r="I21" i="1" s="1"/>
  <c r="H22" i="1"/>
  <c r="I22" i="1" s="1"/>
  <c r="H23" i="1"/>
  <c r="H24" i="1"/>
  <c r="I24" i="1" s="1"/>
  <c r="H25" i="1"/>
  <c r="H18" i="1"/>
  <c r="I18" i="1" s="1"/>
  <c r="I25" i="1"/>
  <c r="F19" i="1"/>
  <c r="F20" i="1"/>
  <c r="F21" i="1"/>
  <c r="F22" i="1"/>
  <c r="F23" i="1"/>
  <c r="F24" i="1"/>
  <c r="F25" i="1"/>
  <c r="F18" i="1"/>
  <c r="H27" i="1" l="1"/>
  <c r="H37" i="1" s="1"/>
  <c r="H39" i="1" s="1"/>
  <c r="F27" i="1"/>
  <c r="F37" i="1" s="1"/>
  <c r="I23" i="1"/>
  <c r="I20" i="1"/>
  <c r="I27" i="1" s="1"/>
  <c r="I37" i="1" s="1"/>
  <c r="I39" i="1" l="1"/>
</calcChain>
</file>

<file path=xl/sharedStrings.xml><?xml version="1.0" encoding="utf-8"?>
<sst xmlns="http://schemas.openxmlformats.org/spreadsheetml/2006/main" count="391" uniqueCount="44">
  <si>
    <t>Stunden</t>
  </si>
  <si>
    <t>Grundauftrag</t>
  </si>
  <si>
    <t>Digitalisierung</t>
  </si>
  <si>
    <t>Total</t>
  </si>
  <si>
    <t>CHF</t>
  </si>
  <si>
    <t>Jauslin + Stebler</t>
  </si>
  <si>
    <t>Leipert</t>
  </si>
  <si>
    <t>Holinger</t>
  </si>
  <si>
    <t>A</t>
  </si>
  <si>
    <t>B</t>
  </si>
  <si>
    <t>C</t>
  </si>
  <si>
    <t>D</t>
  </si>
  <si>
    <t>E</t>
  </si>
  <si>
    <t>F</t>
  </si>
  <si>
    <t>G</t>
  </si>
  <si>
    <t>G 3/4</t>
  </si>
  <si>
    <t>G 1/2</t>
  </si>
  <si>
    <t>Kat.</t>
  </si>
  <si>
    <t>N03 EP Rheinfelden - Frick</t>
  </si>
  <si>
    <t>Bosshardt</t>
  </si>
  <si>
    <t>Aegerter &amp;</t>
  </si>
  <si>
    <t>Grundauftrag inkl. NO GIS-basierte Entwässerung und Digitalisierung Archiv</t>
  </si>
  <si>
    <t>Gesamttotal</t>
  </si>
  <si>
    <t>durchschn. Ansatz</t>
  </si>
  <si>
    <t>Aufwände per 31.12.2019</t>
  </si>
  <si>
    <t>Aufwände per 31.03.2020</t>
  </si>
  <si>
    <t>Aufwände per 20.05.2020</t>
  </si>
  <si>
    <t>Beilage 3</t>
  </si>
  <si>
    <t>N03. 090069, EP Rheinfelden - Frick</t>
  </si>
  <si>
    <t>IG EP RF-BB</t>
  </si>
  <si>
    <t>AeBo</t>
  </si>
  <si>
    <t>JS</t>
  </si>
  <si>
    <t>Mai</t>
  </si>
  <si>
    <t>Aufwände per 31.05.2020</t>
  </si>
  <si>
    <t>Aufwände per 30.06.2020</t>
  </si>
  <si>
    <t>EK</t>
  </si>
  <si>
    <t>MK</t>
  </si>
  <si>
    <t>NO1 + NO3</t>
  </si>
  <si>
    <t>Grundauftrag + NO2</t>
  </si>
  <si>
    <t>NO1+NO3</t>
  </si>
  <si>
    <t>Aufwand PL ab August 2020 in MK berücksichtigt</t>
  </si>
  <si>
    <t>Option AP Lärm</t>
  </si>
  <si>
    <t>Aufwände per 30.09.2020</t>
  </si>
  <si>
    <t>Aufwände per 31.10.2020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</si>
</sst>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" fontId="1" fillId="0" borderId="5" xfId="0" applyNumberFormat="1" applyFont="1" applyBorder="1"/>
    <xf numFmtId="4" fontId="0" fillId="0" borderId="11" xfId="0" applyNumberForma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/>
    <xf numFmtId="4" fontId="0" fillId="0" borderId="13" xfId="0" applyNumberFormat="1" applyBorder="1"/>
    <xf numFmtId="4" fontId="0" fillId="0" borderId="14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/>
    </xf>
    <xf numFmtId="4" fontId="0" fillId="0" borderId="9" xfId="0" applyNumberFormat="1" applyBorder="1"/>
    <xf numFmtId="4" fontId="0" fillId="0" borderId="18" xfId="0" applyNumberFormat="1" applyBorder="1"/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" fillId="0" borderId="21" xfId="0" applyFont="1" applyBorder="1"/>
    <xf numFmtId="0" fontId="0" fillId="0" borderId="19" xfId="0" applyBorder="1"/>
    <xf numFmtId="0" fontId="0" fillId="0" borderId="16" xfId="0" applyBorder="1"/>
    <xf numFmtId="0" fontId="0" fillId="0" borderId="11" xfId="0" applyFill="1" applyBorder="1"/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" fontId="0" fillId="0" borderId="0" xfId="0" applyNumberFormat="1" applyBorder="1"/>
    <xf numFmtId="4" fontId="1" fillId="0" borderId="21" xfId="0" applyNumberFormat="1" applyFont="1" applyBorder="1"/>
    <xf numFmtId="0" fontId="1" fillId="0" borderId="6" xfId="0" applyFont="1" applyBorder="1"/>
    <xf numFmtId="4" fontId="1" fillId="0" borderId="8" xfId="0" applyNumberFormat="1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3" xfId="0" applyFont="1" applyFill="1" applyBorder="1"/>
    <xf numFmtId="0" fontId="1" fillId="0" borderId="26" xfId="0" applyFont="1" applyBorder="1"/>
    <xf numFmtId="4" fontId="1" fillId="0" borderId="27" xfId="0" applyNumberFormat="1" applyFont="1" applyBorder="1"/>
    <xf numFmtId="4" fontId="1" fillId="0" borderId="23" xfId="0" applyNumberFormat="1" applyFont="1" applyBorder="1"/>
    <xf numFmtId="4" fontId="1" fillId="0" borderId="28" xfId="0" applyNumberFormat="1" applyFont="1" applyBorder="1"/>
    <xf numFmtId="0" fontId="1" fillId="0" borderId="10" xfId="0" applyFont="1" applyBorder="1"/>
    <xf numFmtId="4" fontId="1" fillId="0" borderId="29" xfId="0" applyNumberFormat="1" applyFont="1" applyBorder="1"/>
    <xf numFmtId="0" fontId="1" fillId="0" borderId="30" xfId="0" applyFont="1" applyBorder="1"/>
    <xf numFmtId="4" fontId="1" fillId="0" borderId="31" xfId="0" applyNumberFormat="1" applyFont="1" applyBorder="1"/>
    <xf numFmtId="4" fontId="1" fillId="0" borderId="26" xfId="0" applyNumberFormat="1" applyFont="1" applyBorder="1"/>
    <xf numFmtId="2" fontId="1" fillId="0" borderId="23" xfId="0" applyNumberFormat="1" applyFont="1" applyBorder="1"/>
    <xf numFmtId="0" fontId="1" fillId="0" borderId="27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0" xfId="0" applyFont="1" applyFill="1" applyBorder="1"/>
    <xf numFmtId="0" fontId="1" fillId="3" borderId="24" xfId="0" applyFont="1" applyFill="1" applyBorder="1"/>
    <xf numFmtId="0" fontId="1" fillId="3" borderId="23" xfId="0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4" fontId="1" fillId="3" borderId="27" xfId="0" applyNumberFormat="1" applyFont="1" applyFill="1" applyBorder="1"/>
    <xf numFmtId="4" fontId="1" fillId="3" borderId="23" xfId="0" applyNumberFormat="1" applyFont="1" applyFill="1" applyBorder="1"/>
    <xf numFmtId="4" fontId="1" fillId="3" borderId="31" xfId="0" applyNumberFormat="1" applyFont="1" applyFill="1" applyBorder="1"/>
    <xf numFmtId="4" fontId="1" fillId="3" borderId="28" xfId="0" applyNumberFormat="1" applyFont="1" applyFill="1" applyBorder="1"/>
    <xf numFmtId="4" fontId="1" fillId="3" borderId="26" xfId="0" applyNumberFormat="1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4" fontId="1" fillId="2" borderId="8" xfId="0" applyNumberFormat="1" applyFont="1" applyFill="1" applyBorder="1"/>
    <xf numFmtId="4" fontId="1" fillId="2" borderId="29" xfId="0" applyNumberFormat="1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4" fontId="0" fillId="0" borderId="21" xfId="0" applyNumberFormat="1" applyBorder="1"/>
    <xf numFmtId="4" fontId="0" fillId="0" borderId="16" xfId="0" applyNumberFormat="1" applyBorder="1"/>
    <xf numFmtId="4" fontId="1" fillId="2" borderId="32" xfId="0" applyNumberFormat="1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/>
    <xf numFmtId="4" fontId="1" fillId="2" borderId="33" xfId="0" applyNumberFormat="1" applyFont="1" applyFill="1" applyBorder="1"/>
    <xf numFmtId="0" fontId="1" fillId="0" borderId="35" xfId="0" applyFont="1" applyBorder="1" applyAlignment="1">
      <alignment horizontal="center" vertical="center"/>
    </xf>
    <xf numFmtId="0" fontId="0" fillId="0" borderId="36" xfId="0" applyBorder="1"/>
    <xf numFmtId="4" fontId="1" fillId="0" borderId="36" xfId="0" applyNumberFormat="1" applyFont="1" applyBorder="1"/>
    <xf numFmtId="4" fontId="1" fillId="3" borderId="37" xfId="0" applyNumberFormat="1" applyFont="1" applyFill="1" applyBorder="1"/>
    <xf numFmtId="4" fontId="0" fillId="0" borderId="35" xfId="0" applyNumberFormat="1" applyBorder="1"/>
    <xf numFmtId="4" fontId="1" fillId="2" borderId="34" xfId="0" applyNumberFormat="1" applyFont="1" applyFill="1" applyBorder="1"/>
    <xf numFmtId="4" fontId="1" fillId="2" borderId="10" xfId="0" applyNumberFormat="1" applyFont="1" applyFill="1" applyBorder="1"/>
    <xf numFmtId="0" fontId="1" fillId="0" borderId="36" xfId="0" applyFont="1" applyBorder="1"/>
    <xf numFmtId="0" fontId="1" fillId="3" borderId="37" xfId="0" applyFont="1" applyFill="1" applyBorder="1"/>
    <xf numFmtId="0" fontId="0" fillId="0" borderId="35" xfId="0" applyBorder="1"/>
    <xf numFmtId="0" fontId="1" fillId="0" borderId="0" xfId="0" applyFont="1" applyFill="1" applyBorder="1"/>
    <xf numFmtId="4" fontId="1" fillId="0" borderId="0" xfId="0" applyNumberFormat="1" applyFont="1" applyFill="1" applyBorder="1"/>
    <xf numFmtId="0" fontId="0" fillId="0" borderId="0" xfId="0" applyFill="1"/>
    <xf numFmtId="0" fontId="0" fillId="0" borderId="0" xfId="0" applyFont="1" applyFill="1" applyBorder="1"/>
    <xf numFmtId="4" fontId="0" fillId="0" borderId="7" xfId="0" applyNumberFormat="1" applyBorder="1"/>
    <xf numFmtId="4" fontId="1" fillId="3" borderId="24" xfId="0" applyNumberFormat="1" applyFont="1" applyFill="1" applyBorder="1"/>
    <xf numFmtId="4" fontId="0" fillId="0" borderId="17" xfId="0" applyNumberFormat="1" applyBorder="1"/>
    <xf numFmtId="0" fontId="0" fillId="0" borderId="7" xfId="0" applyFill="1" applyBorder="1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zoomScaleNormal="100" workbookViewId="0">
      <selection activeCell="D44" sqref="D44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9" width="15.28515625" customWidth="1"/>
  </cols>
  <sheetData>
    <row r="1" spans="1:9" ht="15" x14ac:dyDescent="0.25">
      <c r="A1" s="13" t="s">
        <v>18</v>
      </c>
    </row>
    <row r="2" spans="1:9" ht="15" x14ac:dyDescent="0.25">
      <c r="A2" s="13"/>
    </row>
    <row r="3" spans="1:9" ht="15" x14ac:dyDescent="0.25">
      <c r="A3" s="13" t="s">
        <v>21</v>
      </c>
    </row>
    <row r="4" spans="1:9" ht="15" x14ac:dyDescent="0.25">
      <c r="A4" s="13" t="s">
        <v>24</v>
      </c>
    </row>
    <row r="5" spans="1:9" ht="13.5" thickBot="1" x14ac:dyDescent="0.25"/>
    <row r="6" spans="1:9" ht="17.25" customHeight="1" x14ac:dyDescent="0.2">
      <c r="A6" s="1"/>
      <c r="B6" s="16" t="s">
        <v>17</v>
      </c>
      <c r="C6" s="30"/>
      <c r="D6" s="99" t="s">
        <v>0</v>
      </c>
      <c r="E6" s="100"/>
      <c r="F6" s="101"/>
      <c r="G6" s="100" t="s">
        <v>4</v>
      </c>
      <c r="H6" s="100"/>
      <c r="I6" s="101"/>
    </row>
    <row r="7" spans="1:9" ht="19.5" customHeight="1" x14ac:dyDescent="0.2">
      <c r="A7" s="7"/>
      <c r="B7" s="17"/>
      <c r="C7" s="31"/>
      <c r="D7" s="22" t="s">
        <v>1</v>
      </c>
      <c r="E7" s="11" t="s">
        <v>2</v>
      </c>
      <c r="F7" s="23" t="s">
        <v>3</v>
      </c>
      <c r="G7" s="19" t="s">
        <v>1</v>
      </c>
      <c r="H7" s="11" t="s">
        <v>2</v>
      </c>
      <c r="I7" s="12" t="s">
        <v>3</v>
      </c>
    </row>
    <row r="8" spans="1:9" ht="15" customHeight="1" x14ac:dyDescent="0.2">
      <c r="A8" s="2" t="s">
        <v>20</v>
      </c>
      <c r="B8" s="4" t="s">
        <v>8</v>
      </c>
      <c r="C8" s="6">
        <v>145</v>
      </c>
      <c r="D8" s="24"/>
      <c r="E8" s="6"/>
      <c r="F8" s="25"/>
      <c r="G8" s="5"/>
      <c r="H8" s="6"/>
      <c r="I8" s="3"/>
    </row>
    <row r="9" spans="1:9" ht="15" customHeight="1" x14ac:dyDescent="0.2">
      <c r="A9" s="2" t="s">
        <v>19</v>
      </c>
      <c r="B9" s="4" t="s">
        <v>9</v>
      </c>
      <c r="C9" s="6">
        <v>122</v>
      </c>
      <c r="D9" s="24">
        <f>1129.5+146+130.25</f>
        <v>1405.75</v>
      </c>
      <c r="E9" s="6">
        <f>8.5+1.5</f>
        <v>10</v>
      </c>
      <c r="F9" s="26">
        <f>SUM(D9:E9)</f>
        <v>1415.75</v>
      </c>
      <c r="G9" s="20">
        <f t="shared" ref="G9:G25" si="0">D9*C9</f>
        <v>171501.5</v>
      </c>
      <c r="H9" s="10">
        <f t="shared" ref="H9:H25" si="1">E9*C9</f>
        <v>1220</v>
      </c>
      <c r="I9" s="9">
        <f>SUM(G9:H9)</f>
        <v>172721.5</v>
      </c>
    </row>
    <row r="10" spans="1:9" ht="15" customHeight="1" x14ac:dyDescent="0.2">
      <c r="A10" s="2"/>
      <c r="B10" s="4" t="s">
        <v>10</v>
      </c>
      <c r="C10" s="6">
        <v>95</v>
      </c>
      <c r="D10" s="24">
        <f>501+90.25+65.75</f>
        <v>657</v>
      </c>
      <c r="E10" s="6">
        <f>51+160.5+86+148.5+114.75+158.75+71.25+121.25+102.75+14.75+1</f>
        <v>1030.5</v>
      </c>
      <c r="F10" s="26">
        <f t="shared" ref="F10:F16" si="2">SUM(D10:E10)</f>
        <v>1687.5</v>
      </c>
      <c r="G10" s="20">
        <f t="shared" si="0"/>
        <v>62415</v>
      </c>
      <c r="H10" s="10">
        <f t="shared" si="1"/>
        <v>97897.5</v>
      </c>
      <c r="I10" s="9">
        <f t="shared" ref="I10:I16" si="3">SUM(G10:H10)</f>
        <v>160312.5</v>
      </c>
    </row>
    <row r="11" spans="1:9" ht="15" customHeight="1" x14ac:dyDescent="0.2">
      <c r="A11" s="2"/>
      <c r="B11" s="4" t="s">
        <v>11</v>
      </c>
      <c r="C11" s="6">
        <v>86</v>
      </c>
      <c r="D11" s="24">
        <f>243.5+99.5+85</f>
        <v>428</v>
      </c>
      <c r="E11" s="6">
        <f>104.5+30+50.75+71.5+75.5+3.5+44.25+0.5</f>
        <v>380.5</v>
      </c>
      <c r="F11" s="26">
        <f t="shared" si="2"/>
        <v>808.5</v>
      </c>
      <c r="G11" s="20">
        <f t="shared" si="0"/>
        <v>36808</v>
      </c>
      <c r="H11" s="10">
        <f t="shared" si="1"/>
        <v>32723</v>
      </c>
      <c r="I11" s="9">
        <f t="shared" si="3"/>
        <v>69531</v>
      </c>
    </row>
    <row r="12" spans="1:9" ht="15" customHeight="1" x14ac:dyDescent="0.2">
      <c r="A12" s="2"/>
      <c r="B12" s="4" t="s">
        <v>12</v>
      </c>
      <c r="C12" s="6">
        <v>62</v>
      </c>
      <c r="D12" s="24">
        <v>80.75</v>
      </c>
      <c r="E12" s="6">
        <f>17+36.75+173.5+43.25+109.25+121+18+15.75</f>
        <v>534.5</v>
      </c>
      <c r="F12" s="26">
        <f t="shared" si="2"/>
        <v>615.25</v>
      </c>
      <c r="G12" s="20">
        <f t="shared" si="0"/>
        <v>5006.5</v>
      </c>
      <c r="H12" s="10">
        <f t="shared" si="1"/>
        <v>33139</v>
      </c>
      <c r="I12" s="9">
        <f t="shared" si="3"/>
        <v>38145.5</v>
      </c>
    </row>
    <row r="13" spans="1:9" ht="15" customHeight="1" x14ac:dyDescent="0.2">
      <c r="A13" s="2"/>
      <c r="B13" s="4" t="s">
        <v>13</v>
      </c>
      <c r="C13" s="6">
        <v>50</v>
      </c>
      <c r="D13" s="24">
        <f>264.5+10.5</f>
        <v>275</v>
      </c>
      <c r="E13" s="6">
        <f>68+51+34.25+38.25</f>
        <v>191.5</v>
      </c>
      <c r="F13" s="26">
        <f t="shared" si="2"/>
        <v>466.5</v>
      </c>
      <c r="G13" s="20">
        <f t="shared" si="0"/>
        <v>13750</v>
      </c>
      <c r="H13" s="10">
        <f t="shared" si="1"/>
        <v>9575</v>
      </c>
      <c r="I13" s="9">
        <f t="shared" si="3"/>
        <v>23325</v>
      </c>
    </row>
    <row r="14" spans="1:9" ht="15" customHeight="1" x14ac:dyDescent="0.2">
      <c r="A14" s="2"/>
      <c r="B14" s="4" t="s">
        <v>14</v>
      </c>
      <c r="C14" s="6">
        <v>8</v>
      </c>
      <c r="D14" s="24">
        <v>0</v>
      </c>
      <c r="E14" s="6">
        <v>0</v>
      </c>
      <c r="F14" s="26">
        <f t="shared" si="2"/>
        <v>0</v>
      </c>
      <c r="G14" s="20">
        <f t="shared" si="0"/>
        <v>0</v>
      </c>
      <c r="H14" s="10">
        <f t="shared" si="1"/>
        <v>0</v>
      </c>
      <c r="I14" s="9">
        <f t="shared" si="3"/>
        <v>0</v>
      </c>
    </row>
    <row r="15" spans="1:9" ht="15" customHeight="1" x14ac:dyDescent="0.2">
      <c r="A15" s="2"/>
      <c r="B15" s="4" t="s">
        <v>15</v>
      </c>
      <c r="C15" s="6">
        <v>6</v>
      </c>
      <c r="D15" s="24">
        <v>4</v>
      </c>
      <c r="E15" s="6">
        <f>5.75+20.25</f>
        <v>26</v>
      </c>
      <c r="F15" s="26">
        <f t="shared" si="2"/>
        <v>30</v>
      </c>
      <c r="G15" s="20">
        <f t="shared" si="0"/>
        <v>24</v>
      </c>
      <c r="H15" s="10">
        <f t="shared" si="1"/>
        <v>156</v>
      </c>
      <c r="I15" s="9">
        <f t="shared" si="3"/>
        <v>180</v>
      </c>
    </row>
    <row r="16" spans="1:9" ht="15" customHeight="1" x14ac:dyDescent="0.2">
      <c r="A16" s="2"/>
      <c r="B16" s="4" t="s">
        <v>16</v>
      </c>
      <c r="C16" s="6">
        <v>4</v>
      </c>
      <c r="D16" s="24"/>
      <c r="E16" s="6">
        <f>23+25</f>
        <v>48</v>
      </c>
      <c r="F16" s="26">
        <f t="shared" si="2"/>
        <v>48</v>
      </c>
      <c r="G16" s="20">
        <f t="shared" si="0"/>
        <v>0</v>
      </c>
      <c r="H16" s="10">
        <f t="shared" si="1"/>
        <v>192</v>
      </c>
      <c r="I16" s="9">
        <f t="shared" si="3"/>
        <v>192</v>
      </c>
    </row>
    <row r="17" spans="1:9" ht="15" customHeight="1" x14ac:dyDescent="0.2">
      <c r="A17" s="46" t="s">
        <v>3</v>
      </c>
      <c r="B17" s="36"/>
      <c r="C17" s="37"/>
      <c r="D17" s="38">
        <f>SUM(D9:D16)</f>
        <v>2850.5</v>
      </c>
      <c r="E17" s="39">
        <f t="shared" ref="E17:I17" si="4">SUM(E9:E16)</f>
        <v>2221</v>
      </c>
      <c r="F17" s="40">
        <f t="shared" si="4"/>
        <v>5071.5</v>
      </c>
      <c r="G17" s="41">
        <f t="shared" si="4"/>
        <v>289505</v>
      </c>
      <c r="H17" s="42">
        <f t="shared" si="4"/>
        <v>174902.5</v>
      </c>
      <c r="I17" s="47">
        <f t="shared" si="4"/>
        <v>464407.5</v>
      </c>
    </row>
    <row r="18" spans="1:9" ht="15" customHeight="1" x14ac:dyDescent="0.2">
      <c r="A18" s="2" t="s">
        <v>5</v>
      </c>
      <c r="B18" s="4" t="s">
        <v>8</v>
      </c>
      <c r="C18" s="6">
        <v>145</v>
      </c>
      <c r="D18" s="24">
        <v>12.75</v>
      </c>
      <c r="E18" s="29">
        <v>0</v>
      </c>
      <c r="F18" s="26">
        <f>SUM(D18:E18)</f>
        <v>12.75</v>
      </c>
      <c r="G18" s="32">
        <f t="shared" si="0"/>
        <v>1848.75</v>
      </c>
      <c r="H18" s="10">
        <f t="shared" si="1"/>
        <v>0</v>
      </c>
      <c r="I18" s="9">
        <f>SUM(G18:H18)</f>
        <v>1848.75</v>
      </c>
    </row>
    <row r="19" spans="1:9" ht="15" customHeight="1" x14ac:dyDescent="0.2">
      <c r="A19" s="2"/>
      <c r="B19" s="4" t="s">
        <v>9</v>
      </c>
      <c r="C19" s="6">
        <v>122</v>
      </c>
      <c r="D19" s="24">
        <f>248.75+38.75+1</f>
        <v>288.5</v>
      </c>
      <c r="E19" s="6">
        <v>2.5</v>
      </c>
      <c r="F19" s="26">
        <f t="shared" ref="F19:F25" si="5">SUM(D19:E19)</f>
        <v>291</v>
      </c>
      <c r="G19" s="32">
        <f t="shared" si="0"/>
        <v>35197</v>
      </c>
      <c r="H19" s="10">
        <f t="shared" si="1"/>
        <v>305</v>
      </c>
      <c r="I19" s="9">
        <f t="shared" ref="I19:I25" si="6">SUM(G19:H19)</f>
        <v>35502</v>
      </c>
    </row>
    <row r="20" spans="1:9" ht="15" customHeight="1" x14ac:dyDescent="0.2">
      <c r="A20" s="2"/>
      <c r="B20" s="4" t="s">
        <v>10</v>
      </c>
      <c r="C20" s="6">
        <v>95</v>
      </c>
      <c r="D20" s="24">
        <f>374+109+28</f>
        <v>511</v>
      </c>
      <c r="E20" s="6">
        <f>417+18.5</f>
        <v>435.5</v>
      </c>
      <c r="F20" s="26">
        <f t="shared" si="5"/>
        <v>946.5</v>
      </c>
      <c r="G20" s="32">
        <f t="shared" si="0"/>
        <v>48545</v>
      </c>
      <c r="H20" s="10">
        <f t="shared" si="1"/>
        <v>41372.5</v>
      </c>
      <c r="I20" s="9">
        <f t="shared" si="6"/>
        <v>89917.5</v>
      </c>
    </row>
    <row r="21" spans="1:9" ht="15" customHeight="1" x14ac:dyDescent="0.2">
      <c r="A21" s="2"/>
      <c r="B21" s="4" t="s">
        <v>11</v>
      </c>
      <c r="C21" s="6">
        <v>86</v>
      </c>
      <c r="D21" s="24">
        <f>181.5+68.75+63.75</f>
        <v>314</v>
      </c>
      <c r="E21" s="6">
        <f>1017+4.5</f>
        <v>1021.5</v>
      </c>
      <c r="F21" s="26">
        <f t="shared" si="5"/>
        <v>1335.5</v>
      </c>
      <c r="G21" s="32">
        <f t="shared" si="0"/>
        <v>27004</v>
      </c>
      <c r="H21" s="10">
        <f t="shared" si="1"/>
        <v>87849</v>
      </c>
      <c r="I21" s="9">
        <f t="shared" si="6"/>
        <v>114853</v>
      </c>
    </row>
    <row r="22" spans="1:9" ht="15" customHeight="1" x14ac:dyDescent="0.2">
      <c r="A22" s="2"/>
      <c r="B22" s="4" t="s">
        <v>12</v>
      </c>
      <c r="C22" s="6">
        <v>62</v>
      </c>
      <c r="D22" s="24">
        <f>98.25+33.75+55.75</f>
        <v>187.75</v>
      </c>
      <c r="E22" s="6">
        <v>101.25</v>
      </c>
      <c r="F22" s="26">
        <f t="shared" si="5"/>
        <v>289</v>
      </c>
      <c r="G22" s="32">
        <f t="shared" si="0"/>
        <v>11640.5</v>
      </c>
      <c r="H22" s="10">
        <f t="shared" si="1"/>
        <v>6277.5</v>
      </c>
      <c r="I22" s="9">
        <f t="shared" si="6"/>
        <v>17918</v>
      </c>
    </row>
    <row r="23" spans="1:9" ht="15" customHeight="1" x14ac:dyDescent="0.2">
      <c r="A23" s="2"/>
      <c r="B23" s="4" t="s">
        <v>13</v>
      </c>
      <c r="C23" s="6">
        <v>50</v>
      </c>
      <c r="D23" s="24">
        <v>0</v>
      </c>
      <c r="E23" s="6">
        <v>0</v>
      </c>
      <c r="F23" s="26">
        <f t="shared" si="5"/>
        <v>0</v>
      </c>
      <c r="G23" s="32">
        <f t="shared" si="0"/>
        <v>0</v>
      </c>
      <c r="H23" s="10">
        <f t="shared" si="1"/>
        <v>0</v>
      </c>
      <c r="I23" s="9">
        <f t="shared" si="6"/>
        <v>0</v>
      </c>
    </row>
    <row r="24" spans="1:9" ht="15" customHeight="1" x14ac:dyDescent="0.2">
      <c r="A24" s="2"/>
      <c r="B24" s="4" t="s">
        <v>14</v>
      </c>
      <c r="C24" s="6">
        <v>8</v>
      </c>
      <c r="D24" s="24">
        <v>16.25</v>
      </c>
      <c r="E24" s="6">
        <v>29.5</v>
      </c>
      <c r="F24" s="26">
        <f t="shared" si="5"/>
        <v>45.75</v>
      </c>
      <c r="G24" s="32">
        <f t="shared" si="0"/>
        <v>130</v>
      </c>
      <c r="H24" s="10">
        <f t="shared" si="1"/>
        <v>236</v>
      </c>
      <c r="I24" s="9">
        <f t="shared" si="6"/>
        <v>366</v>
      </c>
    </row>
    <row r="25" spans="1:9" ht="15" customHeight="1" x14ac:dyDescent="0.2">
      <c r="A25" s="2"/>
      <c r="B25" s="4" t="s">
        <v>15</v>
      </c>
      <c r="C25" s="6">
        <v>6</v>
      </c>
      <c r="D25" s="24">
        <f>4.5+11</f>
        <v>15.5</v>
      </c>
      <c r="E25" s="6">
        <v>55.5</v>
      </c>
      <c r="F25" s="26">
        <f t="shared" si="5"/>
        <v>71</v>
      </c>
      <c r="G25" s="32">
        <f t="shared" si="0"/>
        <v>93</v>
      </c>
      <c r="H25" s="10">
        <f t="shared" si="1"/>
        <v>333</v>
      </c>
      <c r="I25" s="9">
        <f t="shared" si="6"/>
        <v>426</v>
      </c>
    </row>
    <row r="26" spans="1:9" ht="15" customHeight="1" x14ac:dyDescent="0.2">
      <c r="A26" s="2"/>
      <c r="B26" s="4" t="s">
        <v>16</v>
      </c>
      <c r="C26" s="6">
        <v>4</v>
      </c>
      <c r="D26" s="24">
        <f>2.5+3.5</f>
        <v>6</v>
      </c>
      <c r="E26" s="6">
        <v>0</v>
      </c>
      <c r="F26" s="26">
        <f t="shared" ref="F26" si="7">SUM(D26:E26)</f>
        <v>6</v>
      </c>
      <c r="G26" s="32">
        <f t="shared" ref="G26" si="8">D26*C26</f>
        <v>24</v>
      </c>
      <c r="H26" s="10">
        <f t="shared" ref="H26" si="9">E26*C26</f>
        <v>0</v>
      </c>
      <c r="I26" s="9">
        <f t="shared" ref="I26" si="10">SUM(G26:H26)</f>
        <v>24</v>
      </c>
    </row>
    <row r="27" spans="1:9" ht="15" customHeight="1" x14ac:dyDescent="0.2">
      <c r="A27" s="46" t="s">
        <v>3</v>
      </c>
      <c r="B27" s="36"/>
      <c r="C27" s="37"/>
      <c r="D27" s="38">
        <f>SUM(D18:D26)</f>
        <v>1351.75</v>
      </c>
      <c r="E27" s="37">
        <f t="shared" ref="E27:I27" si="11">SUM(E18:E26)</f>
        <v>1645.75</v>
      </c>
      <c r="F27" s="40">
        <f t="shared" si="11"/>
        <v>2997.5</v>
      </c>
      <c r="G27" s="41">
        <f t="shared" si="11"/>
        <v>124482.25</v>
      </c>
      <c r="H27" s="42">
        <f t="shared" si="11"/>
        <v>136373</v>
      </c>
      <c r="I27" s="47">
        <f t="shared" si="11"/>
        <v>260855.25</v>
      </c>
    </row>
    <row r="28" spans="1:9" ht="3.75" customHeight="1" x14ac:dyDescent="0.2">
      <c r="A28" s="7"/>
      <c r="B28" s="18"/>
      <c r="C28" s="28"/>
      <c r="D28" s="27"/>
      <c r="E28" s="8"/>
      <c r="F28" s="28"/>
      <c r="G28" s="21"/>
      <c r="H28" s="14"/>
      <c r="I28" s="15"/>
    </row>
    <row r="29" spans="1:9" ht="15" customHeight="1" x14ac:dyDescent="0.2">
      <c r="A29" s="2" t="s">
        <v>6</v>
      </c>
      <c r="B29" s="4" t="s">
        <v>9</v>
      </c>
      <c r="C29" s="6">
        <v>122</v>
      </c>
      <c r="D29" s="24">
        <f>119+9+0.5</f>
        <v>128.5</v>
      </c>
      <c r="E29" s="6"/>
      <c r="F29" s="26">
        <f>SUM(D29:E29)</f>
        <v>128.5</v>
      </c>
      <c r="G29" s="20">
        <f>F29*C29</f>
        <v>15677</v>
      </c>
      <c r="H29" s="10"/>
      <c r="I29" s="9">
        <f>SUM(G29:H29)</f>
        <v>15677</v>
      </c>
    </row>
    <row r="30" spans="1:9" ht="15" customHeight="1" x14ac:dyDescent="0.2">
      <c r="A30" s="2"/>
      <c r="B30" s="4" t="s">
        <v>10</v>
      </c>
      <c r="C30" s="6">
        <v>95</v>
      </c>
      <c r="D30" s="24">
        <f>97.25+10+35.75</f>
        <v>143</v>
      </c>
      <c r="E30" s="6"/>
      <c r="F30" s="26">
        <f t="shared" ref="F30:F31" si="12">SUM(D30:E30)</f>
        <v>143</v>
      </c>
      <c r="G30" s="20">
        <f>F30*C30</f>
        <v>13585</v>
      </c>
      <c r="H30" s="10"/>
      <c r="I30" s="9">
        <f t="shared" ref="I30:I34" si="13">SUM(G30:H30)</f>
        <v>13585</v>
      </c>
    </row>
    <row r="31" spans="1:9" ht="15" customHeight="1" x14ac:dyDescent="0.2">
      <c r="A31" s="2"/>
      <c r="B31" s="4" t="s">
        <v>11</v>
      </c>
      <c r="C31" s="6">
        <v>86</v>
      </c>
      <c r="D31" s="24">
        <v>0.5</v>
      </c>
      <c r="E31" s="6"/>
      <c r="F31" s="26">
        <f t="shared" si="12"/>
        <v>0.5</v>
      </c>
      <c r="G31" s="20">
        <f>F31*C31</f>
        <v>43</v>
      </c>
      <c r="H31" s="10"/>
      <c r="I31" s="9">
        <f t="shared" si="13"/>
        <v>43</v>
      </c>
    </row>
    <row r="32" spans="1:9" ht="15" customHeight="1" x14ac:dyDescent="0.2">
      <c r="A32" s="46" t="s">
        <v>3</v>
      </c>
      <c r="B32" s="36"/>
      <c r="C32" s="37"/>
      <c r="D32" s="38">
        <f>SUM(D29:D31)</f>
        <v>272</v>
      </c>
      <c r="E32" s="37">
        <f t="shared" ref="E32:I32" si="14">SUM(E29:E31)</f>
        <v>0</v>
      </c>
      <c r="F32" s="40">
        <f t="shared" si="14"/>
        <v>272</v>
      </c>
      <c r="G32" s="43">
        <f t="shared" si="14"/>
        <v>29305</v>
      </c>
      <c r="H32" s="42">
        <f t="shared" si="14"/>
        <v>0</v>
      </c>
      <c r="I32" s="47">
        <f t="shared" si="14"/>
        <v>29305</v>
      </c>
    </row>
    <row r="33" spans="1:9" ht="15" customHeight="1" x14ac:dyDescent="0.2">
      <c r="A33" s="2" t="s">
        <v>7</v>
      </c>
      <c r="B33" s="4" t="s">
        <v>9</v>
      </c>
      <c r="C33" s="6">
        <v>122</v>
      </c>
      <c r="D33" s="24">
        <f>11.25+1.5+1</f>
        <v>13.75</v>
      </c>
      <c r="E33" s="6"/>
      <c r="F33" s="26">
        <f>SUM(D33:E33)</f>
        <v>13.75</v>
      </c>
      <c r="G33" s="20">
        <f>F33*C33</f>
        <v>1677.5</v>
      </c>
      <c r="H33" s="10"/>
      <c r="I33" s="9">
        <f t="shared" si="13"/>
        <v>1677.5</v>
      </c>
    </row>
    <row r="34" spans="1:9" ht="15" customHeight="1" x14ac:dyDescent="0.2">
      <c r="A34" s="2"/>
      <c r="B34" s="4" t="s">
        <v>10</v>
      </c>
      <c r="C34" s="6">
        <v>95</v>
      </c>
      <c r="D34" s="24">
        <v>6.25</v>
      </c>
      <c r="E34" s="6"/>
      <c r="F34" s="26">
        <f t="shared" ref="F34" si="15">SUM(D34:E34)</f>
        <v>6.25</v>
      </c>
      <c r="G34" s="20">
        <f>F34*C34</f>
        <v>593.75</v>
      </c>
      <c r="H34" s="10"/>
      <c r="I34" s="33">
        <f t="shared" si="13"/>
        <v>593.75</v>
      </c>
    </row>
    <row r="35" spans="1:9" ht="15" customHeight="1" x14ac:dyDescent="0.2">
      <c r="A35" s="2"/>
      <c r="B35" s="4" t="s">
        <v>12</v>
      </c>
      <c r="C35" s="6">
        <v>62</v>
      </c>
      <c r="D35" s="24">
        <v>0.25</v>
      </c>
      <c r="E35" s="6"/>
      <c r="F35" s="26">
        <f t="shared" ref="F35" si="16">SUM(D35:E35)</f>
        <v>0.25</v>
      </c>
      <c r="G35" s="20">
        <f>F35*C35</f>
        <v>15.5</v>
      </c>
      <c r="H35" s="10"/>
      <c r="I35" s="33">
        <f t="shared" ref="I35" si="17">SUM(G35:H35)</f>
        <v>15.5</v>
      </c>
    </row>
    <row r="36" spans="1:9" ht="15" customHeight="1" x14ac:dyDescent="0.2">
      <c r="A36" s="46" t="s">
        <v>3</v>
      </c>
      <c r="B36" s="36"/>
      <c r="C36" s="37"/>
      <c r="D36" s="38">
        <f>SUM(D33:D35)</f>
        <v>20.25</v>
      </c>
      <c r="E36" s="37">
        <f t="shared" ref="E36:I36" si="18">SUM(E33:E35)</f>
        <v>0</v>
      </c>
      <c r="F36" s="40">
        <f t="shared" si="18"/>
        <v>20.25</v>
      </c>
      <c r="G36" s="43">
        <f t="shared" si="18"/>
        <v>2286.75</v>
      </c>
      <c r="H36" s="42">
        <f t="shared" si="18"/>
        <v>0</v>
      </c>
      <c r="I36" s="48">
        <f t="shared" si="18"/>
        <v>2286.75</v>
      </c>
    </row>
    <row r="37" spans="1:9" ht="21" customHeight="1" thickBot="1" x14ac:dyDescent="0.25">
      <c r="A37" s="34" t="s">
        <v>22</v>
      </c>
      <c r="B37" s="44"/>
      <c r="C37" s="44"/>
      <c r="D37" s="35">
        <f>D17+D27+D32+D36</f>
        <v>4494.5</v>
      </c>
      <c r="E37" s="35">
        <f t="shared" ref="E37:I37" si="19">E17+E27+E32+E36</f>
        <v>3866.75</v>
      </c>
      <c r="F37" s="35">
        <f t="shared" si="19"/>
        <v>8361.25</v>
      </c>
      <c r="G37" s="35">
        <f t="shared" si="19"/>
        <v>445579</v>
      </c>
      <c r="H37" s="35">
        <f t="shared" si="19"/>
        <v>311275.5</v>
      </c>
      <c r="I37" s="45">
        <f t="shared" si="19"/>
        <v>756854.5</v>
      </c>
    </row>
    <row r="39" spans="1:9" x14ac:dyDescent="0.2">
      <c r="A39" s="102" t="s">
        <v>23</v>
      </c>
      <c r="B39" s="103"/>
      <c r="C39" s="50"/>
      <c r="D39" s="50"/>
      <c r="E39" s="50"/>
      <c r="F39" s="50"/>
      <c r="G39" s="49">
        <f>G37/D37</f>
        <v>99.138725108465906</v>
      </c>
      <c r="H39" s="49">
        <f t="shared" ref="H39:I39" si="20">H37/E37</f>
        <v>80.500549557121616</v>
      </c>
      <c r="I39" s="49">
        <f t="shared" si="20"/>
        <v>90.519300343848116</v>
      </c>
    </row>
  </sheetData>
  <mergeCells count="3">
    <mergeCell ref="D6:F6"/>
    <mergeCell ref="G6:I6"/>
    <mergeCell ref="A39:B39"/>
  </mergeCells>
  <pageMargins left="0.70866141732283472" right="0.70866141732283472" top="0.78740157480314965" bottom="0.78740157480314965" header="0.31496062992125984" footer="0.31496062992125984"/>
  <pageSetup paperSize="9" scale="75"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Normal="100" workbookViewId="0">
      <selection activeCell="K32" sqref="K32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hidden="1" customWidth="1" outlineLevel="1"/>
    <col min="4" max="4" width="15.28515625" customWidth="1" collapsed="1"/>
    <col min="5" max="9" width="15.28515625" customWidth="1"/>
  </cols>
  <sheetData>
    <row r="1" spans="1:9" ht="15" x14ac:dyDescent="0.25">
      <c r="A1" s="13" t="s">
        <v>18</v>
      </c>
    </row>
    <row r="2" spans="1:9" ht="15" x14ac:dyDescent="0.25">
      <c r="A2" s="13"/>
    </row>
    <row r="3" spans="1:9" ht="15" x14ac:dyDescent="0.25">
      <c r="A3" s="13" t="s">
        <v>21</v>
      </c>
    </row>
    <row r="4" spans="1:9" ht="15" x14ac:dyDescent="0.25">
      <c r="A4" s="13" t="s">
        <v>25</v>
      </c>
    </row>
    <row r="5" spans="1:9" ht="13.5" thickBot="1" x14ac:dyDescent="0.25"/>
    <row r="6" spans="1:9" ht="17.25" customHeight="1" x14ac:dyDescent="0.2">
      <c r="A6" s="1"/>
      <c r="B6" s="16" t="s">
        <v>17</v>
      </c>
      <c r="C6" s="51"/>
      <c r="D6" s="99" t="s">
        <v>0</v>
      </c>
      <c r="E6" s="100"/>
      <c r="F6" s="101"/>
      <c r="G6" s="100" t="s">
        <v>4</v>
      </c>
      <c r="H6" s="100"/>
      <c r="I6" s="101"/>
    </row>
    <row r="7" spans="1:9" ht="19.5" customHeight="1" x14ac:dyDescent="0.2">
      <c r="A7" s="7"/>
      <c r="B7" s="17"/>
      <c r="C7" s="31"/>
      <c r="D7" s="22" t="s">
        <v>1</v>
      </c>
      <c r="E7" s="11" t="s">
        <v>2</v>
      </c>
      <c r="F7" s="23" t="s">
        <v>3</v>
      </c>
      <c r="G7" s="19" t="s">
        <v>1</v>
      </c>
      <c r="H7" s="11" t="s">
        <v>2</v>
      </c>
      <c r="I7" s="12" t="s">
        <v>3</v>
      </c>
    </row>
    <row r="8" spans="1:9" ht="15" customHeight="1" x14ac:dyDescent="0.2">
      <c r="A8" s="2" t="s">
        <v>20</v>
      </c>
      <c r="B8" s="4" t="s">
        <v>8</v>
      </c>
      <c r="C8" s="6">
        <v>145</v>
      </c>
      <c r="D8" s="24"/>
      <c r="E8" s="6"/>
      <c r="F8" s="25"/>
      <c r="G8" s="5"/>
      <c r="H8" s="6"/>
      <c r="I8" s="3"/>
    </row>
    <row r="9" spans="1:9" ht="15" customHeight="1" x14ac:dyDescent="0.2">
      <c r="A9" s="2" t="s">
        <v>19</v>
      </c>
      <c r="B9" s="4" t="s">
        <v>9</v>
      </c>
      <c r="C9" s="6">
        <v>122</v>
      </c>
      <c r="D9" s="24">
        <f>1129.5+146+130.25+113+118+163.75</f>
        <v>1800.5</v>
      </c>
      <c r="E9" s="6">
        <f>8.5+1.5</f>
        <v>10</v>
      </c>
      <c r="F9" s="26">
        <f>SUM(D9:E9)</f>
        <v>1810.5</v>
      </c>
      <c r="G9" s="20">
        <f t="shared" ref="G9:G26" si="0">D9*C9</f>
        <v>219661</v>
      </c>
      <c r="H9" s="10">
        <f t="shared" ref="H9:H26" si="1">E9*C9</f>
        <v>1220</v>
      </c>
      <c r="I9" s="9">
        <f>SUM(G9:H9)</f>
        <v>220881</v>
      </c>
    </row>
    <row r="10" spans="1:9" ht="15" customHeight="1" x14ac:dyDescent="0.2">
      <c r="A10" s="2"/>
      <c r="B10" s="4" t="s">
        <v>10</v>
      </c>
      <c r="C10" s="6">
        <v>95</v>
      </c>
      <c r="D10" s="24">
        <f>501+90.25+65.75+95.5+88.5+43.5</f>
        <v>884.5</v>
      </c>
      <c r="E10" s="6">
        <f>51+160.5+86+148.5+114.75+158.75+71.25+121.25+102.75+14.75+1</f>
        <v>1030.5</v>
      </c>
      <c r="F10" s="26">
        <f t="shared" ref="F10:F16" si="2">SUM(D10:E10)</f>
        <v>1915</v>
      </c>
      <c r="G10" s="20">
        <f t="shared" si="0"/>
        <v>84027.5</v>
      </c>
      <c r="H10" s="10">
        <f t="shared" si="1"/>
        <v>97897.5</v>
      </c>
      <c r="I10" s="9">
        <f t="shared" ref="I10:I16" si="3">SUM(G10:H10)</f>
        <v>181925</v>
      </c>
    </row>
    <row r="11" spans="1:9" ht="15" customHeight="1" x14ac:dyDescent="0.2">
      <c r="A11" s="2"/>
      <c r="B11" s="4" t="s">
        <v>11</v>
      </c>
      <c r="C11" s="6">
        <v>86</v>
      </c>
      <c r="D11" s="24">
        <f>243.5+99.5+85+88.75+129.75+112.5</f>
        <v>759</v>
      </c>
      <c r="E11" s="6">
        <f>104.5+30+50.75+71.5+75.5+3.5+44.25+0.5</f>
        <v>380.5</v>
      </c>
      <c r="F11" s="26">
        <f t="shared" si="2"/>
        <v>1139.5</v>
      </c>
      <c r="G11" s="20">
        <f t="shared" si="0"/>
        <v>65274</v>
      </c>
      <c r="H11" s="10">
        <f t="shared" si="1"/>
        <v>32723</v>
      </c>
      <c r="I11" s="9">
        <f t="shared" si="3"/>
        <v>97997</v>
      </c>
    </row>
    <row r="12" spans="1:9" ht="15" customHeight="1" x14ac:dyDescent="0.2">
      <c r="A12" s="2"/>
      <c r="B12" s="4" t="s">
        <v>12</v>
      </c>
      <c r="C12" s="6">
        <v>62</v>
      </c>
      <c r="D12" s="24">
        <f>80.75+11+0.5</f>
        <v>92.25</v>
      </c>
      <c r="E12" s="6">
        <f>17+36.75+173.5+43.25+109.25+121+18+15.75</f>
        <v>534.5</v>
      </c>
      <c r="F12" s="26">
        <f t="shared" si="2"/>
        <v>626.75</v>
      </c>
      <c r="G12" s="20">
        <f t="shared" si="0"/>
        <v>5719.5</v>
      </c>
      <c r="H12" s="10">
        <f t="shared" si="1"/>
        <v>33139</v>
      </c>
      <c r="I12" s="9">
        <f t="shared" si="3"/>
        <v>38858.5</v>
      </c>
    </row>
    <row r="13" spans="1:9" ht="15" customHeight="1" x14ac:dyDescent="0.2">
      <c r="A13" s="2"/>
      <c r="B13" s="4" t="s">
        <v>13</v>
      </c>
      <c r="C13" s="6">
        <v>50</v>
      </c>
      <c r="D13" s="24">
        <f>264.5+10.5+19.25+19.75+34.75</f>
        <v>348.75</v>
      </c>
      <c r="E13" s="6">
        <f>68+51+34.25+38.25</f>
        <v>191.5</v>
      </c>
      <c r="F13" s="26">
        <f t="shared" si="2"/>
        <v>540.25</v>
      </c>
      <c r="G13" s="20">
        <f t="shared" si="0"/>
        <v>17437.5</v>
      </c>
      <c r="H13" s="10">
        <f t="shared" si="1"/>
        <v>9575</v>
      </c>
      <c r="I13" s="9">
        <f t="shared" si="3"/>
        <v>27012.5</v>
      </c>
    </row>
    <row r="14" spans="1:9" ht="15" customHeight="1" x14ac:dyDescent="0.2">
      <c r="A14" s="2"/>
      <c r="B14" s="4" t="s">
        <v>14</v>
      </c>
      <c r="C14" s="6">
        <v>8</v>
      </c>
      <c r="D14" s="24">
        <v>0</v>
      </c>
      <c r="E14" s="6">
        <v>0</v>
      </c>
      <c r="F14" s="26">
        <f t="shared" si="2"/>
        <v>0</v>
      </c>
      <c r="G14" s="20">
        <f t="shared" si="0"/>
        <v>0</v>
      </c>
      <c r="H14" s="10">
        <f t="shared" si="1"/>
        <v>0</v>
      </c>
      <c r="I14" s="9">
        <f t="shared" si="3"/>
        <v>0</v>
      </c>
    </row>
    <row r="15" spans="1:9" ht="15" customHeight="1" x14ac:dyDescent="0.2">
      <c r="A15" s="2"/>
      <c r="B15" s="4" t="s">
        <v>15</v>
      </c>
      <c r="C15" s="6">
        <v>6</v>
      </c>
      <c r="D15" s="24">
        <f>4</f>
        <v>4</v>
      </c>
      <c r="E15" s="6">
        <f>5.75+20.25</f>
        <v>26</v>
      </c>
      <c r="F15" s="26">
        <f t="shared" si="2"/>
        <v>30</v>
      </c>
      <c r="G15" s="20">
        <f t="shared" si="0"/>
        <v>24</v>
      </c>
      <c r="H15" s="10">
        <f t="shared" si="1"/>
        <v>156</v>
      </c>
      <c r="I15" s="9">
        <f t="shared" si="3"/>
        <v>180</v>
      </c>
    </row>
    <row r="16" spans="1:9" ht="15" customHeight="1" x14ac:dyDescent="0.2">
      <c r="A16" s="2"/>
      <c r="B16" s="4" t="s">
        <v>16</v>
      </c>
      <c r="C16" s="6">
        <v>4</v>
      </c>
      <c r="D16" s="24">
        <f>17.5</f>
        <v>17.5</v>
      </c>
      <c r="E16" s="6">
        <f>23+25</f>
        <v>48</v>
      </c>
      <c r="F16" s="26">
        <f t="shared" si="2"/>
        <v>65.5</v>
      </c>
      <c r="G16" s="20">
        <f t="shared" si="0"/>
        <v>70</v>
      </c>
      <c r="H16" s="10">
        <f t="shared" si="1"/>
        <v>192</v>
      </c>
      <c r="I16" s="9">
        <f t="shared" si="3"/>
        <v>262</v>
      </c>
    </row>
    <row r="17" spans="1:9" ht="15" customHeight="1" x14ac:dyDescent="0.2">
      <c r="A17" s="54" t="s">
        <v>3</v>
      </c>
      <c r="B17" s="55"/>
      <c r="C17" s="56"/>
      <c r="D17" s="57">
        <f>SUM(D9:D16)</f>
        <v>3906.5</v>
      </c>
      <c r="E17" s="56">
        <f t="shared" ref="E17:I17" si="4">SUM(E9:E16)</f>
        <v>2221</v>
      </c>
      <c r="F17" s="58">
        <f t="shared" si="4"/>
        <v>6127.5</v>
      </c>
      <c r="G17" s="59">
        <f t="shared" si="4"/>
        <v>392213.5</v>
      </c>
      <c r="H17" s="60">
        <f t="shared" si="4"/>
        <v>174902.5</v>
      </c>
      <c r="I17" s="61">
        <f t="shared" si="4"/>
        <v>567116</v>
      </c>
    </row>
    <row r="18" spans="1:9" ht="15" customHeight="1" x14ac:dyDescent="0.2">
      <c r="A18" s="2" t="s">
        <v>5</v>
      </c>
      <c r="B18" s="4" t="s">
        <v>8</v>
      </c>
      <c r="C18" s="6">
        <v>145</v>
      </c>
      <c r="D18" s="24">
        <v>12.75</v>
      </c>
      <c r="E18" s="29">
        <v>0</v>
      </c>
      <c r="F18" s="26">
        <f>SUM(D18:E18)</f>
        <v>12.75</v>
      </c>
      <c r="G18" s="32">
        <f t="shared" si="0"/>
        <v>1848.75</v>
      </c>
      <c r="H18" s="10">
        <f t="shared" si="1"/>
        <v>0</v>
      </c>
      <c r="I18" s="9">
        <f>SUM(G18:H18)</f>
        <v>1848.75</v>
      </c>
    </row>
    <row r="19" spans="1:9" ht="15" customHeight="1" x14ac:dyDescent="0.2">
      <c r="A19" s="2"/>
      <c r="B19" s="4" t="s">
        <v>9</v>
      </c>
      <c r="C19" s="6">
        <v>122</v>
      </c>
      <c r="D19" s="24">
        <f>248.75+38.75+1+82.5+52+27.75</f>
        <v>450.75</v>
      </c>
      <c r="E19" s="6">
        <v>2.5</v>
      </c>
      <c r="F19" s="26">
        <f t="shared" ref="F19:F26" si="5">SUM(D19:E19)</f>
        <v>453.25</v>
      </c>
      <c r="G19" s="32">
        <f t="shared" si="0"/>
        <v>54991.5</v>
      </c>
      <c r="H19" s="10">
        <f t="shared" si="1"/>
        <v>305</v>
      </c>
      <c r="I19" s="9">
        <f t="shared" ref="I19:I26" si="6">SUM(G19:H19)</f>
        <v>55296.5</v>
      </c>
    </row>
    <row r="20" spans="1:9" ht="15" customHeight="1" x14ac:dyDescent="0.2">
      <c r="A20" s="2"/>
      <c r="B20" s="4" t="s">
        <v>10</v>
      </c>
      <c r="C20" s="6">
        <v>95</v>
      </c>
      <c r="D20" s="24">
        <f>374+109+28+119.75+168.5+217.5</f>
        <v>1016.75</v>
      </c>
      <c r="E20" s="6">
        <f>417+18.5</f>
        <v>435.5</v>
      </c>
      <c r="F20" s="26">
        <f t="shared" si="5"/>
        <v>1452.25</v>
      </c>
      <c r="G20" s="32">
        <f t="shared" si="0"/>
        <v>96591.25</v>
      </c>
      <c r="H20" s="10">
        <f t="shared" si="1"/>
        <v>41372.5</v>
      </c>
      <c r="I20" s="9">
        <f t="shared" si="6"/>
        <v>137963.75</v>
      </c>
    </row>
    <row r="21" spans="1:9" ht="15" customHeight="1" x14ac:dyDescent="0.2">
      <c r="A21" s="2"/>
      <c r="B21" s="4" t="s">
        <v>11</v>
      </c>
      <c r="C21" s="6">
        <v>86</v>
      </c>
      <c r="D21" s="24">
        <f>181.5+68.75+63.75+99.75+85.5+123</f>
        <v>622.25</v>
      </c>
      <c r="E21" s="6">
        <f>1017+4.5</f>
        <v>1021.5</v>
      </c>
      <c r="F21" s="26">
        <f t="shared" si="5"/>
        <v>1643.75</v>
      </c>
      <c r="G21" s="32">
        <f t="shared" si="0"/>
        <v>53513.5</v>
      </c>
      <c r="H21" s="10">
        <f t="shared" si="1"/>
        <v>87849</v>
      </c>
      <c r="I21" s="9">
        <f t="shared" si="6"/>
        <v>141362.5</v>
      </c>
    </row>
    <row r="22" spans="1:9" ht="15" customHeight="1" x14ac:dyDescent="0.2">
      <c r="A22" s="2"/>
      <c r="B22" s="4" t="s">
        <v>12</v>
      </c>
      <c r="C22" s="6">
        <v>62</v>
      </c>
      <c r="D22" s="24">
        <f>98.25+33.75+55.75+54+15.25+41</f>
        <v>298</v>
      </c>
      <c r="E22" s="6">
        <v>101.25</v>
      </c>
      <c r="F22" s="26">
        <f t="shared" si="5"/>
        <v>399.25</v>
      </c>
      <c r="G22" s="32">
        <f t="shared" si="0"/>
        <v>18476</v>
      </c>
      <c r="H22" s="10">
        <f t="shared" si="1"/>
        <v>6277.5</v>
      </c>
      <c r="I22" s="9">
        <f t="shared" si="6"/>
        <v>24753.5</v>
      </c>
    </row>
    <row r="23" spans="1:9" ht="15" customHeight="1" x14ac:dyDescent="0.2">
      <c r="A23" s="2"/>
      <c r="B23" s="4" t="s">
        <v>13</v>
      </c>
      <c r="C23" s="6">
        <v>50</v>
      </c>
      <c r="D23" s="24">
        <f>0.5</f>
        <v>0.5</v>
      </c>
      <c r="E23" s="6">
        <v>0</v>
      </c>
      <c r="F23" s="26">
        <f t="shared" si="5"/>
        <v>0.5</v>
      </c>
      <c r="G23" s="32">
        <f t="shared" si="0"/>
        <v>25</v>
      </c>
      <c r="H23" s="10">
        <f t="shared" si="1"/>
        <v>0</v>
      </c>
      <c r="I23" s="9">
        <f t="shared" si="6"/>
        <v>25</v>
      </c>
    </row>
    <row r="24" spans="1:9" ht="15" customHeight="1" x14ac:dyDescent="0.2">
      <c r="A24" s="2"/>
      <c r="B24" s="4" t="s">
        <v>14</v>
      </c>
      <c r="C24" s="6">
        <v>8</v>
      </c>
      <c r="D24" s="24">
        <v>16.25</v>
      </c>
      <c r="E24" s="6">
        <v>29.5</v>
      </c>
      <c r="F24" s="26">
        <f t="shared" si="5"/>
        <v>45.75</v>
      </c>
      <c r="G24" s="32">
        <f t="shared" si="0"/>
        <v>130</v>
      </c>
      <c r="H24" s="10">
        <f t="shared" si="1"/>
        <v>236</v>
      </c>
      <c r="I24" s="9">
        <f t="shared" si="6"/>
        <v>366</v>
      </c>
    </row>
    <row r="25" spans="1:9" ht="15" customHeight="1" x14ac:dyDescent="0.2">
      <c r="A25" s="2"/>
      <c r="B25" s="4" t="s">
        <v>15</v>
      </c>
      <c r="C25" s="6">
        <v>6</v>
      </c>
      <c r="D25" s="24">
        <f>4.5+11+32.25</f>
        <v>47.75</v>
      </c>
      <c r="E25" s="6">
        <v>55.5</v>
      </c>
      <c r="F25" s="26">
        <f t="shared" si="5"/>
        <v>103.25</v>
      </c>
      <c r="G25" s="32">
        <f t="shared" si="0"/>
        <v>286.5</v>
      </c>
      <c r="H25" s="10">
        <f t="shared" si="1"/>
        <v>333</v>
      </c>
      <c r="I25" s="9">
        <f t="shared" si="6"/>
        <v>619.5</v>
      </c>
    </row>
    <row r="26" spans="1:9" ht="15" customHeight="1" x14ac:dyDescent="0.2">
      <c r="A26" s="2"/>
      <c r="B26" s="4" t="s">
        <v>16</v>
      </c>
      <c r="C26" s="6">
        <v>4</v>
      </c>
      <c r="D26" s="24">
        <f>2.5+3.5+25.5+4+9.25</f>
        <v>44.75</v>
      </c>
      <c r="E26" s="6">
        <v>0</v>
      </c>
      <c r="F26" s="26">
        <f t="shared" si="5"/>
        <v>44.75</v>
      </c>
      <c r="G26" s="32">
        <f t="shared" si="0"/>
        <v>179</v>
      </c>
      <c r="H26" s="10">
        <f t="shared" si="1"/>
        <v>0</v>
      </c>
      <c r="I26" s="9">
        <f t="shared" si="6"/>
        <v>179</v>
      </c>
    </row>
    <row r="27" spans="1:9" ht="15" customHeight="1" x14ac:dyDescent="0.2">
      <c r="A27" s="54" t="s">
        <v>3</v>
      </c>
      <c r="B27" s="55"/>
      <c r="C27" s="56"/>
      <c r="D27" s="57">
        <f>SUM(D18:D26)</f>
        <v>2509.75</v>
      </c>
      <c r="E27" s="56">
        <f t="shared" ref="E27:I27" si="7">SUM(E18:E26)</f>
        <v>1645.75</v>
      </c>
      <c r="F27" s="58">
        <f t="shared" si="7"/>
        <v>4155.5</v>
      </c>
      <c r="G27" s="59">
        <f t="shared" si="7"/>
        <v>226041.5</v>
      </c>
      <c r="H27" s="60">
        <f t="shared" si="7"/>
        <v>136373</v>
      </c>
      <c r="I27" s="61">
        <f t="shared" si="7"/>
        <v>362414.5</v>
      </c>
    </row>
    <row r="28" spans="1:9" ht="3.75" customHeight="1" x14ac:dyDescent="0.2">
      <c r="A28" s="7"/>
      <c r="B28" s="18"/>
      <c r="C28" s="28"/>
      <c r="D28" s="27"/>
      <c r="E28" s="8"/>
      <c r="F28" s="28"/>
      <c r="G28" s="21"/>
      <c r="H28" s="14"/>
      <c r="I28" s="15"/>
    </row>
    <row r="29" spans="1:9" ht="15" customHeight="1" x14ac:dyDescent="0.2">
      <c r="A29" s="2" t="s">
        <v>6</v>
      </c>
      <c r="B29" s="4" t="s">
        <v>9</v>
      </c>
      <c r="C29" s="6">
        <v>122</v>
      </c>
      <c r="D29" s="24">
        <f>119+9+0.5+2+2.5+10</f>
        <v>143</v>
      </c>
      <c r="E29" s="6"/>
      <c r="F29" s="26">
        <f>SUM(D29:E29)</f>
        <v>143</v>
      </c>
      <c r="G29" s="20">
        <f>F29*C29</f>
        <v>17446</v>
      </c>
      <c r="H29" s="10"/>
      <c r="I29" s="9">
        <f>SUM(G29:H29)</f>
        <v>17446</v>
      </c>
    </row>
    <row r="30" spans="1:9" ht="15" customHeight="1" x14ac:dyDescent="0.2">
      <c r="A30" s="2"/>
      <c r="B30" s="4" t="s">
        <v>10</v>
      </c>
      <c r="C30" s="6">
        <v>95</v>
      </c>
      <c r="D30" s="24">
        <f>97.25+10+35.75+7</f>
        <v>150</v>
      </c>
      <c r="E30" s="6"/>
      <c r="F30" s="26">
        <f t="shared" ref="F30:F31" si="8">SUM(D30:E30)</f>
        <v>150</v>
      </c>
      <c r="G30" s="20">
        <f>F30*C30</f>
        <v>14250</v>
      </c>
      <c r="H30" s="10"/>
      <c r="I30" s="9">
        <f t="shared" ref="I30:I36" si="9">SUM(G30:H30)</f>
        <v>14250</v>
      </c>
    </row>
    <row r="31" spans="1:9" ht="15" customHeight="1" x14ac:dyDescent="0.2">
      <c r="A31" s="2"/>
      <c r="B31" s="4" t="s">
        <v>11</v>
      </c>
      <c r="C31" s="6">
        <v>86</v>
      </c>
      <c r="D31" s="24">
        <v>0.5</v>
      </c>
      <c r="E31" s="6"/>
      <c r="F31" s="26">
        <f t="shared" si="8"/>
        <v>0.5</v>
      </c>
      <c r="G31" s="20">
        <f>F31*C31</f>
        <v>43</v>
      </c>
      <c r="H31" s="10"/>
      <c r="I31" s="9">
        <f t="shared" si="9"/>
        <v>43</v>
      </c>
    </row>
    <row r="32" spans="1:9" ht="15" customHeight="1" x14ac:dyDescent="0.2">
      <c r="A32" s="54" t="s">
        <v>3</v>
      </c>
      <c r="B32" s="55"/>
      <c r="C32" s="56"/>
      <c r="D32" s="57">
        <f>SUM(D29:D31)</f>
        <v>293.5</v>
      </c>
      <c r="E32" s="56">
        <f t="shared" ref="E32:I32" si="10">SUM(E29:E31)</f>
        <v>0</v>
      </c>
      <c r="F32" s="58">
        <f t="shared" si="10"/>
        <v>293.5</v>
      </c>
      <c r="G32" s="62">
        <f t="shared" si="10"/>
        <v>31739</v>
      </c>
      <c r="H32" s="60">
        <f t="shared" si="10"/>
        <v>0</v>
      </c>
      <c r="I32" s="61">
        <f t="shared" si="10"/>
        <v>31739</v>
      </c>
    </row>
    <row r="33" spans="1:9" ht="15" customHeight="1" x14ac:dyDescent="0.2">
      <c r="A33" s="2" t="s">
        <v>7</v>
      </c>
      <c r="B33" s="4" t="s">
        <v>9</v>
      </c>
      <c r="C33" s="6">
        <v>122</v>
      </c>
      <c r="D33" s="24">
        <f>11.25+1.5+1+2+3+11.5</f>
        <v>30.25</v>
      </c>
      <c r="E33" s="6"/>
      <c r="F33" s="26">
        <f>SUM(D33:E33)</f>
        <v>30.25</v>
      </c>
      <c r="G33" s="20">
        <f>F33*C33</f>
        <v>3690.5</v>
      </c>
      <c r="H33" s="10"/>
      <c r="I33" s="9">
        <f t="shared" si="9"/>
        <v>3690.5</v>
      </c>
    </row>
    <row r="34" spans="1:9" ht="15" customHeight="1" x14ac:dyDescent="0.2">
      <c r="A34" s="2"/>
      <c r="B34" s="4" t="s">
        <v>10</v>
      </c>
      <c r="C34" s="6">
        <v>95</v>
      </c>
      <c r="D34" s="24">
        <v>6.25</v>
      </c>
      <c r="E34" s="6"/>
      <c r="F34" s="26">
        <f t="shared" ref="F34:F36" si="11">SUM(D34:E34)</f>
        <v>6.25</v>
      </c>
      <c r="G34" s="20">
        <f>F34*C34</f>
        <v>593.75</v>
      </c>
      <c r="H34" s="10"/>
      <c r="I34" s="33">
        <f t="shared" si="9"/>
        <v>593.75</v>
      </c>
    </row>
    <row r="35" spans="1:9" ht="15" customHeight="1" x14ac:dyDescent="0.2">
      <c r="A35" s="2"/>
      <c r="B35" s="4" t="s">
        <v>11</v>
      </c>
      <c r="C35" s="6">
        <v>86</v>
      </c>
      <c r="D35" s="24">
        <f>12.5+31.25+8.5</f>
        <v>52.25</v>
      </c>
      <c r="E35" s="6"/>
      <c r="F35" s="26">
        <f t="shared" ref="F35" si="12">SUM(D35:E35)</f>
        <v>52.25</v>
      </c>
      <c r="G35" s="20">
        <f>F35*C35</f>
        <v>4493.5</v>
      </c>
      <c r="H35" s="10"/>
      <c r="I35" s="33">
        <f t="shared" ref="I35" si="13">SUM(G35:H35)</f>
        <v>4493.5</v>
      </c>
    </row>
    <row r="36" spans="1:9" ht="15" customHeight="1" x14ac:dyDescent="0.2">
      <c r="A36" s="2"/>
      <c r="B36" s="4" t="s">
        <v>12</v>
      </c>
      <c r="C36" s="6">
        <v>62</v>
      </c>
      <c r="D36" s="24">
        <f>0.25+0.5</f>
        <v>0.75</v>
      </c>
      <c r="E36" s="6"/>
      <c r="F36" s="26">
        <f t="shared" si="11"/>
        <v>0.75</v>
      </c>
      <c r="G36" s="20">
        <f>F36*C36</f>
        <v>46.5</v>
      </c>
      <c r="H36" s="10"/>
      <c r="I36" s="33">
        <f t="shared" si="9"/>
        <v>46.5</v>
      </c>
    </row>
    <row r="37" spans="1:9" ht="15" customHeight="1" x14ac:dyDescent="0.2">
      <c r="A37" s="54" t="s">
        <v>3</v>
      </c>
      <c r="B37" s="55"/>
      <c r="C37" s="56"/>
      <c r="D37" s="57">
        <f>SUM(D33:D36)</f>
        <v>89.5</v>
      </c>
      <c r="E37" s="56">
        <f t="shared" ref="E37:I37" si="14">SUM(E33:E36)</f>
        <v>0</v>
      </c>
      <c r="F37" s="58">
        <f t="shared" si="14"/>
        <v>89.5</v>
      </c>
      <c r="G37" s="62">
        <f t="shared" si="14"/>
        <v>8824.25</v>
      </c>
      <c r="H37" s="60">
        <f t="shared" si="14"/>
        <v>0</v>
      </c>
      <c r="I37" s="63">
        <f t="shared" si="14"/>
        <v>8824.25</v>
      </c>
    </row>
    <row r="38" spans="1:9" ht="28.5" customHeight="1" thickBot="1" x14ac:dyDescent="0.25">
      <c r="A38" s="64" t="s">
        <v>22</v>
      </c>
      <c r="B38" s="65"/>
      <c r="C38" s="65"/>
      <c r="D38" s="66">
        <f>D17+D27+D32+D37</f>
        <v>6799.25</v>
      </c>
      <c r="E38" s="66">
        <f t="shared" ref="E38:I38" si="15">E17+E27+E32+E37</f>
        <v>3866.75</v>
      </c>
      <c r="F38" s="66">
        <f t="shared" si="15"/>
        <v>10666</v>
      </c>
      <c r="G38" s="66">
        <f t="shared" si="15"/>
        <v>658818.25</v>
      </c>
      <c r="H38" s="66">
        <f t="shared" si="15"/>
        <v>311275.5</v>
      </c>
      <c r="I38" s="67">
        <f t="shared" si="15"/>
        <v>970093.75</v>
      </c>
    </row>
    <row r="40" spans="1:9" x14ac:dyDescent="0.2">
      <c r="A40" s="102" t="s">
        <v>23</v>
      </c>
      <c r="B40" s="103"/>
      <c r="C40" s="50"/>
      <c r="D40" s="50"/>
      <c r="E40" s="50"/>
      <c r="F40" s="50"/>
      <c r="G40" s="49">
        <f>G38/D38</f>
        <v>96.895723793065414</v>
      </c>
      <c r="H40" s="49">
        <f t="shared" ref="H40:I40" si="16">H38/E38</f>
        <v>80.500549557121616</v>
      </c>
      <c r="I40" s="49">
        <f t="shared" si="16"/>
        <v>90.951973560847549</v>
      </c>
    </row>
  </sheetData>
  <mergeCells count="3">
    <mergeCell ref="D6:F6"/>
    <mergeCell ref="G6:I6"/>
    <mergeCell ref="A40:B40"/>
  </mergeCells>
  <pageMargins left="0.70866141732283472" right="0.70866141732283472" top="0.78740157480314965" bottom="0.78740157480314965" header="0.31496062992125984" footer="0.31496062992125984"/>
  <pageSetup paperSize="9" scale="78" orientation="portrait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zoomScaleNormal="100" workbookViewId="0">
      <selection activeCell="E13" sqref="E13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hidden="1" customWidth="1" outlineLevel="1"/>
    <col min="4" max="4" width="15.28515625" hidden="1" customWidth="1" outlineLevel="1" collapsed="1"/>
    <col min="5" max="5" width="15.28515625" customWidth="1" collapsed="1"/>
    <col min="6" max="6" width="15.28515625" hidden="1" customWidth="1" outlineLevel="1"/>
    <col min="7" max="7" width="15.28515625" hidden="1" customWidth="1" outlineLevel="1" collapsed="1"/>
    <col min="8" max="8" width="15.28515625" customWidth="1" collapsed="1"/>
    <col min="9" max="9" width="15.28515625" hidden="1" customWidth="1" outlineLevel="1"/>
    <col min="10" max="10" width="11.42578125" collapsed="1"/>
  </cols>
  <sheetData>
    <row r="1" spans="1:12" ht="15" x14ac:dyDescent="0.25">
      <c r="A1" s="13" t="s">
        <v>28</v>
      </c>
      <c r="L1" s="70" t="s">
        <v>29</v>
      </c>
    </row>
    <row r="2" spans="1:12" ht="15" x14ac:dyDescent="0.25">
      <c r="A2" s="13"/>
      <c r="L2" s="70"/>
    </row>
    <row r="3" spans="1:12" ht="15" x14ac:dyDescent="0.25">
      <c r="A3" s="13"/>
      <c r="L3" s="70" t="s">
        <v>27</v>
      </c>
    </row>
    <row r="4" spans="1:12" ht="15" x14ac:dyDescent="0.25">
      <c r="A4" s="13"/>
    </row>
    <row r="5" spans="1:12" ht="15" x14ac:dyDescent="0.25">
      <c r="A5" s="13" t="s">
        <v>21</v>
      </c>
    </row>
    <row r="6" spans="1:12" ht="15" x14ac:dyDescent="0.25">
      <c r="A6" s="13" t="s">
        <v>26</v>
      </c>
    </row>
    <row r="7" spans="1:12" ht="13.5" thickBot="1" x14ac:dyDescent="0.25"/>
    <row r="8" spans="1:12" ht="17.25" customHeight="1" x14ac:dyDescent="0.2">
      <c r="A8" s="1"/>
      <c r="B8" s="16" t="s">
        <v>17</v>
      </c>
      <c r="C8" s="52"/>
      <c r="D8" s="99" t="s">
        <v>0</v>
      </c>
      <c r="E8" s="100"/>
      <c r="F8" s="101"/>
      <c r="G8" s="52" t="s">
        <v>4</v>
      </c>
      <c r="H8" s="53" t="s">
        <v>4</v>
      </c>
      <c r="I8" s="53"/>
      <c r="J8" s="2"/>
    </row>
    <row r="9" spans="1:12" ht="19.5" customHeight="1" x14ac:dyDescent="0.2">
      <c r="A9" s="7"/>
      <c r="B9" s="17"/>
      <c r="C9" s="31"/>
      <c r="D9" s="22" t="s">
        <v>1</v>
      </c>
      <c r="E9" s="11" t="s">
        <v>2</v>
      </c>
      <c r="F9" s="23" t="s">
        <v>3</v>
      </c>
      <c r="G9" s="19" t="s">
        <v>1</v>
      </c>
      <c r="H9" s="23" t="s">
        <v>2</v>
      </c>
      <c r="I9" s="12" t="s">
        <v>3</v>
      </c>
    </row>
    <row r="10" spans="1:12" ht="15" customHeight="1" x14ac:dyDescent="0.2">
      <c r="A10" s="2" t="s">
        <v>20</v>
      </c>
      <c r="B10" s="4" t="s">
        <v>8</v>
      </c>
      <c r="C10" s="6">
        <v>145</v>
      </c>
      <c r="D10" s="24"/>
      <c r="E10" s="6"/>
      <c r="F10" s="25"/>
      <c r="G10" s="5"/>
      <c r="H10" s="25"/>
      <c r="I10" s="3"/>
    </row>
    <row r="11" spans="1:12" ht="15" customHeight="1" x14ac:dyDescent="0.2">
      <c r="A11" s="2" t="s">
        <v>19</v>
      </c>
      <c r="B11" s="4" t="s">
        <v>9</v>
      </c>
      <c r="C11" s="6">
        <v>122</v>
      </c>
      <c r="D11" s="24">
        <f>1129.5+146+130.25+113+118+163.75</f>
        <v>1800.5</v>
      </c>
      <c r="E11" s="6">
        <f>8.5+1.5+3+3.5</f>
        <v>16.5</v>
      </c>
      <c r="F11" s="26">
        <f>SUM(D11:E11)</f>
        <v>1817</v>
      </c>
      <c r="G11" s="20">
        <f t="shared" ref="G11:G28" si="0">D11*C11</f>
        <v>219661</v>
      </c>
      <c r="H11" s="71">
        <f t="shared" ref="H11:H28" si="1">E11*C11</f>
        <v>2013</v>
      </c>
      <c r="I11" s="9">
        <f>SUM(G11:H11)</f>
        <v>221674</v>
      </c>
    </row>
    <row r="12" spans="1:12" ht="15" customHeight="1" x14ac:dyDescent="0.2">
      <c r="A12" s="2"/>
      <c r="B12" s="4" t="s">
        <v>10</v>
      </c>
      <c r="C12" s="6">
        <v>95</v>
      </c>
      <c r="D12" s="24">
        <f>501+90.25+65.75+95.5+88.5+43.5</f>
        <v>884.5</v>
      </c>
      <c r="E12" s="6">
        <f>51+160.5+86+148.5+114.75+158.75+71.25+121.25+102.75+14.75+1+9.5+3.75</f>
        <v>1043.75</v>
      </c>
      <c r="F12" s="26">
        <f t="shared" ref="F12:F18" si="2">SUM(D12:E12)</f>
        <v>1928.25</v>
      </c>
      <c r="G12" s="20">
        <f t="shared" si="0"/>
        <v>84027.5</v>
      </c>
      <c r="H12" s="71">
        <f t="shared" si="1"/>
        <v>99156.25</v>
      </c>
      <c r="I12" s="9">
        <f t="shared" ref="I12:I18" si="3">SUM(G12:H12)</f>
        <v>183183.75</v>
      </c>
    </row>
    <row r="13" spans="1:12" ht="15" customHeight="1" x14ac:dyDescent="0.2">
      <c r="A13" s="2"/>
      <c r="B13" s="4" t="s">
        <v>11</v>
      </c>
      <c r="C13" s="6">
        <v>86</v>
      </c>
      <c r="D13" s="24">
        <f>243.5+99.5+85+88.75+129.75+112.5</f>
        <v>759</v>
      </c>
      <c r="E13" s="6">
        <f>104.5+30+50.75+71.5+75.5+3.5+44.25+0.5+1+0.75+0.5</f>
        <v>382.75</v>
      </c>
      <c r="F13" s="26">
        <f t="shared" si="2"/>
        <v>1141.75</v>
      </c>
      <c r="G13" s="20">
        <f t="shared" si="0"/>
        <v>65274</v>
      </c>
      <c r="H13" s="71">
        <f t="shared" si="1"/>
        <v>32916.5</v>
      </c>
      <c r="I13" s="9">
        <f t="shared" si="3"/>
        <v>98190.5</v>
      </c>
    </row>
    <row r="14" spans="1:12" ht="15" customHeight="1" x14ac:dyDescent="0.2">
      <c r="A14" s="2"/>
      <c r="B14" s="4" t="s">
        <v>12</v>
      </c>
      <c r="C14" s="6">
        <v>62</v>
      </c>
      <c r="D14" s="24">
        <f>80.75+11+0.5</f>
        <v>92.25</v>
      </c>
      <c r="E14" s="6">
        <f>17+36.75+173.5+43.25+109.25+121+18+15.75</f>
        <v>534.5</v>
      </c>
      <c r="F14" s="26">
        <f t="shared" si="2"/>
        <v>626.75</v>
      </c>
      <c r="G14" s="20">
        <f t="shared" si="0"/>
        <v>5719.5</v>
      </c>
      <c r="H14" s="71">
        <f t="shared" si="1"/>
        <v>33139</v>
      </c>
      <c r="I14" s="9">
        <f t="shared" si="3"/>
        <v>38858.5</v>
      </c>
    </row>
    <row r="15" spans="1:12" ht="15" customHeight="1" x14ac:dyDescent="0.2">
      <c r="A15" s="2"/>
      <c r="B15" s="4" t="s">
        <v>13</v>
      </c>
      <c r="C15" s="6">
        <v>50</v>
      </c>
      <c r="D15" s="24">
        <f>264.5+10.5+19.25+19.75+34.75</f>
        <v>348.75</v>
      </c>
      <c r="E15" s="6">
        <f>68+51+34.25+38.25</f>
        <v>191.5</v>
      </c>
      <c r="F15" s="26">
        <f t="shared" si="2"/>
        <v>540.25</v>
      </c>
      <c r="G15" s="20">
        <f t="shared" si="0"/>
        <v>17437.5</v>
      </c>
      <c r="H15" s="71">
        <f t="shared" si="1"/>
        <v>9575</v>
      </c>
      <c r="I15" s="9">
        <f t="shared" si="3"/>
        <v>27012.5</v>
      </c>
    </row>
    <row r="16" spans="1:12" ht="15" customHeight="1" x14ac:dyDescent="0.2">
      <c r="A16" s="2"/>
      <c r="B16" s="4" t="s">
        <v>14</v>
      </c>
      <c r="C16" s="6">
        <v>8</v>
      </c>
      <c r="D16" s="24">
        <v>0</v>
      </c>
      <c r="E16" s="6">
        <v>0</v>
      </c>
      <c r="F16" s="26">
        <f t="shared" si="2"/>
        <v>0</v>
      </c>
      <c r="G16" s="20">
        <f t="shared" si="0"/>
        <v>0</v>
      </c>
      <c r="H16" s="71">
        <f t="shared" si="1"/>
        <v>0</v>
      </c>
      <c r="I16" s="9">
        <f t="shared" si="3"/>
        <v>0</v>
      </c>
    </row>
    <row r="17" spans="1:9" ht="15" customHeight="1" x14ac:dyDescent="0.2">
      <c r="A17" s="2"/>
      <c r="B17" s="4" t="s">
        <v>15</v>
      </c>
      <c r="C17" s="6">
        <v>6</v>
      </c>
      <c r="D17" s="24">
        <f>4</f>
        <v>4</v>
      </c>
      <c r="E17" s="6">
        <f>5.75+20.25</f>
        <v>26</v>
      </c>
      <c r="F17" s="26">
        <f t="shared" si="2"/>
        <v>30</v>
      </c>
      <c r="G17" s="20">
        <f t="shared" si="0"/>
        <v>24</v>
      </c>
      <c r="H17" s="71">
        <f t="shared" si="1"/>
        <v>156</v>
      </c>
      <c r="I17" s="9">
        <f t="shared" si="3"/>
        <v>180</v>
      </c>
    </row>
    <row r="18" spans="1:9" ht="15" customHeight="1" x14ac:dyDescent="0.2">
      <c r="A18" s="2"/>
      <c r="B18" s="4" t="s">
        <v>16</v>
      </c>
      <c r="C18" s="6">
        <v>4</v>
      </c>
      <c r="D18" s="24">
        <f>17.5</f>
        <v>17.5</v>
      </c>
      <c r="E18" s="6">
        <f>23+25</f>
        <v>48</v>
      </c>
      <c r="F18" s="26">
        <f t="shared" si="2"/>
        <v>65.5</v>
      </c>
      <c r="G18" s="20">
        <f t="shared" si="0"/>
        <v>70</v>
      </c>
      <c r="H18" s="71">
        <f t="shared" si="1"/>
        <v>192</v>
      </c>
      <c r="I18" s="9">
        <f t="shared" si="3"/>
        <v>262</v>
      </c>
    </row>
    <row r="19" spans="1:9" ht="15" customHeight="1" x14ac:dyDescent="0.2">
      <c r="A19" s="54" t="s">
        <v>3</v>
      </c>
      <c r="B19" s="55"/>
      <c r="C19" s="56"/>
      <c r="D19" s="57">
        <f>SUM(D11:D18)</f>
        <v>3906.5</v>
      </c>
      <c r="E19" s="56">
        <f t="shared" ref="E19:I19" si="4">SUM(E11:E18)</f>
        <v>2243</v>
      </c>
      <c r="F19" s="58">
        <f t="shared" si="4"/>
        <v>6149.5</v>
      </c>
      <c r="G19" s="59">
        <f t="shared" si="4"/>
        <v>392213.5</v>
      </c>
      <c r="H19" s="63">
        <f t="shared" si="4"/>
        <v>177147.75</v>
      </c>
      <c r="I19" s="61">
        <f t="shared" si="4"/>
        <v>569361.25</v>
      </c>
    </row>
    <row r="20" spans="1:9" ht="15" customHeight="1" x14ac:dyDescent="0.2">
      <c r="A20" s="2" t="s">
        <v>5</v>
      </c>
      <c r="B20" s="4" t="s">
        <v>8</v>
      </c>
      <c r="C20" s="6">
        <v>145</v>
      </c>
      <c r="D20" s="24">
        <v>12.75</v>
      </c>
      <c r="E20" s="29">
        <v>0</v>
      </c>
      <c r="F20" s="26">
        <f>SUM(D20:E20)</f>
        <v>12.75</v>
      </c>
      <c r="G20" s="32">
        <f t="shared" si="0"/>
        <v>1848.75</v>
      </c>
      <c r="H20" s="71">
        <f t="shared" si="1"/>
        <v>0</v>
      </c>
      <c r="I20" s="9">
        <f>SUM(G20:H20)</f>
        <v>1848.75</v>
      </c>
    </row>
    <row r="21" spans="1:9" ht="15" customHeight="1" x14ac:dyDescent="0.2">
      <c r="A21" s="2"/>
      <c r="B21" s="4" t="s">
        <v>9</v>
      </c>
      <c r="C21" s="6">
        <v>122</v>
      </c>
      <c r="D21" s="24">
        <f>248.75+38.75+1+82.5+52+27.75</f>
        <v>450.75</v>
      </c>
      <c r="E21" s="6">
        <v>2.5</v>
      </c>
      <c r="F21" s="26">
        <f t="shared" ref="F21:F28" si="5">SUM(D21:E21)</f>
        <v>453.25</v>
      </c>
      <c r="G21" s="32">
        <f t="shared" si="0"/>
        <v>54991.5</v>
      </c>
      <c r="H21" s="71">
        <f t="shared" si="1"/>
        <v>305</v>
      </c>
      <c r="I21" s="9">
        <f t="shared" ref="I21:I28" si="6">SUM(G21:H21)</f>
        <v>55296.5</v>
      </c>
    </row>
    <row r="22" spans="1:9" ht="15" customHeight="1" x14ac:dyDescent="0.2">
      <c r="A22" s="2"/>
      <c r="B22" s="4" t="s">
        <v>10</v>
      </c>
      <c r="C22" s="6">
        <v>95</v>
      </c>
      <c r="D22" s="24">
        <f>374+109+28+119.75+168.5+217.5</f>
        <v>1016.75</v>
      </c>
      <c r="E22" s="6">
        <f>417+18.5</f>
        <v>435.5</v>
      </c>
      <c r="F22" s="26">
        <f t="shared" si="5"/>
        <v>1452.25</v>
      </c>
      <c r="G22" s="32">
        <f t="shared" si="0"/>
        <v>96591.25</v>
      </c>
      <c r="H22" s="71">
        <f t="shared" si="1"/>
        <v>41372.5</v>
      </c>
      <c r="I22" s="9">
        <f t="shared" si="6"/>
        <v>137963.75</v>
      </c>
    </row>
    <row r="23" spans="1:9" ht="15" customHeight="1" x14ac:dyDescent="0.2">
      <c r="A23" s="2"/>
      <c r="B23" s="4" t="s">
        <v>11</v>
      </c>
      <c r="C23" s="6">
        <v>86</v>
      </c>
      <c r="D23" s="24">
        <f>181.5+68.75+63.75+99.75+85.5+123</f>
        <v>622.25</v>
      </c>
      <c r="E23" s="6">
        <f>1017+4.5</f>
        <v>1021.5</v>
      </c>
      <c r="F23" s="26">
        <f t="shared" si="5"/>
        <v>1643.75</v>
      </c>
      <c r="G23" s="32">
        <f t="shared" si="0"/>
        <v>53513.5</v>
      </c>
      <c r="H23" s="71">
        <f t="shared" si="1"/>
        <v>87849</v>
      </c>
      <c r="I23" s="9">
        <f t="shared" si="6"/>
        <v>141362.5</v>
      </c>
    </row>
    <row r="24" spans="1:9" ht="15" customHeight="1" x14ac:dyDescent="0.2">
      <c r="A24" s="2"/>
      <c r="B24" s="4" t="s">
        <v>12</v>
      </c>
      <c r="C24" s="6">
        <v>62</v>
      </c>
      <c r="D24" s="24">
        <f>98.25+33.75+55.75+54+15.25+41</f>
        <v>298</v>
      </c>
      <c r="E24" s="6">
        <v>101.25</v>
      </c>
      <c r="F24" s="26">
        <f t="shared" si="5"/>
        <v>399.25</v>
      </c>
      <c r="G24" s="32">
        <f t="shared" si="0"/>
        <v>18476</v>
      </c>
      <c r="H24" s="71">
        <f t="shared" si="1"/>
        <v>6277.5</v>
      </c>
      <c r="I24" s="9">
        <f t="shared" si="6"/>
        <v>24753.5</v>
      </c>
    </row>
    <row r="25" spans="1:9" ht="15" customHeight="1" x14ac:dyDescent="0.2">
      <c r="A25" s="2"/>
      <c r="B25" s="4" t="s">
        <v>13</v>
      </c>
      <c r="C25" s="6">
        <v>50</v>
      </c>
      <c r="D25" s="24">
        <f>0.5</f>
        <v>0.5</v>
      </c>
      <c r="E25" s="6">
        <v>0</v>
      </c>
      <c r="F25" s="26">
        <f t="shared" si="5"/>
        <v>0.5</v>
      </c>
      <c r="G25" s="32">
        <f t="shared" si="0"/>
        <v>25</v>
      </c>
      <c r="H25" s="71">
        <f t="shared" si="1"/>
        <v>0</v>
      </c>
      <c r="I25" s="9">
        <f t="shared" si="6"/>
        <v>25</v>
      </c>
    </row>
    <row r="26" spans="1:9" ht="15" customHeight="1" x14ac:dyDescent="0.2">
      <c r="A26" s="2"/>
      <c r="B26" s="4" t="s">
        <v>14</v>
      </c>
      <c r="C26" s="6">
        <v>8</v>
      </c>
      <c r="D26" s="24">
        <v>16.25</v>
      </c>
      <c r="E26" s="6">
        <v>29.5</v>
      </c>
      <c r="F26" s="26">
        <f t="shared" si="5"/>
        <v>45.75</v>
      </c>
      <c r="G26" s="32">
        <f t="shared" si="0"/>
        <v>130</v>
      </c>
      <c r="H26" s="71">
        <f t="shared" si="1"/>
        <v>236</v>
      </c>
      <c r="I26" s="9">
        <f t="shared" si="6"/>
        <v>366</v>
      </c>
    </row>
    <row r="27" spans="1:9" ht="15" customHeight="1" x14ac:dyDescent="0.2">
      <c r="A27" s="2"/>
      <c r="B27" s="4" t="s">
        <v>15</v>
      </c>
      <c r="C27" s="6">
        <v>6</v>
      </c>
      <c r="D27" s="24">
        <f>4.5+11+32.25</f>
        <v>47.75</v>
      </c>
      <c r="E27" s="6">
        <v>55.5</v>
      </c>
      <c r="F27" s="26">
        <f t="shared" si="5"/>
        <v>103.25</v>
      </c>
      <c r="G27" s="32">
        <f t="shared" si="0"/>
        <v>286.5</v>
      </c>
      <c r="H27" s="71">
        <f t="shared" si="1"/>
        <v>333</v>
      </c>
      <c r="I27" s="9">
        <f t="shared" si="6"/>
        <v>619.5</v>
      </c>
    </row>
    <row r="28" spans="1:9" ht="15" customHeight="1" x14ac:dyDescent="0.2">
      <c r="A28" s="2"/>
      <c r="B28" s="4" t="s">
        <v>16</v>
      </c>
      <c r="C28" s="6">
        <v>4</v>
      </c>
      <c r="D28" s="24">
        <f>2.5+3.5+25.5+4+9.25</f>
        <v>44.75</v>
      </c>
      <c r="E28" s="6">
        <v>0</v>
      </c>
      <c r="F28" s="26">
        <f t="shared" si="5"/>
        <v>44.75</v>
      </c>
      <c r="G28" s="32">
        <f t="shared" si="0"/>
        <v>179</v>
      </c>
      <c r="H28" s="71">
        <f t="shared" si="1"/>
        <v>0</v>
      </c>
      <c r="I28" s="9">
        <f t="shared" si="6"/>
        <v>179</v>
      </c>
    </row>
    <row r="29" spans="1:9" ht="15" customHeight="1" x14ac:dyDescent="0.2">
      <c r="A29" s="54" t="s">
        <v>3</v>
      </c>
      <c r="B29" s="55"/>
      <c r="C29" s="56"/>
      <c r="D29" s="57">
        <f>SUM(D20:D28)</f>
        <v>2509.75</v>
      </c>
      <c r="E29" s="56">
        <f t="shared" ref="E29:I29" si="7">SUM(E20:E28)</f>
        <v>1645.75</v>
      </c>
      <c r="F29" s="58">
        <f t="shared" si="7"/>
        <v>4155.5</v>
      </c>
      <c r="G29" s="59">
        <f t="shared" si="7"/>
        <v>226041.5</v>
      </c>
      <c r="H29" s="63">
        <f t="shared" si="7"/>
        <v>136373</v>
      </c>
      <c r="I29" s="61">
        <f t="shared" si="7"/>
        <v>362414.5</v>
      </c>
    </row>
    <row r="30" spans="1:9" ht="3.75" customHeight="1" x14ac:dyDescent="0.2">
      <c r="A30" s="7"/>
      <c r="B30" s="18"/>
      <c r="C30" s="28"/>
      <c r="D30" s="27"/>
      <c r="E30" s="8"/>
      <c r="F30" s="28"/>
      <c r="G30" s="21"/>
      <c r="H30" s="72"/>
      <c r="I30" s="15"/>
    </row>
    <row r="31" spans="1:9" ht="15" customHeight="1" x14ac:dyDescent="0.2">
      <c r="A31" s="2" t="s">
        <v>6</v>
      </c>
      <c r="B31" s="4" t="s">
        <v>9</v>
      </c>
      <c r="C31" s="6">
        <v>122</v>
      </c>
      <c r="D31" s="24">
        <f>119+9+0.5+2+2.5+10</f>
        <v>143</v>
      </c>
      <c r="E31" s="6"/>
      <c r="F31" s="26">
        <f>SUM(D31:E31)</f>
        <v>143</v>
      </c>
      <c r="G31" s="20">
        <f>F31*C31</f>
        <v>17446</v>
      </c>
      <c r="H31" s="71"/>
      <c r="I31" s="9">
        <f>SUM(G31:H31)</f>
        <v>17446</v>
      </c>
    </row>
    <row r="32" spans="1:9" ht="15" customHeight="1" x14ac:dyDescent="0.2">
      <c r="A32" s="2"/>
      <c r="B32" s="4" t="s">
        <v>10</v>
      </c>
      <c r="C32" s="6">
        <v>95</v>
      </c>
      <c r="D32" s="24">
        <f>97.25+10+35.75+7</f>
        <v>150</v>
      </c>
      <c r="E32" s="6"/>
      <c r="F32" s="26">
        <f t="shared" ref="F32:F33" si="8">SUM(D32:E32)</f>
        <v>150</v>
      </c>
      <c r="G32" s="20">
        <f>F32*C32</f>
        <v>14250</v>
      </c>
      <c r="H32" s="71"/>
      <c r="I32" s="9">
        <f t="shared" ref="I32:I38" si="9">SUM(G32:H32)</f>
        <v>14250</v>
      </c>
    </row>
    <row r="33" spans="1:9" ht="15" customHeight="1" x14ac:dyDescent="0.2">
      <c r="A33" s="2"/>
      <c r="B33" s="4" t="s">
        <v>11</v>
      </c>
      <c r="C33" s="6">
        <v>86</v>
      </c>
      <c r="D33" s="24">
        <v>0.5</v>
      </c>
      <c r="E33" s="6"/>
      <c r="F33" s="26">
        <f t="shared" si="8"/>
        <v>0.5</v>
      </c>
      <c r="G33" s="20">
        <f>F33*C33</f>
        <v>43</v>
      </c>
      <c r="H33" s="71"/>
      <c r="I33" s="9">
        <f t="shared" si="9"/>
        <v>43</v>
      </c>
    </row>
    <row r="34" spans="1:9" ht="15" customHeight="1" x14ac:dyDescent="0.2">
      <c r="A34" s="54" t="s">
        <v>3</v>
      </c>
      <c r="B34" s="55"/>
      <c r="C34" s="56"/>
      <c r="D34" s="57">
        <f>SUM(D31:D33)</f>
        <v>293.5</v>
      </c>
      <c r="E34" s="56">
        <f t="shared" ref="E34:I34" si="10">SUM(E31:E33)</f>
        <v>0</v>
      </c>
      <c r="F34" s="58">
        <f t="shared" si="10"/>
        <v>293.5</v>
      </c>
      <c r="G34" s="62">
        <f t="shared" si="10"/>
        <v>31739</v>
      </c>
      <c r="H34" s="63">
        <f t="shared" si="10"/>
        <v>0</v>
      </c>
      <c r="I34" s="61">
        <f t="shared" si="10"/>
        <v>31739</v>
      </c>
    </row>
    <row r="35" spans="1:9" ht="15" customHeight="1" x14ac:dyDescent="0.2">
      <c r="A35" s="2" t="s">
        <v>7</v>
      </c>
      <c r="B35" s="4" t="s">
        <v>9</v>
      </c>
      <c r="C35" s="6">
        <v>122</v>
      </c>
      <c r="D35" s="24">
        <f>11.25+1.5+1+2+3+11.5</f>
        <v>30.25</v>
      </c>
      <c r="E35" s="6"/>
      <c r="F35" s="26">
        <f>SUM(D35:E35)</f>
        <v>30.25</v>
      </c>
      <c r="G35" s="20">
        <f>F35*C35</f>
        <v>3690.5</v>
      </c>
      <c r="H35" s="71"/>
      <c r="I35" s="9">
        <f t="shared" si="9"/>
        <v>3690.5</v>
      </c>
    </row>
    <row r="36" spans="1:9" ht="15" customHeight="1" x14ac:dyDescent="0.2">
      <c r="A36" s="2"/>
      <c r="B36" s="4" t="s">
        <v>10</v>
      </c>
      <c r="C36" s="6">
        <v>95</v>
      </c>
      <c r="D36" s="24">
        <v>6.25</v>
      </c>
      <c r="E36" s="6"/>
      <c r="F36" s="26">
        <f t="shared" ref="F36:F38" si="11">SUM(D36:E36)</f>
        <v>6.25</v>
      </c>
      <c r="G36" s="20">
        <f>F36*C36</f>
        <v>593.75</v>
      </c>
      <c r="H36" s="71"/>
      <c r="I36" s="9">
        <f t="shared" si="9"/>
        <v>593.75</v>
      </c>
    </row>
    <row r="37" spans="1:9" ht="15" customHeight="1" x14ac:dyDescent="0.2">
      <c r="A37" s="2"/>
      <c r="B37" s="4" t="s">
        <v>11</v>
      </c>
      <c r="C37" s="6">
        <v>86</v>
      </c>
      <c r="D37" s="24">
        <f>12.5+31.25+8.5</f>
        <v>52.25</v>
      </c>
      <c r="E37" s="6"/>
      <c r="F37" s="26">
        <f t="shared" ref="F37" si="12">SUM(D37:E37)</f>
        <v>52.25</v>
      </c>
      <c r="G37" s="20">
        <f>F37*C37</f>
        <v>4493.5</v>
      </c>
      <c r="H37" s="71"/>
      <c r="I37" s="9">
        <f t="shared" ref="I37" si="13">SUM(G37:H37)</f>
        <v>4493.5</v>
      </c>
    </row>
    <row r="38" spans="1:9" ht="15" customHeight="1" x14ac:dyDescent="0.2">
      <c r="A38" s="2"/>
      <c r="B38" s="4" t="s">
        <v>12</v>
      </c>
      <c r="C38" s="6">
        <v>62</v>
      </c>
      <c r="D38" s="24">
        <f>0.25+0.5</f>
        <v>0.75</v>
      </c>
      <c r="E38" s="6"/>
      <c r="F38" s="26">
        <f t="shared" si="11"/>
        <v>0.75</v>
      </c>
      <c r="G38" s="20">
        <f>F38*C38</f>
        <v>46.5</v>
      </c>
      <c r="H38" s="71"/>
      <c r="I38" s="9">
        <f t="shared" si="9"/>
        <v>46.5</v>
      </c>
    </row>
    <row r="39" spans="1:9" ht="15" customHeight="1" x14ac:dyDescent="0.2">
      <c r="A39" s="54" t="s">
        <v>3</v>
      </c>
      <c r="B39" s="55"/>
      <c r="C39" s="56"/>
      <c r="D39" s="57">
        <f>SUM(D35:D38)</f>
        <v>89.5</v>
      </c>
      <c r="E39" s="56">
        <f t="shared" ref="E39:I39" si="14">SUM(E35:E38)</f>
        <v>0</v>
      </c>
      <c r="F39" s="58">
        <f t="shared" si="14"/>
        <v>89.5</v>
      </c>
      <c r="G39" s="62">
        <f t="shared" si="14"/>
        <v>8824.25</v>
      </c>
      <c r="H39" s="63">
        <f t="shared" si="14"/>
        <v>0</v>
      </c>
      <c r="I39" s="61">
        <f t="shared" si="14"/>
        <v>8824.25</v>
      </c>
    </row>
    <row r="40" spans="1:9" ht="28.5" customHeight="1" thickBot="1" x14ac:dyDescent="0.25">
      <c r="A40" s="64" t="s">
        <v>22</v>
      </c>
      <c r="B40" s="65"/>
      <c r="C40" s="65"/>
      <c r="D40" s="66">
        <f>D19+D29+D34+D39</f>
        <v>6799.25</v>
      </c>
      <c r="E40" s="66">
        <f t="shared" ref="E40:I40" si="15">E19+E29+E34+E39</f>
        <v>3888.75</v>
      </c>
      <c r="F40" s="66">
        <f t="shared" si="15"/>
        <v>10688</v>
      </c>
      <c r="G40" s="66">
        <f t="shared" si="15"/>
        <v>658818.25</v>
      </c>
      <c r="H40" s="73">
        <f>H19+H29+H34+H39</f>
        <v>313520.75</v>
      </c>
      <c r="I40" s="67">
        <f t="shared" si="15"/>
        <v>972339</v>
      </c>
    </row>
    <row r="42" spans="1:9" x14ac:dyDescent="0.2">
      <c r="A42" s="102" t="s">
        <v>23</v>
      </c>
      <c r="B42" s="103"/>
      <c r="C42" s="50"/>
      <c r="D42" s="50"/>
      <c r="E42" s="50"/>
      <c r="F42" s="50"/>
      <c r="G42" s="49">
        <f>G40/D40</f>
        <v>96.895723793065414</v>
      </c>
      <c r="H42" s="49">
        <f t="shared" ref="H42:I42" si="16">H40/E40</f>
        <v>80.622500803600133</v>
      </c>
      <c r="I42" s="49">
        <f t="shared" si="16"/>
        <v>90.97483158682634</v>
      </c>
    </row>
  </sheetData>
  <mergeCells count="2">
    <mergeCell ref="D8:F8"/>
    <mergeCell ref="A42:B42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opLeftCell="A4" zoomScaleNormal="100" workbookViewId="0">
      <selection activeCell="M32" sqref="M32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4" width="15.28515625" customWidth="1" outlineLevel="1" collapsed="1"/>
    <col min="5" max="5" width="15.28515625" customWidth="1"/>
    <col min="6" max="6" width="15.28515625" customWidth="1" outlineLevel="1"/>
    <col min="7" max="7" width="15.28515625" customWidth="1" outlineLevel="1" collapsed="1"/>
    <col min="8" max="8" width="15.28515625" customWidth="1"/>
    <col min="9" max="9" width="15.28515625" customWidth="1" outlineLevel="1"/>
  </cols>
  <sheetData>
    <row r="1" spans="1:17" ht="15" x14ac:dyDescent="0.25">
      <c r="A1" s="13" t="s">
        <v>28</v>
      </c>
      <c r="L1" s="70" t="s">
        <v>29</v>
      </c>
    </row>
    <row r="2" spans="1:17" ht="15" x14ac:dyDescent="0.25">
      <c r="A2" s="13"/>
      <c r="L2" s="70"/>
    </row>
    <row r="3" spans="1:17" ht="15" x14ac:dyDescent="0.25">
      <c r="A3" s="13"/>
      <c r="L3" s="70" t="s">
        <v>27</v>
      </c>
    </row>
    <row r="4" spans="1:17" ht="15" x14ac:dyDescent="0.25">
      <c r="A4" s="13"/>
    </row>
    <row r="5" spans="1:17" ht="15" x14ac:dyDescent="0.25">
      <c r="A5" s="13" t="s">
        <v>21</v>
      </c>
    </row>
    <row r="6" spans="1:17" ht="15" x14ac:dyDescent="0.25">
      <c r="A6" s="13" t="s">
        <v>33</v>
      </c>
    </row>
    <row r="7" spans="1:17" ht="13.5" thickBot="1" x14ac:dyDescent="0.25"/>
    <row r="8" spans="1:17" ht="17.25" customHeight="1" x14ac:dyDescent="0.2">
      <c r="A8" s="1"/>
      <c r="B8" s="16" t="s">
        <v>17</v>
      </c>
      <c r="C8" s="68"/>
      <c r="D8" s="99" t="s">
        <v>0</v>
      </c>
      <c r="E8" s="100"/>
      <c r="F8" s="101"/>
      <c r="G8" s="68" t="s">
        <v>4</v>
      </c>
      <c r="H8" s="69" t="s">
        <v>4</v>
      </c>
      <c r="I8" s="69"/>
      <c r="J8" s="2"/>
    </row>
    <row r="9" spans="1:17" ht="19.5" customHeight="1" x14ac:dyDescent="0.2">
      <c r="A9" s="7"/>
      <c r="B9" s="17"/>
      <c r="C9" s="31"/>
      <c r="D9" s="22" t="s">
        <v>1</v>
      </c>
      <c r="E9" s="11" t="s">
        <v>2</v>
      </c>
      <c r="F9" s="23" t="s">
        <v>3</v>
      </c>
      <c r="G9" s="19" t="s">
        <v>1</v>
      </c>
      <c r="H9" s="23" t="s">
        <v>2</v>
      </c>
      <c r="I9" s="12" t="s">
        <v>3</v>
      </c>
      <c r="P9" t="s">
        <v>30</v>
      </c>
      <c r="Q9" t="s">
        <v>31</v>
      </c>
    </row>
    <row r="10" spans="1:17" ht="15" customHeight="1" x14ac:dyDescent="0.2">
      <c r="A10" s="2" t="s">
        <v>20</v>
      </c>
      <c r="B10" s="4" t="s">
        <v>8</v>
      </c>
      <c r="C10" s="6">
        <v>145</v>
      </c>
      <c r="D10" s="24"/>
      <c r="E10" s="6"/>
      <c r="F10" s="25"/>
      <c r="G10" s="5"/>
      <c r="H10" s="25"/>
      <c r="I10" s="3"/>
      <c r="P10">
        <v>5882</v>
      </c>
      <c r="Q10">
        <v>2400.5</v>
      </c>
    </row>
    <row r="11" spans="1:17" ht="15" customHeight="1" x14ac:dyDescent="0.2">
      <c r="A11" s="2" t="s">
        <v>19</v>
      </c>
      <c r="B11" s="4" t="s">
        <v>9</v>
      </c>
      <c r="C11" s="6">
        <v>122</v>
      </c>
      <c r="D11" s="24">
        <f>1129.5+146+130.25+113+118+163.75+182.75+171</f>
        <v>2154.25</v>
      </c>
      <c r="E11" s="6">
        <f>8.5+1.5+3+3.5</f>
        <v>16.5</v>
      </c>
      <c r="F11" s="26">
        <f>SUM(D11:E11)</f>
        <v>2170.75</v>
      </c>
      <c r="G11" s="20">
        <f t="shared" ref="G11:G28" si="0">D11*C11</f>
        <v>262818.5</v>
      </c>
      <c r="H11" s="71">
        <f t="shared" ref="H11:H28" si="1">E11*C11</f>
        <v>2013</v>
      </c>
      <c r="I11" s="9">
        <f>SUM(G11:H11)</f>
        <v>264831.5</v>
      </c>
      <c r="P11">
        <v>16301.5</v>
      </c>
      <c r="Q11">
        <v>4708</v>
      </c>
    </row>
    <row r="12" spans="1:17" ht="15" customHeight="1" x14ac:dyDescent="0.2">
      <c r="A12" s="2"/>
      <c r="B12" s="4" t="s">
        <v>10</v>
      </c>
      <c r="C12" s="6">
        <v>95</v>
      </c>
      <c r="D12" s="24">
        <f>501+90.25+65.75+95.5+88.5+43.5+107.25+141.5</f>
        <v>1133.25</v>
      </c>
      <c r="E12" s="6">
        <f>51+160.5+86+148.5+114.75+158.75+71.25+121.25+102.75+14.75+1+9.5+3.75</f>
        <v>1043.75</v>
      </c>
      <c r="F12" s="26">
        <f t="shared" ref="F12:F18" si="2">SUM(D12:E12)</f>
        <v>2177</v>
      </c>
      <c r="G12" s="20">
        <f t="shared" si="0"/>
        <v>107658.75</v>
      </c>
      <c r="H12" s="71">
        <f t="shared" si="1"/>
        <v>99156.25</v>
      </c>
      <c r="I12" s="9">
        <f t="shared" ref="I12:I18" si="3">SUM(G12:H12)</f>
        <v>206815</v>
      </c>
      <c r="P12">
        <v>10749.5</v>
      </c>
      <c r="Q12">
        <v>8151.5</v>
      </c>
    </row>
    <row r="13" spans="1:17" ht="15" customHeight="1" x14ac:dyDescent="0.2">
      <c r="A13" s="2"/>
      <c r="B13" s="4" t="s">
        <v>11</v>
      </c>
      <c r="C13" s="6">
        <v>86</v>
      </c>
      <c r="D13" s="24">
        <f>243.5+99.5+85+88.75+129.75+112.5+102.75+203</f>
        <v>1064.75</v>
      </c>
      <c r="E13" s="6">
        <f>104.5+30+50.75+71.5+75.5+3.5+44.25+0.5+1+0.75+0.5</f>
        <v>382.75</v>
      </c>
      <c r="F13" s="26">
        <f t="shared" si="2"/>
        <v>1447.5</v>
      </c>
      <c r="G13" s="20">
        <f t="shared" si="0"/>
        <v>91568.5</v>
      </c>
      <c r="H13" s="71">
        <f t="shared" si="1"/>
        <v>32916.5</v>
      </c>
      <c r="I13" s="9">
        <f t="shared" si="3"/>
        <v>124485</v>
      </c>
      <c r="P13">
        <v>34940.5</v>
      </c>
      <c r="Q13">
        <v>14636.5</v>
      </c>
    </row>
    <row r="14" spans="1:17" ht="15" customHeight="1" x14ac:dyDescent="0.2">
      <c r="A14" s="2"/>
      <c r="B14" s="4" t="s">
        <v>12</v>
      </c>
      <c r="C14" s="6">
        <v>62</v>
      </c>
      <c r="D14" s="24">
        <f>80.75+11+0.5</f>
        <v>92.25</v>
      </c>
      <c r="E14" s="6">
        <f>17+36.75+173.5+43.25+109.25+121+18+15.75</f>
        <v>534.5</v>
      </c>
      <c r="F14" s="26">
        <f t="shared" si="2"/>
        <v>626.75</v>
      </c>
      <c r="G14" s="20">
        <f t="shared" si="0"/>
        <v>5719.5</v>
      </c>
      <c r="H14" s="71">
        <f t="shared" si="1"/>
        <v>33139</v>
      </c>
      <c r="I14" s="9">
        <f t="shared" si="3"/>
        <v>38858.5</v>
      </c>
      <c r="P14">
        <v>19731.75</v>
      </c>
      <c r="Q14">
        <v>8637.5</v>
      </c>
    </row>
    <row r="15" spans="1:17" ht="15" customHeight="1" x14ac:dyDescent="0.2">
      <c r="A15" s="2"/>
      <c r="B15" s="4" t="s">
        <v>13</v>
      </c>
      <c r="C15" s="6">
        <v>50</v>
      </c>
      <c r="D15" s="24">
        <f>264.5+10.5+19.25+19.75+34.75+40.25+59</f>
        <v>448</v>
      </c>
      <c r="E15" s="6">
        <f>68+51+34.25+38.25</f>
        <v>191.5</v>
      </c>
      <c r="F15" s="26">
        <f t="shared" si="2"/>
        <v>639.5</v>
      </c>
      <c r="G15" s="20">
        <f t="shared" si="0"/>
        <v>22400</v>
      </c>
      <c r="H15" s="71">
        <f t="shared" si="1"/>
        <v>9575</v>
      </c>
      <c r="I15" s="9">
        <f t="shared" si="3"/>
        <v>31975</v>
      </c>
      <c r="P15">
        <v>26219.25</v>
      </c>
      <c r="Q15">
        <v>23161.5</v>
      </c>
    </row>
    <row r="16" spans="1:17" ht="15" customHeight="1" x14ac:dyDescent="0.2">
      <c r="A16" s="2"/>
      <c r="B16" s="4" t="s">
        <v>14</v>
      </c>
      <c r="C16" s="6">
        <v>8</v>
      </c>
      <c r="D16" s="24">
        <v>0</v>
      </c>
      <c r="E16" s="6">
        <v>0</v>
      </c>
      <c r="F16" s="26">
        <f t="shared" si="2"/>
        <v>0</v>
      </c>
      <c r="G16" s="20">
        <f t="shared" si="0"/>
        <v>0</v>
      </c>
      <c r="H16" s="71">
        <f t="shared" si="1"/>
        <v>0</v>
      </c>
      <c r="I16" s="9">
        <f t="shared" si="3"/>
        <v>0</v>
      </c>
      <c r="P16">
        <v>19400.75</v>
      </c>
      <c r="Q16">
        <v>30423.5</v>
      </c>
    </row>
    <row r="17" spans="1:17" ht="15" customHeight="1" x14ac:dyDescent="0.2">
      <c r="A17" s="2"/>
      <c r="B17" s="4" t="s">
        <v>15</v>
      </c>
      <c r="C17" s="6">
        <v>6</v>
      </c>
      <c r="D17" s="24">
        <f>4+27.5</f>
        <v>31.5</v>
      </c>
      <c r="E17" s="6">
        <f>5.75+20.25</f>
        <v>26</v>
      </c>
      <c r="F17" s="26">
        <f t="shared" si="2"/>
        <v>57.5</v>
      </c>
      <c r="G17" s="20">
        <f t="shared" si="0"/>
        <v>189</v>
      </c>
      <c r="H17" s="71">
        <f t="shared" si="1"/>
        <v>156</v>
      </c>
      <c r="I17" s="9">
        <f t="shared" si="3"/>
        <v>345</v>
      </c>
      <c r="P17">
        <v>23334.25</v>
      </c>
      <c r="Q17">
        <v>26793</v>
      </c>
    </row>
    <row r="18" spans="1:17" ht="15" customHeight="1" x14ac:dyDescent="0.2">
      <c r="A18" s="2"/>
      <c r="B18" s="4" t="s">
        <v>16</v>
      </c>
      <c r="C18" s="6">
        <v>4</v>
      </c>
      <c r="D18" s="24">
        <f>17.5+15.5+14.5</f>
        <v>47.5</v>
      </c>
      <c r="E18" s="6">
        <f>23+25</f>
        <v>48</v>
      </c>
      <c r="F18" s="26">
        <f t="shared" si="2"/>
        <v>95.5</v>
      </c>
      <c r="G18" s="20">
        <f t="shared" si="0"/>
        <v>190</v>
      </c>
      <c r="H18" s="71">
        <f t="shared" si="1"/>
        <v>192</v>
      </c>
      <c r="I18" s="9">
        <f t="shared" si="3"/>
        <v>382</v>
      </c>
      <c r="P18">
        <v>16582.25</v>
      </c>
      <c r="Q18">
        <v>15316.5</v>
      </c>
    </row>
    <row r="19" spans="1:17" ht="15" customHeight="1" x14ac:dyDescent="0.2">
      <c r="A19" s="54" t="s">
        <v>3</v>
      </c>
      <c r="B19" s="55"/>
      <c r="C19" s="56"/>
      <c r="D19" s="57">
        <f>SUM(D11:D18)</f>
        <v>4971.5</v>
      </c>
      <c r="E19" s="56">
        <f t="shared" ref="E19:I19" si="4">SUM(E11:E18)</f>
        <v>2243</v>
      </c>
      <c r="F19" s="58">
        <f t="shared" si="4"/>
        <v>7214.5</v>
      </c>
      <c r="G19" s="59">
        <f t="shared" si="4"/>
        <v>490544.25</v>
      </c>
      <c r="H19" s="63">
        <f t="shared" si="4"/>
        <v>177147.75</v>
      </c>
      <c r="I19" s="61">
        <f t="shared" si="4"/>
        <v>667692</v>
      </c>
      <c r="P19">
        <v>1665.75</v>
      </c>
      <c r="Q19">
        <v>2144.5</v>
      </c>
    </row>
    <row r="20" spans="1:17" ht="15" customHeight="1" x14ac:dyDescent="0.2">
      <c r="A20" s="2" t="s">
        <v>5</v>
      </c>
      <c r="B20" s="4" t="s">
        <v>8</v>
      </c>
      <c r="C20" s="6">
        <v>145</v>
      </c>
      <c r="D20" s="24">
        <v>12.75</v>
      </c>
      <c r="E20" s="29">
        <v>0</v>
      </c>
      <c r="F20" s="26">
        <f>SUM(D20:E20)</f>
        <v>12.75</v>
      </c>
      <c r="G20" s="32">
        <f t="shared" si="0"/>
        <v>1848.75</v>
      </c>
      <c r="H20" s="71">
        <f t="shared" si="1"/>
        <v>0</v>
      </c>
      <c r="I20" s="9">
        <f>SUM(G20:H20)</f>
        <v>1848.75</v>
      </c>
      <c r="P20">
        <v>95</v>
      </c>
    </row>
    <row r="21" spans="1:17" ht="15" customHeight="1" x14ac:dyDescent="0.2">
      <c r="A21" s="2"/>
      <c r="B21" s="4" t="s">
        <v>9</v>
      </c>
      <c r="C21" s="6">
        <v>122</v>
      </c>
      <c r="D21" s="24">
        <f>248.75+38.75+1+82.5+52+27.75+15.5+83.25</f>
        <v>549.5</v>
      </c>
      <c r="E21" s="6">
        <v>2.5</v>
      </c>
      <c r="F21" s="26">
        <f t="shared" ref="F21:F28" si="5">SUM(D21:E21)</f>
        <v>552</v>
      </c>
      <c r="G21" s="32">
        <f t="shared" si="0"/>
        <v>67039</v>
      </c>
      <c r="H21" s="71">
        <f t="shared" si="1"/>
        <v>305</v>
      </c>
      <c r="I21" s="9">
        <f t="shared" ref="I21:I28" si="6">SUM(G21:H21)</f>
        <v>67344</v>
      </c>
      <c r="P21">
        <v>1268.5</v>
      </c>
    </row>
    <row r="22" spans="1:17" ht="15" customHeight="1" x14ac:dyDescent="0.2">
      <c r="A22" s="2"/>
      <c r="B22" s="4" t="s">
        <v>10</v>
      </c>
      <c r="C22" s="6">
        <v>95</v>
      </c>
      <c r="D22" s="24">
        <f>374+109+28+119.75+168.5+217.5+222.25+149.5</f>
        <v>1388.5</v>
      </c>
      <c r="E22" s="6">
        <f>417+18.5</f>
        <v>435.5</v>
      </c>
      <c r="F22" s="26">
        <f t="shared" si="5"/>
        <v>1824</v>
      </c>
      <c r="G22" s="32">
        <f t="shared" si="0"/>
        <v>131907.5</v>
      </c>
      <c r="H22" s="71">
        <f t="shared" si="1"/>
        <v>41372.5</v>
      </c>
      <c r="I22" s="9">
        <f t="shared" si="6"/>
        <v>173280</v>
      </c>
      <c r="O22" t="s">
        <v>32</v>
      </c>
      <c r="P22">
        <v>976.75</v>
      </c>
    </row>
    <row r="23" spans="1:17" ht="15" customHeight="1" x14ac:dyDescent="0.2">
      <c r="A23" s="2"/>
      <c r="B23" s="4" t="s">
        <v>11</v>
      </c>
      <c r="C23" s="6">
        <v>86</v>
      </c>
      <c r="D23" s="24">
        <f>181.5+68.75+63.75+99.75+85.5+123+84+136.5</f>
        <v>842.75</v>
      </c>
      <c r="E23" s="6">
        <f>1017+4.5</f>
        <v>1021.5</v>
      </c>
      <c r="F23" s="26">
        <f t="shared" si="5"/>
        <v>1864.25</v>
      </c>
      <c r="G23" s="32">
        <f t="shared" si="0"/>
        <v>72476.5</v>
      </c>
      <c r="H23" s="71">
        <f t="shared" si="1"/>
        <v>87849</v>
      </c>
      <c r="I23" s="9">
        <f t="shared" si="6"/>
        <v>160325.5</v>
      </c>
    </row>
    <row r="24" spans="1:17" ht="15" customHeight="1" x14ac:dyDescent="0.2">
      <c r="A24" s="2"/>
      <c r="B24" s="4" t="s">
        <v>12</v>
      </c>
      <c r="C24" s="6">
        <v>62</v>
      </c>
      <c r="D24" s="24">
        <f>98.25+33.75+55.75+54+15.25+41+120.75+48.25</f>
        <v>467</v>
      </c>
      <c r="E24" s="6">
        <v>101.25</v>
      </c>
      <c r="F24" s="26">
        <f t="shared" si="5"/>
        <v>568.25</v>
      </c>
      <c r="G24" s="32">
        <f t="shared" si="0"/>
        <v>28954</v>
      </c>
      <c r="H24" s="71">
        <f t="shared" si="1"/>
        <v>6277.5</v>
      </c>
      <c r="I24" s="9">
        <f t="shared" si="6"/>
        <v>35231.5</v>
      </c>
      <c r="P24">
        <f>SUM(P10:P23)</f>
        <v>177147.75</v>
      </c>
      <c r="Q24">
        <f>SUM(Q10:Q23)</f>
        <v>136373</v>
      </c>
    </row>
    <row r="25" spans="1:17" ht="15" customHeight="1" x14ac:dyDescent="0.2">
      <c r="A25" s="2"/>
      <c r="B25" s="4" t="s">
        <v>13</v>
      </c>
      <c r="C25" s="6">
        <v>50</v>
      </c>
      <c r="D25" s="24">
        <f>0.5+5+7</f>
        <v>12.5</v>
      </c>
      <c r="E25" s="6">
        <v>0</v>
      </c>
      <c r="F25" s="26">
        <f t="shared" si="5"/>
        <v>12.5</v>
      </c>
      <c r="G25" s="32">
        <f t="shared" si="0"/>
        <v>625</v>
      </c>
      <c r="H25" s="71">
        <f t="shared" si="1"/>
        <v>0</v>
      </c>
      <c r="I25" s="9">
        <f t="shared" si="6"/>
        <v>625</v>
      </c>
    </row>
    <row r="26" spans="1:17" ht="15" customHeight="1" x14ac:dyDescent="0.2">
      <c r="A26" s="2"/>
      <c r="B26" s="4" t="s">
        <v>14</v>
      </c>
      <c r="C26" s="6">
        <v>8</v>
      </c>
      <c r="D26" s="24">
        <v>16.25</v>
      </c>
      <c r="E26" s="6">
        <v>29.5</v>
      </c>
      <c r="F26" s="26">
        <f t="shared" si="5"/>
        <v>45.75</v>
      </c>
      <c r="G26" s="32">
        <f t="shared" si="0"/>
        <v>130</v>
      </c>
      <c r="H26" s="71">
        <f t="shared" si="1"/>
        <v>236</v>
      </c>
      <c r="I26" s="9">
        <f t="shared" si="6"/>
        <v>366</v>
      </c>
    </row>
    <row r="27" spans="1:17" ht="15" customHeight="1" x14ac:dyDescent="0.2">
      <c r="A27" s="2"/>
      <c r="B27" s="4" t="s">
        <v>15</v>
      </c>
      <c r="C27" s="6">
        <v>6</v>
      </c>
      <c r="D27" s="24">
        <f>4.5+11+32.25</f>
        <v>47.75</v>
      </c>
      <c r="E27" s="6">
        <v>55.5</v>
      </c>
      <c r="F27" s="26">
        <f t="shared" si="5"/>
        <v>103.25</v>
      </c>
      <c r="G27" s="32">
        <f t="shared" si="0"/>
        <v>286.5</v>
      </c>
      <c r="H27" s="71">
        <f t="shared" si="1"/>
        <v>333</v>
      </c>
      <c r="I27" s="9">
        <f t="shared" si="6"/>
        <v>619.5</v>
      </c>
    </row>
    <row r="28" spans="1:17" ht="15" customHeight="1" x14ac:dyDescent="0.2">
      <c r="A28" s="2"/>
      <c r="B28" s="4" t="s">
        <v>16</v>
      </c>
      <c r="C28" s="6">
        <v>4</v>
      </c>
      <c r="D28" s="24">
        <f>2.5+3.5+25.5+4+9.25+4</f>
        <v>48.75</v>
      </c>
      <c r="E28" s="6">
        <v>0</v>
      </c>
      <c r="F28" s="26">
        <f t="shared" si="5"/>
        <v>48.75</v>
      </c>
      <c r="G28" s="32">
        <f t="shared" si="0"/>
        <v>195</v>
      </c>
      <c r="H28" s="71">
        <f t="shared" si="1"/>
        <v>0</v>
      </c>
      <c r="I28" s="9">
        <f t="shared" si="6"/>
        <v>195</v>
      </c>
    </row>
    <row r="29" spans="1:17" ht="15" customHeight="1" x14ac:dyDescent="0.2">
      <c r="A29" s="54" t="s">
        <v>3</v>
      </c>
      <c r="B29" s="55"/>
      <c r="C29" s="56"/>
      <c r="D29" s="57">
        <f>SUM(D20:D28)</f>
        <v>3385.75</v>
      </c>
      <c r="E29" s="56">
        <f t="shared" ref="E29:I29" si="7">SUM(E20:E28)</f>
        <v>1645.75</v>
      </c>
      <c r="F29" s="58">
        <f t="shared" si="7"/>
        <v>5031.5</v>
      </c>
      <c r="G29" s="59">
        <f t="shared" si="7"/>
        <v>303462.25</v>
      </c>
      <c r="H29" s="63">
        <f t="shared" si="7"/>
        <v>136373</v>
      </c>
      <c r="I29" s="61">
        <f t="shared" si="7"/>
        <v>439835.25</v>
      </c>
    </row>
    <row r="30" spans="1:17" ht="3.75" customHeight="1" x14ac:dyDescent="0.2">
      <c r="A30" s="7"/>
      <c r="B30" s="18"/>
      <c r="C30" s="28"/>
      <c r="D30" s="27"/>
      <c r="E30" s="8"/>
      <c r="F30" s="28"/>
      <c r="G30" s="21"/>
      <c r="H30" s="72"/>
      <c r="I30" s="15"/>
    </row>
    <row r="31" spans="1:17" ht="15" customHeight="1" x14ac:dyDescent="0.2">
      <c r="A31" s="2" t="s">
        <v>6</v>
      </c>
      <c r="B31" s="4" t="s">
        <v>9</v>
      </c>
      <c r="C31" s="6">
        <v>122</v>
      </c>
      <c r="D31" s="24">
        <f>119+9+0.5+2+2.5+10+8+4</f>
        <v>155</v>
      </c>
      <c r="E31" s="6"/>
      <c r="F31" s="26">
        <f>SUM(D31:E31)</f>
        <v>155</v>
      </c>
      <c r="G31" s="20">
        <f>F31*C31</f>
        <v>18910</v>
      </c>
      <c r="H31" s="71"/>
      <c r="I31" s="9">
        <f>SUM(G31:H31)</f>
        <v>18910</v>
      </c>
    </row>
    <row r="32" spans="1:17" ht="15" customHeight="1" x14ac:dyDescent="0.2">
      <c r="A32" s="2"/>
      <c r="B32" s="4" t="s">
        <v>10</v>
      </c>
      <c r="C32" s="6">
        <v>95</v>
      </c>
      <c r="D32" s="24">
        <f>97.25+10+35.75+7+2+3</f>
        <v>155</v>
      </c>
      <c r="E32" s="6"/>
      <c r="F32" s="26">
        <f t="shared" ref="F32:F33" si="8">SUM(D32:E32)</f>
        <v>155</v>
      </c>
      <c r="G32" s="20">
        <f>F32*C32</f>
        <v>14725</v>
      </c>
      <c r="H32" s="71"/>
      <c r="I32" s="9">
        <f t="shared" ref="I32:I38" si="9">SUM(G32:H32)</f>
        <v>14725</v>
      </c>
    </row>
    <row r="33" spans="1:9" ht="15" customHeight="1" x14ac:dyDescent="0.2">
      <c r="A33" s="2"/>
      <c r="B33" s="4" t="s">
        <v>11</v>
      </c>
      <c r="C33" s="6">
        <v>86</v>
      </c>
      <c r="D33" s="24">
        <v>0.5</v>
      </c>
      <c r="E33" s="6"/>
      <c r="F33" s="26">
        <f t="shared" si="8"/>
        <v>0.5</v>
      </c>
      <c r="G33" s="20">
        <f>F33*C33</f>
        <v>43</v>
      </c>
      <c r="H33" s="71"/>
      <c r="I33" s="9">
        <f t="shared" si="9"/>
        <v>43</v>
      </c>
    </row>
    <row r="34" spans="1:9" ht="15" customHeight="1" x14ac:dyDescent="0.2">
      <c r="A34" s="54" t="s">
        <v>3</v>
      </c>
      <c r="B34" s="55"/>
      <c r="C34" s="56"/>
      <c r="D34" s="57">
        <f>SUM(D31:D33)</f>
        <v>310.5</v>
      </c>
      <c r="E34" s="56">
        <f t="shared" ref="E34:I34" si="10">SUM(E31:E33)</f>
        <v>0</v>
      </c>
      <c r="F34" s="58">
        <f t="shared" si="10"/>
        <v>310.5</v>
      </c>
      <c r="G34" s="62">
        <f t="shared" si="10"/>
        <v>33678</v>
      </c>
      <c r="H34" s="63">
        <f t="shared" si="10"/>
        <v>0</v>
      </c>
      <c r="I34" s="61">
        <f t="shared" si="10"/>
        <v>33678</v>
      </c>
    </row>
    <row r="35" spans="1:9" ht="15" customHeight="1" x14ac:dyDescent="0.2">
      <c r="A35" s="2" t="s">
        <v>7</v>
      </c>
      <c r="B35" s="4" t="s">
        <v>9</v>
      </c>
      <c r="C35" s="6">
        <v>122</v>
      </c>
      <c r="D35" s="24">
        <f>11.25+1.5+1+2+3+11.5+5.25+15</f>
        <v>50.5</v>
      </c>
      <c r="E35" s="6"/>
      <c r="F35" s="26">
        <f>SUM(D35:E35)</f>
        <v>50.5</v>
      </c>
      <c r="G35" s="20">
        <f>F35*C35</f>
        <v>6161</v>
      </c>
      <c r="H35" s="71"/>
      <c r="I35" s="9">
        <f t="shared" si="9"/>
        <v>6161</v>
      </c>
    </row>
    <row r="36" spans="1:9" ht="15" customHeight="1" x14ac:dyDescent="0.2">
      <c r="A36" s="2"/>
      <c r="B36" s="4" t="s">
        <v>10</v>
      </c>
      <c r="C36" s="6">
        <v>95</v>
      </c>
      <c r="D36" s="24">
        <v>6.25</v>
      </c>
      <c r="E36" s="6"/>
      <c r="F36" s="26">
        <f t="shared" ref="F36:F38" si="11">SUM(D36:E36)</f>
        <v>6.25</v>
      </c>
      <c r="G36" s="20">
        <f>F36*C36</f>
        <v>593.75</v>
      </c>
      <c r="H36" s="71"/>
      <c r="I36" s="9">
        <f t="shared" si="9"/>
        <v>593.75</v>
      </c>
    </row>
    <row r="37" spans="1:9" ht="15" customHeight="1" x14ac:dyDescent="0.2">
      <c r="A37" s="2"/>
      <c r="B37" s="4" t="s">
        <v>11</v>
      </c>
      <c r="C37" s="6">
        <v>86</v>
      </c>
      <c r="D37" s="24">
        <f>12.5+31.25+8.5+1+11.25</f>
        <v>64.5</v>
      </c>
      <c r="E37" s="6"/>
      <c r="F37" s="26">
        <f t="shared" ref="F37" si="12">SUM(D37:E37)</f>
        <v>64.5</v>
      </c>
      <c r="G37" s="20">
        <f>F37*C37</f>
        <v>5547</v>
      </c>
      <c r="H37" s="71"/>
      <c r="I37" s="9">
        <f t="shared" ref="I37" si="13">SUM(G37:H37)</f>
        <v>5547</v>
      </c>
    </row>
    <row r="38" spans="1:9" ht="15" customHeight="1" x14ac:dyDescent="0.2">
      <c r="A38" s="2"/>
      <c r="B38" s="4" t="s">
        <v>12</v>
      </c>
      <c r="C38" s="6">
        <v>62</v>
      </c>
      <c r="D38" s="24">
        <f>0.25+0.5+0.25+0.25</f>
        <v>1.25</v>
      </c>
      <c r="E38" s="6"/>
      <c r="F38" s="26">
        <f t="shared" si="11"/>
        <v>1.25</v>
      </c>
      <c r="G38" s="20">
        <f>F38*C38</f>
        <v>77.5</v>
      </c>
      <c r="H38" s="71"/>
      <c r="I38" s="9">
        <f t="shared" si="9"/>
        <v>77.5</v>
      </c>
    </row>
    <row r="39" spans="1:9" ht="15" customHeight="1" x14ac:dyDescent="0.2">
      <c r="A39" s="54" t="s">
        <v>3</v>
      </c>
      <c r="B39" s="55"/>
      <c r="C39" s="56"/>
      <c r="D39" s="57">
        <f>SUM(D35:D38)</f>
        <v>122.5</v>
      </c>
      <c r="E39" s="56">
        <f t="shared" ref="E39:I39" si="14">SUM(E35:E38)</f>
        <v>0</v>
      </c>
      <c r="F39" s="58">
        <f t="shared" si="14"/>
        <v>122.5</v>
      </c>
      <c r="G39" s="62">
        <f t="shared" si="14"/>
        <v>12379.25</v>
      </c>
      <c r="H39" s="63">
        <f t="shared" si="14"/>
        <v>0</v>
      </c>
      <c r="I39" s="61">
        <f t="shared" si="14"/>
        <v>12379.25</v>
      </c>
    </row>
    <row r="40" spans="1:9" ht="28.5" customHeight="1" thickBot="1" x14ac:dyDescent="0.25">
      <c r="A40" s="64" t="s">
        <v>22</v>
      </c>
      <c r="B40" s="65"/>
      <c r="C40" s="65"/>
      <c r="D40" s="66">
        <f>D19+D29+D34+D39</f>
        <v>8790.25</v>
      </c>
      <c r="E40" s="66">
        <f t="shared" ref="E40:I40" si="15">E19+E29+E34+E39</f>
        <v>3888.75</v>
      </c>
      <c r="F40" s="66">
        <f t="shared" si="15"/>
        <v>12679</v>
      </c>
      <c r="G40" s="66">
        <f t="shared" si="15"/>
        <v>840063.75</v>
      </c>
      <c r="H40" s="73">
        <f>H19+H29+H34+H39</f>
        <v>313520.75</v>
      </c>
      <c r="I40" s="67">
        <f t="shared" si="15"/>
        <v>1153584.5</v>
      </c>
    </row>
    <row r="42" spans="1:9" x14ac:dyDescent="0.2">
      <c r="A42" s="102" t="s">
        <v>23</v>
      </c>
      <c r="B42" s="103"/>
      <c r="C42" s="50"/>
      <c r="D42" s="50"/>
      <c r="E42" s="50"/>
      <c r="F42" s="50"/>
      <c r="G42" s="49">
        <f>G40/D40</f>
        <v>95.567674411990552</v>
      </c>
      <c r="H42" s="49">
        <f>H40/E40</f>
        <v>80.622500803600133</v>
      </c>
      <c r="I42" s="49">
        <f t="shared" ref="I42" si="16">I40/F40</f>
        <v>90.983870967741936</v>
      </c>
    </row>
  </sheetData>
  <mergeCells count="2">
    <mergeCell ref="D8:F8"/>
    <mergeCell ref="A42:B42"/>
  </mergeCells>
  <pageMargins left="0.70866141732283472" right="0.70866141732283472" top="0.78740157480314965" bottom="0.78740157480314965" header="0.31496062992125984" footer="0.31496062992125984"/>
  <pageSetup paperSize="9" scale="58" orientation="portrait" r:id="rId1"/>
  <headerFooter>
    <oddFooter>&amp;L&amp;8&amp;F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opLeftCell="A4" zoomScaleNormal="100" workbookViewId="0">
      <selection activeCell="L39" sqref="L39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4" width="15.28515625" customWidth="1" outlineLevel="1" collapsed="1"/>
    <col min="5" max="5" width="15.28515625" customWidth="1"/>
    <col min="6" max="6" width="15.28515625" customWidth="1" outlineLevel="1"/>
    <col min="7" max="7" width="15.28515625" customWidth="1" outlineLevel="1" collapsed="1"/>
    <col min="8" max="8" width="15.28515625" customWidth="1"/>
    <col min="9" max="9" width="15.28515625" customWidth="1" outlineLevel="1"/>
  </cols>
  <sheetData>
    <row r="1" spans="1:17" ht="15" x14ac:dyDescent="0.25">
      <c r="A1" s="13" t="s">
        <v>28</v>
      </c>
      <c r="L1" s="70" t="s">
        <v>29</v>
      </c>
    </row>
    <row r="2" spans="1:17" ht="15" x14ac:dyDescent="0.25">
      <c r="A2" s="13"/>
      <c r="L2" s="70"/>
    </row>
    <row r="3" spans="1:17" ht="15" x14ac:dyDescent="0.25">
      <c r="A3" s="13"/>
      <c r="L3" s="70" t="s">
        <v>27</v>
      </c>
    </row>
    <row r="4" spans="1:17" ht="15" x14ac:dyDescent="0.25">
      <c r="A4" s="13"/>
    </row>
    <row r="5" spans="1:17" ht="15" x14ac:dyDescent="0.25">
      <c r="A5" s="13" t="s">
        <v>21</v>
      </c>
    </row>
    <row r="6" spans="1:17" ht="15" x14ac:dyDescent="0.25">
      <c r="A6" s="13" t="s">
        <v>34</v>
      </c>
    </row>
    <row r="7" spans="1:17" ht="13.5" thickBot="1" x14ac:dyDescent="0.25"/>
    <row r="8" spans="1:17" ht="17.25" customHeight="1" x14ac:dyDescent="0.2">
      <c r="A8" s="1"/>
      <c r="B8" s="16" t="s">
        <v>17</v>
      </c>
      <c r="C8" s="74"/>
      <c r="D8" s="99" t="s">
        <v>0</v>
      </c>
      <c r="E8" s="100"/>
      <c r="F8" s="101"/>
      <c r="G8" s="74" t="s">
        <v>4</v>
      </c>
      <c r="H8" s="75" t="s">
        <v>4</v>
      </c>
      <c r="I8" s="75"/>
      <c r="J8" s="2"/>
    </row>
    <row r="9" spans="1:17" ht="19.5" customHeight="1" x14ac:dyDescent="0.2">
      <c r="A9" s="7"/>
      <c r="B9" s="17"/>
      <c r="C9" s="31"/>
      <c r="D9" s="22" t="s">
        <v>1</v>
      </c>
      <c r="E9" s="11" t="s">
        <v>2</v>
      </c>
      <c r="F9" s="23" t="s">
        <v>3</v>
      </c>
      <c r="G9" s="19" t="s">
        <v>1</v>
      </c>
      <c r="H9" s="23" t="s">
        <v>2</v>
      </c>
      <c r="I9" s="12" t="s">
        <v>3</v>
      </c>
      <c r="P9" t="s">
        <v>30</v>
      </c>
      <c r="Q9" t="s">
        <v>31</v>
      </c>
    </row>
    <row r="10" spans="1:17" ht="15" customHeight="1" x14ac:dyDescent="0.2">
      <c r="A10" s="2" t="s">
        <v>20</v>
      </c>
      <c r="B10" s="4" t="s">
        <v>8</v>
      </c>
      <c r="C10" s="6">
        <v>145</v>
      </c>
      <c r="D10" s="24"/>
      <c r="E10" s="6"/>
      <c r="F10" s="25"/>
      <c r="G10" s="5"/>
      <c r="H10" s="25"/>
      <c r="I10" s="3"/>
      <c r="P10">
        <v>5882</v>
      </c>
      <c r="Q10">
        <v>2400.5</v>
      </c>
    </row>
    <row r="11" spans="1:17" ht="15" customHeight="1" x14ac:dyDescent="0.2">
      <c r="A11" s="2" t="s">
        <v>19</v>
      </c>
      <c r="B11" s="4" t="s">
        <v>9</v>
      </c>
      <c r="C11" s="6">
        <v>122</v>
      </c>
      <c r="D11" s="24">
        <f>1129.5+146+130.25+113+118+163.75+182.75+171+88.5</f>
        <v>2242.75</v>
      </c>
      <c r="E11" s="6">
        <f>8.5+1.5+3+3.5</f>
        <v>16.5</v>
      </c>
      <c r="F11" s="26">
        <f>SUM(D11:E11)</f>
        <v>2259.25</v>
      </c>
      <c r="G11" s="20">
        <f t="shared" ref="G11:G28" si="0">D11*C11</f>
        <v>273615.5</v>
      </c>
      <c r="H11" s="71">
        <f t="shared" ref="H11:H28" si="1">E11*C11</f>
        <v>2013</v>
      </c>
      <c r="I11" s="9">
        <f>SUM(G11:H11)</f>
        <v>275628.5</v>
      </c>
      <c r="P11">
        <v>16301.5</v>
      </c>
      <c r="Q11">
        <v>4708</v>
      </c>
    </row>
    <row r="12" spans="1:17" ht="15" customHeight="1" x14ac:dyDescent="0.2">
      <c r="A12" s="2"/>
      <c r="B12" s="4" t="s">
        <v>10</v>
      </c>
      <c r="C12" s="6">
        <v>95</v>
      </c>
      <c r="D12" s="24">
        <f>501+90.25+65.75+95.5+88.5+43.5+107.25+141.5+133.75</f>
        <v>1267</v>
      </c>
      <c r="E12" s="6">
        <f>51+160.5+86+148.5+114.75+158.75+71.25+121.25+102.75+14.75+1+9.5+3.75</f>
        <v>1043.75</v>
      </c>
      <c r="F12" s="26">
        <f t="shared" ref="F12:F18" si="2">SUM(D12:E12)</f>
        <v>2310.75</v>
      </c>
      <c r="G12" s="20">
        <f t="shared" si="0"/>
        <v>120365</v>
      </c>
      <c r="H12" s="71">
        <f t="shared" si="1"/>
        <v>99156.25</v>
      </c>
      <c r="I12" s="9">
        <f t="shared" ref="I12:I18" si="3">SUM(G12:H12)</f>
        <v>219521.25</v>
      </c>
      <c r="P12">
        <v>10749.5</v>
      </c>
      <c r="Q12">
        <v>8151.5</v>
      </c>
    </row>
    <row r="13" spans="1:17" ht="15" customHeight="1" x14ac:dyDescent="0.2">
      <c r="A13" s="2"/>
      <c r="B13" s="4" t="s">
        <v>11</v>
      </c>
      <c r="C13" s="6">
        <v>86</v>
      </c>
      <c r="D13" s="24">
        <f>243.5+99.5+85+88.75+129.75+112.5+102.75+203+51.5</f>
        <v>1116.25</v>
      </c>
      <c r="E13" s="6">
        <f>104.5+30+50.75+71.5+75.5+3.5+44.25+0.5+1+0.75+0.5</f>
        <v>382.75</v>
      </c>
      <c r="F13" s="26">
        <f t="shared" si="2"/>
        <v>1499</v>
      </c>
      <c r="G13" s="20">
        <f t="shared" si="0"/>
        <v>95997.5</v>
      </c>
      <c r="H13" s="71">
        <f t="shared" si="1"/>
        <v>32916.5</v>
      </c>
      <c r="I13" s="9">
        <f t="shared" si="3"/>
        <v>128914</v>
      </c>
      <c r="P13">
        <v>34940.5</v>
      </c>
      <c r="Q13">
        <v>14636.5</v>
      </c>
    </row>
    <row r="14" spans="1:17" ht="15" customHeight="1" x14ac:dyDescent="0.2">
      <c r="A14" s="2"/>
      <c r="B14" s="4" t="s">
        <v>12</v>
      </c>
      <c r="C14" s="6">
        <v>62</v>
      </c>
      <c r="D14" s="24">
        <f>80.75+11+0.5</f>
        <v>92.25</v>
      </c>
      <c r="E14" s="6">
        <f>17+36.75+173.5+43.25+109.25+121+18+15.75</f>
        <v>534.5</v>
      </c>
      <c r="F14" s="26">
        <f t="shared" si="2"/>
        <v>626.75</v>
      </c>
      <c r="G14" s="20">
        <f t="shared" si="0"/>
        <v>5719.5</v>
      </c>
      <c r="H14" s="71">
        <f t="shared" si="1"/>
        <v>33139</v>
      </c>
      <c r="I14" s="9">
        <f t="shared" si="3"/>
        <v>38858.5</v>
      </c>
      <c r="P14">
        <v>19731.75</v>
      </c>
      <c r="Q14">
        <v>8637.5</v>
      </c>
    </row>
    <row r="15" spans="1:17" ht="15" customHeight="1" x14ac:dyDescent="0.2">
      <c r="A15" s="2"/>
      <c r="B15" s="4" t="s">
        <v>13</v>
      </c>
      <c r="C15" s="6">
        <v>50</v>
      </c>
      <c r="D15" s="24">
        <f>264.5+10.5+19.25+19.75+34.75+40.25+59+8.25</f>
        <v>456.25</v>
      </c>
      <c r="E15" s="6">
        <f>68+51+34.25+38.25</f>
        <v>191.5</v>
      </c>
      <c r="F15" s="26">
        <f t="shared" si="2"/>
        <v>647.75</v>
      </c>
      <c r="G15" s="20">
        <f t="shared" si="0"/>
        <v>22812.5</v>
      </c>
      <c r="H15" s="71">
        <f t="shared" si="1"/>
        <v>9575</v>
      </c>
      <c r="I15" s="9">
        <f t="shared" si="3"/>
        <v>32387.5</v>
      </c>
      <c r="P15">
        <v>26219.25</v>
      </c>
      <c r="Q15">
        <v>23161.5</v>
      </c>
    </row>
    <row r="16" spans="1:17" ht="15" customHeight="1" x14ac:dyDescent="0.2">
      <c r="A16" s="2"/>
      <c r="B16" s="4" t="s">
        <v>14</v>
      </c>
      <c r="C16" s="6">
        <v>8</v>
      </c>
      <c r="D16" s="24">
        <v>0</v>
      </c>
      <c r="E16" s="6">
        <v>0</v>
      </c>
      <c r="F16" s="26">
        <f t="shared" si="2"/>
        <v>0</v>
      </c>
      <c r="G16" s="20">
        <f t="shared" si="0"/>
        <v>0</v>
      </c>
      <c r="H16" s="71">
        <f t="shared" si="1"/>
        <v>0</v>
      </c>
      <c r="I16" s="9">
        <f t="shared" si="3"/>
        <v>0</v>
      </c>
      <c r="P16">
        <v>19400.75</v>
      </c>
      <c r="Q16">
        <v>30423.5</v>
      </c>
    </row>
    <row r="17" spans="1:17" ht="15" customHeight="1" x14ac:dyDescent="0.2">
      <c r="A17" s="2"/>
      <c r="B17" s="4" t="s">
        <v>15</v>
      </c>
      <c r="C17" s="6">
        <v>6</v>
      </c>
      <c r="D17" s="24">
        <f>4+27.5</f>
        <v>31.5</v>
      </c>
      <c r="E17" s="6">
        <f>5.75+20.25</f>
        <v>26</v>
      </c>
      <c r="F17" s="26">
        <f t="shared" si="2"/>
        <v>57.5</v>
      </c>
      <c r="G17" s="20">
        <f t="shared" si="0"/>
        <v>189</v>
      </c>
      <c r="H17" s="71">
        <f t="shared" si="1"/>
        <v>156</v>
      </c>
      <c r="I17" s="9">
        <f t="shared" si="3"/>
        <v>345</v>
      </c>
      <c r="P17">
        <v>23334.25</v>
      </c>
      <c r="Q17">
        <v>26793</v>
      </c>
    </row>
    <row r="18" spans="1:17" ht="15" customHeight="1" x14ac:dyDescent="0.2">
      <c r="A18" s="2"/>
      <c r="B18" s="4" t="s">
        <v>16</v>
      </c>
      <c r="C18" s="6">
        <v>4</v>
      </c>
      <c r="D18" s="24">
        <f>17.5+15.5+14.5</f>
        <v>47.5</v>
      </c>
      <c r="E18" s="6">
        <f>23+25</f>
        <v>48</v>
      </c>
      <c r="F18" s="26">
        <f t="shared" si="2"/>
        <v>95.5</v>
      </c>
      <c r="G18" s="20">
        <f t="shared" si="0"/>
        <v>190</v>
      </c>
      <c r="H18" s="71">
        <f t="shared" si="1"/>
        <v>192</v>
      </c>
      <c r="I18" s="9">
        <f t="shared" si="3"/>
        <v>382</v>
      </c>
      <c r="P18">
        <v>16582.25</v>
      </c>
      <c r="Q18">
        <v>15316.5</v>
      </c>
    </row>
    <row r="19" spans="1:17" ht="15" customHeight="1" x14ac:dyDescent="0.2">
      <c r="A19" s="54" t="s">
        <v>3</v>
      </c>
      <c r="B19" s="55"/>
      <c r="C19" s="56"/>
      <c r="D19" s="57">
        <f>SUM(D11:D18)</f>
        <v>5253.5</v>
      </c>
      <c r="E19" s="56">
        <f t="shared" ref="E19:I19" si="4">SUM(E11:E18)</f>
        <v>2243</v>
      </c>
      <c r="F19" s="58">
        <f t="shared" si="4"/>
        <v>7496.5</v>
      </c>
      <c r="G19" s="59">
        <f t="shared" si="4"/>
        <v>518889</v>
      </c>
      <c r="H19" s="63">
        <f t="shared" si="4"/>
        <v>177147.75</v>
      </c>
      <c r="I19" s="61">
        <f t="shared" si="4"/>
        <v>696036.75</v>
      </c>
      <c r="P19">
        <v>1665.75</v>
      </c>
      <c r="Q19">
        <v>2144.5</v>
      </c>
    </row>
    <row r="20" spans="1:17" ht="15" customHeight="1" x14ac:dyDescent="0.2">
      <c r="A20" s="2" t="s">
        <v>5</v>
      </c>
      <c r="B20" s="4" t="s">
        <v>8</v>
      </c>
      <c r="C20" s="6">
        <v>145</v>
      </c>
      <c r="D20" s="24">
        <v>12.75</v>
      </c>
      <c r="E20" s="29">
        <v>0</v>
      </c>
      <c r="F20" s="26">
        <f>SUM(D20:E20)</f>
        <v>12.75</v>
      </c>
      <c r="G20" s="32">
        <f t="shared" si="0"/>
        <v>1848.75</v>
      </c>
      <c r="H20" s="71">
        <f t="shared" si="1"/>
        <v>0</v>
      </c>
      <c r="I20" s="9">
        <f>SUM(G20:H20)</f>
        <v>1848.75</v>
      </c>
      <c r="P20">
        <v>95</v>
      </c>
    </row>
    <row r="21" spans="1:17" ht="15" customHeight="1" x14ac:dyDescent="0.2">
      <c r="A21" s="2"/>
      <c r="B21" s="4" t="s">
        <v>9</v>
      </c>
      <c r="C21" s="6">
        <v>122</v>
      </c>
      <c r="D21" s="24">
        <f>248.75+38.75+1+82.5+52+27.75+15.5+83.25</f>
        <v>549.5</v>
      </c>
      <c r="E21" s="6">
        <v>2.5</v>
      </c>
      <c r="F21" s="26">
        <f t="shared" ref="F21:F28" si="5">SUM(D21:E21)</f>
        <v>552</v>
      </c>
      <c r="G21" s="32">
        <f t="shared" si="0"/>
        <v>67039</v>
      </c>
      <c r="H21" s="71">
        <f t="shared" si="1"/>
        <v>305</v>
      </c>
      <c r="I21" s="9">
        <f t="shared" ref="I21:I28" si="6">SUM(G21:H21)</f>
        <v>67344</v>
      </c>
      <c r="P21">
        <v>1268.5</v>
      </c>
    </row>
    <row r="22" spans="1:17" ht="15" customHeight="1" x14ac:dyDescent="0.2">
      <c r="A22" s="2"/>
      <c r="B22" s="4" t="s">
        <v>10</v>
      </c>
      <c r="C22" s="6">
        <v>95</v>
      </c>
      <c r="D22" s="24">
        <f>374+109+28+119.75+168.5+217.5+222.25+149.5</f>
        <v>1388.5</v>
      </c>
      <c r="E22" s="6">
        <f>417+18.5</f>
        <v>435.5</v>
      </c>
      <c r="F22" s="26">
        <f t="shared" si="5"/>
        <v>1824</v>
      </c>
      <c r="G22" s="32">
        <f t="shared" si="0"/>
        <v>131907.5</v>
      </c>
      <c r="H22" s="71">
        <f t="shared" si="1"/>
        <v>41372.5</v>
      </c>
      <c r="I22" s="9">
        <f t="shared" si="6"/>
        <v>173280</v>
      </c>
      <c r="O22" t="s">
        <v>32</v>
      </c>
      <c r="P22">
        <v>976.75</v>
      </c>
    </row>
    <row r="23" spans="1:17" ht="15" customHeight="1" x14ac:dyDescent="0.2">
      <c r="A23" s="2"/>
      <c r="B23" s="4" t="s">
        <v>11</v>
      </c>
      <c r="C23" s="6">
        <v>86</v>
      </c>
      <c r="D23" s="24">
        <f>181.5+68.75+63.75+99.75+85.5+123+84+136.5</f>
        <v>842.75</v>
      </c>
      <c r="E23" s="6">
        <f>1017+4.5</f>
        <v>1021.5</v>
      </c>
      <c r="F23" s="26">
        <f t="shared" si="5"/>
        <v>1864.25</v>
      </c>
      <c r="G23" s="32">
        <f t="shared" si="0"/>
        <v>72476.5</v>
      </c>
      <c r="H23" s="71">
        <f t="shared" si="1"/>
        <v>87849</v>
      </c>
      <c r="I23" s="9">
        <f t="shared" si="6"/>
        <v>160325.5</v>
      </c>
    </row>
    <row r="24" spans="1:17" ht="15" customHeight="1" x14ac:dyDescent="0.2">
      <c r="A24" s="2"/>
      <c r="B24" s="4" t="s">
        <v>12</v>
      </c>
      <c r="C24" s="6">
        <v>62</v>
      </c>
      <c r="D24" s="24">
        <f>98.25+33.75+55.75+54+15.25+41+120.75+48.25</f>
        <v>467</v>
      </c>
      <c r="E24" s="6">
        <v>101.25</v>
      </c>
      <c r="F24" s="26">
        <f t="shared" si="5"/>
        <v>568.25</v>
      </c>
      <c r="G24" s="32">
        <f t="shared" si="0"/>
        <v>28954</v>
      </c>
      <c r="H24" s="71">
        <f t="shared" si="1"/>
        <v>6277.5</v>
      </c>
      <c r="I24" s="9">
        <f t="shared" si="6"/>
        <v>35231.5</v>
      </c>
      <c r="P24">
        <f>SUM(P10:P23)</f>
        <v>177147.75</v>
      </c>
      <c r="Q24">
        <f>SUM(Q10:Q23)</f>
        <v>136373</v>
      </c>
    </row>
    <row r="25" spans="1:17" ht="15" customHeight="1" x14ac:dyDescent="0.2">
      <c r="A25" s="2"/>
      <c r="B25" s="4" t="s">
        <v>13</v>
      </c>
      <c r="C25" s="6">
        <v>50</v>
      </c>
      <c r="D25" s="24">
        <f>0.5+5+7</f>
        <v>12.5</v>
      </c>
      <c r="E25" s="6">
        <v>0</v>
      </c>
      <c r="F25" s="26">
        <f t="shared" si="5"/>
        <v>12.5</v>
      </c>
      <c r="G25" s="32">
        <f t="shared" si="0"/>
        <v>625</v>
      </c>
      <c r="H25" s="71">
        <f t="shared" si="1"/>
        <v>0</v>
      </c>
      <c r="I25" s="9">
        <f t="shared" si="6"/>
        <v>625</v>
      </c>
    </row>
    <row r="26" spans="1:17" ht="15" customHeight="1" x14ac:dyDescent="0.2">
      <c r="A26" s="2"/>
      <c r="B26" s="4" t="s">
        <v>14</v>
      </c>
      <c r="C26" s="6">
        <v>8</v>
      </c>
      <c r="D26" s="24">
        <v>16.25</v>
      </c>
      <c r="E26" s="6">
        <v>29.5</v>
      </c>
      <c r="F26" s="26">
        <f t="shared" si="5"/>
        <v>45.75</v>
      </c>
      <c r="G26" s="32">
        <f t="shared" si="0"/>
        <v>130</v>
      </c>
      <c r="H26" s="71">
        <f t="shared" si="1"/>
        <v>236</v>
      </c>
      <c r="I26" s="9">
        <f t="shared" si="6"/>
        <v>366</v>
      </c>
    </row>
    <row r="27" spans="1:17" ht="15" customHeight="1" x14ac:dyDescent="0.2">
      <c r="A27" s="2"/>
      <c r="B27" s="4" t="s">
        <v>15</v>
      </c>
      <c r="C27" s="6">
        <v>6</v>
      </c>
      <c r="D27" s="24">
        <f>4.5+11+32.25</f>
        <v>47.75</v>
      </c>
      <c r="E27" s="6">
        <v>55.5</v>
      </c>
      <c r="F27" s="26">
        <f t="shared" si="5"/>
        <v>103.25</v>
      </c>
      <c r="G27" s="32">
        <f t="shared" si="0"/>
        <v>286.5</v>
      </c>
      <c r="H27" s="71">
        <f t="shared" si="1"/>
        <v>333</v>
      </c>
      <c r="I27" s="9">
        <f t="shared" si="6"/>
        <v>619.5</v>
      </c>
    </row>
    <row r="28" spans="1:17" ht="15" customHeight="1" x14ac:dyDescent="0.2">
      <c r="A28" s="2"/>
      <c r="B28" s="4" t="s">
        <v>16</v>
      </c>
      <c r="C28" s="6">
        <v>4</v>
      </c>
      <c r="D28" s="24">
        <f>2.5+3.5+25.5+4+9.25+4</f>
        <v>48.75</v>
      </c>
      <c r="E28" s="6">
        <v>0</v>
      </c>
      <c r="F28" s="26">
        <f t="shared" si="5"/>
        <v>48.75</v>
      </c>
      <c r="G28" s="32">
        <f t="shared" si="0"/>
        <v>195</v>
      </c>
      <c r="H28" s="71">
        <f t="shared" si="1"/>
        <v>0</v>
      </c>
      <c r="I28" s="9">
        <f t="shared" si="6"/>
        <v>195</v>
      </c>
    </row>
    <row r="29" spans="1:17" ht="15" customHeight="1" x14ac:dyDescent="0.2">
      <c r="A29" s="54" t="s">
        <v>3</v>
      </c>
      <c r="B29" s="55"/>
      <c r="C29" s="56"/>
      <c r="D29" s="57">
        <f>SUM(D20:D28)</f>
        <v>3385.75</v>
      </c>
      <c r="E29" s="56">
        <f t="shared" ref="E29:I29" si="7">SUM(E20:E28)</f>
        <v>1645.75</v>
      </c>
      <c r="F29" s="58">
        <f t="shared" si="7"/>
        <v>5031.5</v>
      </c>
      <c r="G29" s="59">
        <f t="shared" si="7"/>
        <v>303462.25</v>
      </c>
      <c r="H29" s="63">
        <f t="shared" si="7"/>
        <v>136373</v>
      </c>
      <c r="I29" s="61">
        <f t="shared" si="7"/>
        <v>439835.25</v>
      </c>
    </row>
    <row r="30" spans="1:17" ht="3.75" customHeight="1" x14ac:dyDescent="0.2">
      <c r="A30" s="7"/>
      <c r="B30" s="18"/>
      <c r="C30" s="28"/>
      <c r="D30" s="27"/>
      <c r="E30" s="8"/>
      <c r="F30" s="28"/>
      <c r="G30" s="21"/>
      <c r="H30" s="72"/>
      <c r="I30" s="15"/>
    </row>
    <row r="31" spans="1:17" ht="15" customHeight="1" x14ac:dyDescent="0.2">
      <c r="A31" s="2" t="s">
        <v>6</v>
      </c>
      <c r="B31" s="4" t="s">
        <v>9</v>
      </c>
      <c r="C31" s="6">
        <v>122</v>
      </c>
      <c r="D31" s="24">
        <f>119+9+0.5+2+2.5+10+8+4+16</f>
        <v>171</v>
      </c>
      <c r="E31" s="6"/>
      <c r="F31" s="26">
        <f>SUM(D31:E31)</f>
        <v>171</v>
      </c>
      <c r="G31" s="20">
        <f>F31*C31</f>
        <v>20862</v>
      </c>
      <c r="H31" s="71"/>
      <c r="I31" s="9">
        <f>SUM(G31:H31)</f>
        <v>20862</v>
      </c>
    </row>
    <row r="32" spans="1:17" ht="15" customHeight="1" x14ac:dyDescent="0.2">
      <c r="A32" s="2"/>
      <c r="B32" s="4" t="s">
        <v>10</v>
      </c>
      <c r="C32" s="6">
        <v>95</v>
      </c>
      <c r="D32" s="24">
        <f>97.25+10+35.75+7+2+3+33</f>
        <v>188</v>
      </c>
      <c r="E32" s="6"/>
      <c r="F32" s="26">
        <f t="shared" ref="F32:F33" si="8">SUM(D32:E32)</f>
        <v>188</v>
      </c>
      <c r="G32" s="20">
        <f>F32*C32</f>
        <v>17860</v>
      </c>
      <c r="H32" s="71"/>
      <c r="I32" s="9">
        <f t="shared" ref="I32:I38" si="9">SUM(G32:H32)</f>
        <v>17860</v>
      </c>
    </row>
    <row r="33" spans="1:9" ht="15" customHeight="1" x14ac:dyDescent="0.2">
      <c r="A33" s="2"/>
      <c r="B33" s="4" t="s">
        <v>11</v>
      </c>
      <c r="C33" s="6">
        <v>86</v>
      </c>
      <c r="D33" s="24">
        <v>0.5</v>
      </c>
      <c r="E33" s="6"/>
      <c r="F33" s="26">
        <f t="shared" si="8"/>
        <v>0.5</v>
      </c>
      <c r="G33" s="20">
        <f>F33*C33</f>
        <v>43</v>
      </c>
      <c r="H33" s="71"/>
      <c r="I33" s="9">
        <f t="shared" si="9"/>
        <v>43</v>
      </c>
    </row>
    <row r="34" spans="1:9" ht="15" customHeight="1" x14ac:dyDescent="0.2">
      <c r="A34" s="54" t="s">
        <v>3</v>
      </c>
      <c r="B34" s="55"/>
      <c r="C34" s="56"/>
      <c r="D34" s="57">
        <f>SUM(D31:D33)</f>
        <v>359.5</v>
      </c>
      <c r="E34" s="56">
        <f t="shared" ref="E34:I34" si="10">SUM(E31:E33)</f>
        <v>0</v>
      </c>
      <c r="F34" s="58">
        <f t="shared" si="10"/>
        <v>359.5</v>
      </c>
      <c r="G34" s="62">
        <f t="shared" si="10"/>
        <v>38765</v>
      </c>
      <c r="H34" s="63">
        <f t="shared" si="10"/>
        <v>0</v>
      </c>
      <c r="I34" s="61">
        <f t="shared" si="10"/>
        <v>38765</v>
      </c>
    </row>
    <row r="35" spans="1:9" ht="15" customHeight="1" x14ac:dyDescent="0.2">
      <c r="A35" s="2" t="s">
        <v>7</v>
      </c>
      <c r="B35" s="4" t="s">
        <v>9</v>
      </c>
      <c r="C35" s="6">
        <v>122</v>
      </c>
      <c r="D35" s="24">
        <f>11.25+1.5+1+2+3+11.5+5.25+15+9.5</f>
        <v>60</v>
      </c>
      <c r="E35" s="6"/>
      <c r="F35" s="26">
        <f>SUM(D35:E35)</f>
        <v>60</v>
      </c>
      <c r="G35" s="20">
        <f>F35*C35</f>
        <v>7320</v>
      </c>
      <c r="H35" s="71"/>
      <c r="I35" s="9">
        <f t="shared" si="9"/>
        <v>7320</v>
      </c>
    </row>
    <row r="36" spans="1:9" ht="15" customHeight="1" x14ac:dyDescent="0.2">
      <c r="A36" s="2"/>
      <c r="B36" s="4" t="s">
        <v>10</v>
      </c>
      <c r="C36" s="6">
        <v>95</v>
      </c>
      <c r="D36" s="24">
        <v>6.25</v>
      </c>
      <c r="E36" s="6"/>
      <c r="F36" s="26">
        <f t="shared" ref="F36:F38" si="11">SUM(D36:E36)</f>
        <v>6.25</v>
      </c>
      <c r="G36" s="20">
        <f>F36*C36</f>
        <v>593.75</v>
      </c>
      <c r="H36" s="71"/>
      <c r="I36" s="9">
        <f t="shared" si="9"/>
        <v>593.75</v>
      </c>
    </row>
    <row r="37" spans="1:9" ht="15" customHeight="1" x14ac:dyDescent="0.2">
      <c r="A37" s="2"/>
      <c r="B37" s="4" t="s">
        <v>11</v>
      </c>
      <c r="C37" s="6">
        <v>86</v>
      </c>
      <c r="D37" s="24">
        <f>12.5+31.25+8.5+1+11.25+12.25</f>
        <v>76.75</v>
      </c>
      <c r="E37" s="6"/>
      <c r="F37" s="26">
        <f t="shared" ref="F37" si="12">SUM(D37:E37)</f>
        <v>76.75</v>
      </c>
      <c r="G37" s="20">
        <f>F37*C37</f>
        <v>6600.5</v>
      </c>
      <c r="H37" s="71"/>
      <c r="I37" s="9">
        <f t="shared" ref="I37" si="13">SUM(G37:H37)</f>
        <v>6600.5</v>
      </c>
    </row>
    <row r="38" spans="1:9" ht="15" customHeight="1" x14ac:dyDescent="0.2">
      <c r="A38" s="2"/>
      <c r="B38" s="4" t="s">
        <v>12</v>
      </c>
      <c r="C38" s="6">
        <v>62</v>
      </c>
      <c r="D38" s="24">
        <f>0.25+0.5+0.25+0.25</f>
        <v>1.25</v>
      </c>
      <c r="E38" s="6"/>
      <c r="F38" s="26">
        <f t="shared" si="11"/>
        <v>1.25</v>
      </c>
      <c r="G38" s="20">
        <f>F38*C38</f>
        <v>77.5</v>
      </c>
      <c r="H38" s="71"/>
      <c r="I38" s="9">
        <f t="shared" si="9"/>
        <v>77.5</v>
      </c>
    </row>
    <row r="39" spans="1:9" ht="15" customHeight="1" x14ac:dyDescent="0.2">
      <c r="A39" s="54" t="s">
        <v>3</v>
      </c>
      <c r="B39" s="55"/>
      <c r="C39" s="56"/>
      <c r="D39" s="57">
        <f>SUM(D35:D38)</f>
        <v>144.25</v>
      </c>
      <c r="E39" s="56">
        <f t="shared" ref="E39:I39" si="14">SUM(E35:E38)</f>
        <v>0</v>
      </c>
      <c r="F39" s="58">
        <f t="shared" si="14"/>
        <v>144.25</v>
      </c>
      <c r="G39" s="62">
        <f t="shared" si="14"/>
        <v>14591.75</v>
      </c>
      <c r="H39" s="63">
        <f t="shared" si="14"/>
        <v>0</v>
      </c>
      <c r="I39" s="61">
        <f t="shared" si="14"/>
        <v>14591.75</v>
      </c>
    </row>
    <row r="40" spans="1:9" ht="28.5" customHeight="1" thickBot="1" x14ac:dyDescent="0.25">
      <c r="A40" s="64" t="s">
        <v>22</v>
      </c>
      <c r="B40" s="65"/>
      <c r="C40" s="65"/>
      <c r="D40" s="66">
        <f>D19+D29+D34+D39</f>
        <v>9143</v>
      </c>
      <c r="E40" s="66">
        <f t="shared" ref="E40:I40" si="15">E19+E29+E34+E39</f>
        <v>3888.75</v>
      </c>
      <c r="F40" s="66">
        <f t="shared" si="15"/>
        <v>13031.75</v>
      </c>
      <c r="G40" s="66">
        <f t="shared" si="15"/>
        <v>875708</v>
      </c>
      <c r="H40" s="73">
        <f>H19+H29+H34+H39</f>
        <v>313520.75</v>
      </c>
      <c r="I40" s="67">
        <f t="shared" si="15"/>
        <v>1189228.75</v>
      </c>
    </row>
    <row r="42" spans="1:9" x14ac:dyDescent="0.2">
      <c r="A42" s="102" t="s">
        <v>23</v>
      </c>
      <c r="B42" s="103"/>
      <c r="C42" s="50"/>
      <c r="D42" s="50"/>
      <c r="E42" s="50"/>
      <c r="F42" s="50"/>
      <c r="G42" s="49">
        <f>G40/D40</f>
        <v>95.779065952094498</v>
      </c>
      <c r="H42" s="49">
        <f t="shared" ref="H42:I42" si="16">H40/E40</f>
        <v>80.622500803600133</v>
      </c>
      <c r="I42" s="49">
        <f t="shared" si="16"/>
        <v>91.256258752661765</v>
      </c>
    </row>
  </sheetData>
  <mergeCells count="2">
    <mergeCell ref="D8:F8"/>
    <mergeCell ref="A42:B42"/>
  </mergeCells>
  <pageMargins left="0.70866141732283472" right="0.70866141732283472" top="0.78740157480314965" bottom="0.78740157480314965" header="0.31496062992125984" footer="0.31496062992125984"/>
  <pageSetup paperSize="9" scale="58" orientation="portrait" r:id="rId1"/>
  <headerFooter>
    <oddFooter>&amp;L&amp;8&amp;F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4"/>
  <sheetViews>
    <sheetView topLeftCell="A4" zoomScaleNormal="100" workbookViewId="0">
      <selection activeCell="Q26" sqref="Q26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4" width="18.7109375" customWidth="1" outlineLevel="1" collapsed="1"/>
    <col min="5" max="5" width="17.42578125" customWidth="1" outlineLevel="1"/>
    <col min="6" max="8" width="15.28515625" customWidth="1" outlineLevel="1"/>
    <col min="9" max="9" width="21.28515625" customWidth="1" outlineLevel="1" collapsed="1"/>
    <col min="10" max="10" width="16.5703125" customWidth="1" outlineLevel="1"/>
    <col min="11" max="12" width="15.42578125" customWidth="1" outlineLevel="1"/>
    <col min="13" max="13" width="15.28515625" customWidth="1" outlineLevel="1"/>
  </cols>
  <sheetData>
    <row r="1" spans="1:21" ht="15" x14ac:dyDescent="0.25">
      <c r="A1" s="13" t="s">
        <v>28</v>
      </c>
      <c r="M1" s="70" t="s">
        <v>29</v>
      </c>
    </row>
    <row r="2" spans="1:21" ht="15" x14ac:dyDescent="0.25">
      <c r="A2" s="13"/>
      <c r="M2" s="70"/>
    </row>
    <row r="3" spans="1:21" ht="15" x14ac:dyDescent="0.25">
      <c r="A3" s="13"/>
      <c r="M3" s="70"/>
    </row>
    <row r="4" spans="1:21" ht="15" x14ac:dyDescent="0.25">
      <c r="A4" s="13"/>
    </row>
    <row r="5" spans="1:21" ht="15" x14ac:dyDescent="0.25">
      <c r="A5" s="13" t="s">
        <v>21</v>
      </c>
    </row>
    <row r="6" spans="1:21" ht="15" x14ac:dyDescent="0.25">
      <c r="A6" s="98" t="s">
        <v>42</v>
      </c>
    </row>
    <row r="7" spans="1:21" ht="13.5" thickBot="1" x14ac:dyDescent="0.25"/>
    <row r="8" spans="1:21" ht="17.25" customHeight="1" thickBot="1" x14ac:dyDescent="0.25">
      <c r="A8" s="1"/>
      <c r="B8" s="16" t="s">
        <v>17</v>
      </c>
      <c r="C8" s="76"/>
      <c r="D8" s="104" t="s">
        <v>0</v>
      </c>
      <c r="E8" s="105"/>
      <c r="F8" s="105"/>
      <c r="G8" s="105"/>
      <c r="H8" s="106"/>
      <c r="I8" s="104" t="s">
        <v>4</v>
      </c>
      <c r="J8" s="107"/>
      <c r="K8" s="107"/>
      <c r="L8" s="107"/>
      <c r="M8" s="108"/>
      <c r="N8" s="2"/>
    </row>
    <row r="9" spans="1:21" ht="19.5" customHeight="1" x14ac:dyDescent="0.2">
      <c r="A9" s="7"/>
      <c r="B9" s="17"/>
      <c r="C9" s="31"/>
      <c r="D9" s="22" t="s">
        <v>38</v>
      </c>
      <c r="E9" s="11" t="s">
        <v>37</v>
      </c>
      <c r="F9" s="31" t="s">
        <v>1</v>
      </c>
      <c r="G9" s="23" t="s">
        <v>1</v>
      </c>
      <c r="H9" s="79"/>
      <c r="I9" s="19" t="s">
        <v>38</v>
      </c>
      <c r="J9" s="17" t="s">
        <v>39</v>
      </c>
      <c r="K9" s="17" t="s">
        <v>1</v>
      </c>
      <c r="L9" s="23" t="s">
        <v>1</v>
      </c>
      <c r="M9" s="79" t="s">
        <v>3</v>
      </c>
      <c r="T9" t="s">
        <v>30</v>
      </c>
      <c r="U9" t="s">
        <v>31</v>
      </c>
    </row>
    <row r="10" spans="1:21" ht="19.5" customHeight="1" x14ac:dyDescent="0.2">
      <c r="A10" s="7"/>
      <c r="B10" s="17"/>
      <c r="C10" s="31"/>
      <c r="D10" s="22" t="s">
        <v>35</v>
      </c>
      <c r="E10" s="11" t="s">
        <v>2</v>
      </c>
      <c r="F10" s="31" t="s">
        <v>36</v>
      </c>
      <c r="G10" s="23" t="s">
        <v>41</v>
      </c>
      <c r="H10" s="79" t="s">
        <v>3</v>
      </c>
      <c r="I10" s="19" t="s">
        <v>35</v>
      </c>
      <c r="J10" s="17" t="s">
        <v>2</v>
      </c>
      <c r="K10" s="17" t="s">
        <v>36</v>
      </c>
      <c r="L10" s="23" t="s">
        <v>41</v>
      </c>
      <c r="M10" s="79" t="s">
        <v>3</v>
      </c>
      <c r="T10" t="s">
        <v>30</v>
      </c>
      <c r="U10" t="s">
        <v>31</v>
      </c>
    </row>
    <row r="11" spans="1:21" ht="15" customHeight="1" x14ac:dyDescent="0.2">
      <c r="A11" s="2" t="s">
        <v>20</v>
      </c>
      <c r="B11" s="4" t="s">
        <v>8</v>
      </c>
      <c r="C11" s="6">
        <v>145</v>
      </c>
      <c r="D11" s="24"/>
      <c r="E11" s="6"/>
      <c r="F11" s="77"/>
      <c r="G11" s="25"/>
      <c r="H11" s="80"/>
      <c r="I11" s="5"/>
      <c r="J11" s="4"/>
      <c r="K11" s="4"/>
      <c r="L11" s="25"/>
      <c r="M11" s="80"/>
      <c r="T11">
        <v>5882</v>
      </c>
      <c r="U11">
        <v>2400.5</v>
      </c>
    </row>
    <row r="12" spans="1:21" ht="15" customHeight="1" x14ac:dyDescent="0.2">
      <c r="A12" s="2" t="s">
        <v>19</v>
      </c>
      <c r="B12" s="4" t="s">
        <v>9</v>
      </c>
      <c r="C12" s="6">
        <v>122</v>
      </c>
      <c r="D12" s="24">
        <f>1129.5+146+130.25+113+118+163.75+182.75+171+88.5+179.5+72.25+72.25</f>
        <v>2566.75</v>
      </c>
      <c r="E12" s="6">
        <f>8.5+1.5+3+3.5</f>
        <v>16.5</v>
      </c>
      <c r="F12" s="77">
        <f>13.5+15.75+32.25+28</f>
        <v>89.5</v>
      </c>
      <c r="G12" s="25"/>
      <c r="H12" s="86">
        <f t="shared" ref="H12:H19" si="0">SUM(D12:F12)</f>
        <v>2672.75</v>
      </c>
      <c r="I12" s="20">
        <f t="shared" ref="I12:I19" si="1">D12*C12</f>
        <v>313143.5</v>
      </c>
      <c r="J12" s="93">
        <f t="shared" ref="J12:J19" si="2">E12*C12</f>
        <v>2013</v>
      </c>
      <c r="K12" s="93">
        <f t="shared" ref="K12:K19" si="3">F12*C12</f>
        <v>10919</v>
      </c>
      <c r="L12" s="71"/>
      <c r="M12" s="81">
        <f>SUM(I12:L12)</f>
        <v>326075.5</v>
      </c>
      <c r="T12">
        <v>16301.5</v>
      </c>
      <c r="U12">
        <v>4708</v>
      </c>
    </row>
    <row r="13" spans="1:21" ht="15" customHeight="1" x14ac:dyDescent="0.2">
      <c r="A13" s="2"/>
      <c r="B13" s="4" t="s">
        <v>10</v>
      </c>
      <c r="C13" s="6">
        <v>95</v>
      </c>
      <c r="D13" s="24">
        <f>501+90.25+65.75+95.5+88.5+43.5+107.25+141.5+133.75+84.5+39+48.75</f>
        <v>1439.25</v>
      </c>
      <c r="E13" s="6">
        <f>51+160.5+86+148.5+114.75+158.75+71.25+121.25+102.75+14.75+1+9.5+3.75</f>
        <v>1043.75</v>
      </c>
      <c r="F13" s="77">
        <f>80.25+51</f>
        <v>131.25</v>
      </c>
      <c r="G13" s="25"/>
      <c r="H13" s="86">
        <f t="shared" si="0"/>
        <v>2614.25</v>
      </c>
      <c r="I13" s="20">
        <f t="shared" si="1"/>
        <v>136728.75</v>
      </c>
      <c r="J13" s="93">
        <f t="shared" si="2"/>
        <v>99156.25</v>
      </c>
      <c r="K13" s="93">
        <f t="shared" si="3"/>
        <v>12468.75</v>
      </c>
      <c r="L13" s="71"/>
      <c r="M13" s="81">
        <f>SUM(I13:L13)</f>
        <v>248353.75</v>
      </c>
      <c r="T13">
        <v>10749.5</v>
      </c>
      <c r="U13">
        <v>8151.5</v>
      </c>
    </row>
    <row r="14" spans="1:21" ht="15" customHeight="1" x14ac:dyDescent="0.2">
      <c r="A14" s="2"/>
      <c r="B14" s="4" t="s">
        <v>11</v>
      </c>
      <c r="C14" s="6">
        <v>86</v>
      </c>
      <c r="D14" s="24">
        <f>243.5+99.5+85+88.75+129.75+112.5+102.75+203+51.5+25.75+20.75+26.75</f>
        <v>1189.5</v>
      </c>
      <c r="E14" s="6">
        <f>104.5+30+50.75+71.5+75.5+3.5+44.25+0.5+1+0.75+0.5</f>
        <v>382.75</v>
      </c>
      <c r="F14" s="77">
        <f>66.75+46.25</f>
        <v>113</v>
      </c>
      <c r="G14" s="25"/>
      <c r="H14" s="86">
        <f t="shared" si="0"/>
        <v>1685.25</v>
      </c>
      <c r="I14" s="20">
        <f t="shared" si="1"/>
        <v>102297</v>
      </c>
      <c r="J14" s="93">
        <f t="shared" si="2"/>
        <v>32916.5</v>
      </c>
      <c r="K14" s="93">
        <f t="shared" si="3"/>
        <v>9718</v>
      </c>
      <c r="L14" s="71"/>
      <c r="M14" s="81">
        <f t="shared" ref="M14:M19" si="4">SUM(I14:L14)</f>
        <v>144931.5</v>
      </c>
      <c r="T14">
        <v>34940.5</v>
      </c>
      <c r="U14">
        <v>14636.5</v>
      </c>
    </row>
    <row r="15" spans="1:21" ht="15" customHeight="1" x14ac:dyDescent="0.2">
      <c r="A15" s="2"/>
      <c r="B15" s="4" t="s">
        <v>12</v>
      </c>
      <c r="C15" s="6">
        <v>62</v>
      </c>
      <c r="D15" s="24">
        <f>80.75+11+0.5</f>
        <v>92.25</v>
      </c>
      <c r="E15" s="6">
        <f>17+36.75+173.5+43.25+109.25+121+18+15.75</f>
        <v>534.5</v>
      </c>
      <c r="F15" s="77"/>
      <c r="G15" s="25"/>
      <c r="H15" s="86">
        <f t="shared" si="0"/>
        <v>626.75</v>
      </c>
      <c r="I15" s="20">
        <f t="shared" si="1"/>
        <v>5719.5</v>
      </c>
      <c r="J15" s="93">
        <f t="shared" si="2"/>
        <v>33139</v>
      </c>
      <c r="K15" s="93">
        <f t="shared" si="3"/>
        <v>0</v>
      </c>
      <c r="L15" s="71"/>
      <c r="M15" s="81">
        <f t="shared" si="4"/>
        <v>38858.5</v>
      </c>
      <c r="T15">
        <v>19731.75</v>
      </c>
      <c r="U15">
        <v>8637.5</v>
      </c>
    </row>
    <row r="16" spans="1:21" ht="15" customHeight="1" x14ac:dyDescent="0.2">
      <c r="A16" s="2"/>
      <c r="B16" s="4" t="s">
        <v>13</v>
      </c>
      <c r="C16" s="6">
        <v>50</v>
      </c>
      <c r="D16" s="24">
        <f>264.5+10.5+19.25+19.75+34.75+40.25+59+8.25+68+38.5+17.25</f>
        <v>580</v>
      </c>
      <c r="E16" s="6">
        <f>68+51+34.25+38.25</f>
        <v>191.5</v>
      </c>
      <c r="F16" s="77">
        <v>13.5</v>
      </c>
      <c r="G16" s="25"/>
      <c r="H16" s="86">
        <f t="shared" si="0"/>
        <v>785</v>
      </c>
      <c r="I16" s="20">
        <f t="shared" si="1"/>
        <v>29000</v>
      </c>
      <c r="J16" s="93">
        <f t="shared" si="2"/>
        <v>9575</v>
      </c>
      <c r="K16" s="93">
        <f t="shared" si="3"/>
        <v>675</v>
      </c>
      <c r="L16" s="71"/>
      <c r="M16" s="81">
        <f t="shared" si="4"/>
        <v>39250</v>
      </c>
      <c r="T16">
        <v>26219.25</v>
      </c>
      <c r="U16">
        <v>23161.5</v>
      </c>
    </row>
    <row r="17" spans="1:21" ht="15" customHeight="1" x14ac:dyDescent="0.2">
      <c r="A17" s="2"/>
      <c r="B17" s="4" t="s">
        <v>14</v>
      </c>
      <c r="C17" s="6">
        <v>8</v>
      </c>
      <c r="D17" s="24">
        <v>0</v>
      </c>
      <c r="E17" s="6">
        <v>0</v>
      </c>
      <c r="F17" s="77"/>
      <c r="G17" s="25"/>
      <c r="H17" s="86">
        <f t="shared" si="0"/>
        <v>0</v>
      </c>
      <c r="I17" s="20">
        <f t="shared" si="1"/>
        <v>0</v>
      </c>
      <c r="J17" s="93">
        <f t="shared" si="2"/>
        <v>0</v>
      </c>
      <c r="K17" s="93">
        <f t="shared" si="3"/>
        <v>0</v>
      </c>
      <c r="L17" s="71"/>
      <c r="M17" s="81">
        <f t="shared" si="4"/>
        <v>0</v>
      </c>
      <c r="T17">
        <v>19400.75</v>
      </c>
      <c r="U17">
        <v>30423.5</v>
      </c>
    </row>
    <row r="18" spans="1:21" ht="15" customHeight="1" x14ac:dyDescent="0.2">
      <c r="A18" s="2"/>
      <c r="B18" s="4" t="s">
        <v>15</v>
      </c>
      <c r="C18" s="6">
        <v>6</v>
      </c>
      <c r="D18" s="24">
        <f>4+27.5+3</f>
        <v>34.5</v>
      </c>
      <c r="E18" s="6">
        <f>5.75+20.25</f>
        <v>26</v>
      </c>
      <c r="F18" s="77">
        <v>3.25</v>
      </c>
      <c r="G18" s="25"/>
      <c r="H18" s="86">
        <f t="shared" si="0"/>
        <v>63.75</v>
      </c>
      <c r="I18" s="20">
        <f t="shared" si="1"/>
        <v>207</v>
      </c>
      <c r="J18" s="93">
        <f t="shared" si="2"/>
        <v>156</v>
      </c>
      <c r="K18" s="93">
        <f t="shared" si="3"/>
        <v>19.5</v>
      </c>
      <c r="L18" s="71"/>
      <c r="M18" s="81">
        <f t="shared" si="4"/>
        <v>382.5</v>
      </c>
      <c r="T18">
        <v>23334.25</v>
      </c>
      <c r="U18">
        <v>26793</v>
      </c>
    </row>
    <row r="19" spans="1:21" ht="15" customHeight="1" x14ac:dyDescent="0.2">
      <c r="A19" s="2"/>
      <c r="B19" s="4" t="s">
        <v>16</v>
      </c>
      <c r="C19" s="6">
        <v>4</v>
      </c>
      <c r="D19" s="24">
        <f>17.5+15.5+14.5+58.5</f>
        <v>106</v>
      </c>
      <c r="E19" s="6">
        <f>23+25</f>
        <v>48</v>
      </c>
      <c r="F19" s="77"/>
      <c r="G19" s="25"/>
      <c r="H19" s="86">
        <f t="shared" si="0"/>
        <v>154</v>
      </c>
      <c r="I19" s="20">
        <f t="shared" si="1"/>
        <v>424</v>
      </c>
      <c r="J19" s="93">
        <f t="shared" si="2"/>
        <v>192</v>
      </c>
      <c r="K19" s="93">
        <f t="shared" si="3"/>
        <v>0</v>
      </c>
      <c r="L19" s="71"/>
      <c r="M19" s="81">
        <f t="shared" si="4"/>
        <v>616</v>
      </c>
      <c r="T19">
        <v>16582.25</v>
      </c>
      <c r="U19">
        <v>15316.5</v>
      </c>
    </row>
    <row r="20" spans="1:21" ht="15" customHeight="1" x14ac:dyDescent="0.2">
      <c r="A20" s="54" t="s">
        <v>3</v>
      </c>
      <c r="B20" s="55"/>
      <c r="C20" s="56"/>
      <c r="D20" s="57">
        <f>SUM(D12:D19)</f>
        <v>6008.25</v>
      </c>
      <c r="E20" s="55">
        <f>SUM(E12:E19)</f>
        <v>2243</v>
      </c>
      <c r="F20" s="56">
        <f>SUM(F12:F19)</f>
        <v>350.5</v>
      </c>
      <c r="G20" s="58"/>
      <c r="H20" s="87">
        <f t="shared" ref="H20:I20" si="5">SUM(H12:H19)</f>
        <v>8601.75</v>
      </c>
      <c r="I20" s="59">
        <f t="shared" si="5"/>
        <v>587519.75</v>
      </c>
      <c r="J20" s="94">
        <f>SUM(J12:J19)</f>
        <v>177147.75</v>
      </c>
      <c r="K20" s="94">
        <f>SUM(K12:K19)</f>
        <v>33800.25</v>
      </c>
      <c r="L20" s="63"/>
      <c r="M20" s="82">
        <f>SUM(M12:M19)</f>
        <v>798467.75</v>
      </c>
      <c r="T20">
        <v>1665.75</v>
      </c>
      <c r="U20">
        <v>2144.5</v>
      </c>
    </row>
    <row r="21" spans="1:21" ht="15" customHeight="1" x14ac:dyDescent="0.2">
      <c r="A21" s="2" t="s">
        <v>5</v>
      </c>
      <c r="B21" s="4" t="s">
        <v>8</v>
      </c>
      <c r="C21" s="6">
        <v>145</v>
      </c>
      <c r="D21" s="24">
        <v>12.75</v>
      </c>
      <c r="E21" s="96">
        <v>0</v>
      </c>
      <c r="F21" s="6"/>
      <c r="G21" s="25"/>
      <c r="H21" s="86">
        <f>SUM(D21:G21)</f>
        <v>12.75</v>
      </c>
      <c r="I21" s="32">
        <f t="shared" ref="I21:I29" si="6">D21*C21</f>
        <v>1848.75</v>
      </c>
      <c r="J21" s="93">
        <f t="shared" ref="J21:J29" si="7">E21*C21</f>
        <v>0</v>
      </c>
      <c r="K21" s="93">
        <f t="shared" ref="K21:K29" si="8">F21*C21</f>
        <v>0</v>
      </c>
      <c r="L21" s="71">
        <f>C21*G21</f>
        <v>0</v>
      </c>
      <c r="M21" s="81">
        <f t="shared" ref="M21:M29" si="9">SUM(I21:L21)</f>
        <v>1848.75</v>
      </c>
      <c r="T21">
        <v>95</v>
      </c>
    </row>
    <row r="22" spans="1:21" ht="15" customHeight="1" x14ac:dyDescent="0.2">
      <c r="A22" s="2"/>
      <c r="B22" s="4" t="s">
        <v>9</v>
      </c>
      <c r="C22" s="6">
        <v>122</v>
      </c>
      <c r="D22" s="24">
        <f>248.75+38.75+1+82.5+52+27.75+15.5+83.25+32.5+84.5+3</f>
        <v>669.5</v>
      </c>
      <c r="E22" s="4">
        <v>2.5</v>
      </c>
      <c r="F22" s="6">
        <f>82.5+57.75</f>
        <v>140.25</v>
      </c>
      <c r="G22" s="25">
        <f>1.25+32.75</f>
        <v>34</v>
      </c>
      <c r="H22" s="86">
        <f>SUM(D22:G22)</f>
        <v>846.25</v>
      </c>
      <c r="I22" s="32">
        <f t="shared" si="6"/>
        <v>81679</v>
      </c>
      <c r="J22" s="93">
        <f t="shared" si="7"/>
        <v>305</v>
      </c>
      <c r="K22" s="93">
        <f>F22*C22</f>
        <v>17110.5</v>
      </c>
      <c r="L22" s="71">
        <f>C22*G22</f>
        <v>4148</v>
      </c>
      <c r="M22" s="81">
        <f t="shared" si="9"/>
        <v>103242.5</v>
      </c>
      <c r="T22">
        <v>1268.5</v>
      </c>
    </row>
    <row r="23" spans="1:21" ht="15" customHeight="1" x14ac:dyDescent="0.2">
      <c r="A23" s="2"/>
      <c r="B23" s="4" t="s">
        <v>10</v>
      </c>
      <c r="C23" s="6">
        <v>95</v>
      </c>
      <c r="D23" s="24">
        <f>374+109+28+119.75+168.5+217.5+222.25+149.5+136+202.5+2.75+3.5</f>
        <v>1733.25</v>
      </c>
      <c r="E23" s="4">
        <f>417+18.5</f>
        <v>435.5</v>
      </c>
      <c r="F23" s="6">
        <f>208.75+210.75</f>
        <v>419.5</v>
      </c>
      <c r="G23" s="25">
        <f>2+5.25</f>
        <v>7.25</v>
      </c>
      <c r="H23" s="86">
        <f>SUM(D23:G23)</f>
        <v>2595.5</v>
      </c>
      <c r="I23" s="32">
        <f t="shared" si="6"/>
        <v>164658.75</v>
      </c>
      <c r="J23" s="93">
        <f t="shared" si="7"/>
        <v>41372.5</v>
      </c>
      <c r="K23" s="93">
        <f t="shared" si="8"/>
        <v>39852.5</v>
      </c>
      <c r="L23" s="71">
        <f t="shared" ref="L23:L29" si="10">C23*G23</f>
        <v>688.75</v>
      </c>
      <c r="M23" s="81">
        <f t="shared" si="9"/>
        <v>246572.5</v>
      </c>
      <c r="S23" t="s">
        <v>32</v>
      </c>
      <c r="T23">
        <v>976.75</v>
      </c>
    </row>
    <row r="24" spans="1:21" ht="15" customHeight="1" x14ac:dyDescent="0.2">
      <c r="A24" s="2"/>
      <c r="B24" s="4" t="s">
        <v>11</v>
      </c>
      <c r="C24" s="6">
        <v>86</v>
      </c>
      <c r="D24" s="24">
        <f>181.5+68.75+63.75+99.75+85.5+123+84+136.5+77+89.25+40.5+57</f>
        <v>1106.5</v>
      </c>
      <c r="E24" s="4">
        <f>1017+4.5</f>
        <v>1021.5</v>
      </c>
      <c r="F24" s="6">
        <f>180.75+159.25</f>
        <v>340</v>
      </c>
      <c r="G24" s="25">
        <f>1+178.25</f>
        <v>179.25</v>
      </c>
      <c r="H24" s="86">
        <f t="shared" ref="H24:H29" si="11">SUM(D24:G24)</f>
        <v>2647.25</v>
      </c>
      <c r="I24" s="32">
        <f t="shared" si="6"/>
        <v>95159</v>
      </c>
      <c r="J24" s="93">
        <f t="shared" si="7"/>
        <v>87849</v>
      </c>
      <c r="K24" s="93">
        <f t="shared" si="8"/>
        <v>29240</v>
      </c>
      <c r="L24" s="71">
        <f t="shared" si="10"/>
        <v>15415.5</v>
      </c>
      <c r="M24" s="81">
        <f t="shared" si="9"/>
        <v>227663.5</v>
      </c>
    </row>
    <row r="25" spans="1:21" ht="15" customHeight="1" x14ac:dyDescent="0.2">
      <c r="A25" s="2"/>
      <c r="B25" s="4" t="s">
        <v>12</v>
      </c>
      <c r="C25" s="6">
        <v>62</v>
      </c>
      <c r="D25" s="24">
        <f>98.25+33.75+55.75+54+15.25+41+120.75+48.25+68+48.5+14</f>
        <v>597.5</v>
      </c>
      <c r="E25" s="4">
        <v>101.25</v>
      </c>
      <c r="F25" s="6">
        <f>55.75+25.75</f>
        <v>81.5</v>
      </c>
      <c r="G25" s="25">
        <f>46.75+60.75</f>
        <v>107.5</v>
      </c>
      <c r="H25" s="86">
        <f t="shared" si="11"/>
        <v>887.75</v>
      </c>
      <c r="I25" s="32">
        <f t="shared" si="6"/>
        <v>37045</v>
      </c>
      <c r="J25" s="93">
        <f t="shared" si="7"/>
        <v>6277.5</v>
      </c>
      <c r="K25" s="93">
        <f t="shared" si="8"/>
        <v>5053</v>
      </c>
      <c r="L25" s="71">
        <f t="shared" si="10"/>
        <v>6665</v>
      </c>
      <c r="M25" s="81">
        <f t="shared" si="9"/>
        <v>55040.5</v>
      </c>
      <c r="T25">
        <f>SUM(T11:T24)</f>
        <v>177147.75</v>
      </c>
      <c r="U25">
        <f>SUM(U11:U24)</f>
        <v>136373</v>
      </c>
    </row>
    <row r="26" spans="1:21" ht="15" customHeight="1" x14ac:dyDescent="0.2">
      <c r="A26" s="2"/>
      <c r="B26" s="4" t="s">
        <v>13</v>
      </c>
      <c r="C26" s="6">
        <v>50</v>
      </c>
      <c r="D26" s="24">
        <f>0.5+5+7+12.5</f>
        <v>25</v>
      </c>
      <c r="E26" s="4">
        <v>0</v>
      </c>
      <c r="F26" s="6"/>
      <c r="G26" s="25"/>
      <c r="H26" s="86">
        <f t="shared" si="11"/>
        <v>25</v>
      </c>
      <c r="I26" s="32">
        <f t="shared" si="6"/>
        <v>1250</v>
      </c>
      <c r="J26" s="93">
        <f t="shared" si="7"/>
        <v>0</v>
      </c>
      <c r="K26" s="93">
        <f t="shared" si="8"/>
        <v>0</v>
      </c>
      <c r="L26" s="71">
        <f t="shared" si="10"/>
        <v>0</v>
      </c>
      <c r="M26" s="81">
        <f t="shared" si="9"/>
        <v>1250</v>
      </c>
    </row>
    <row r="27" spans="1:21" ht="15" customHeight="1" x14ac:dyDescent="0.2">
      <c r="A27" s="2"/>
      <c r="B27" s="4" t="s">
        <v>14</v>
      </c>
      <c r="C27" s="6">
        <v>8</v>
      </c>
      <c r="D27" s="24">
        <f>16.25</f>
        <v>16.25</v>
      </c>
      <c r="E27" s="4">
        <v>29.5</v>
      </c>
      <c r="F27" s="6"/>
      <c r="G27" s="25"/>
      <c r="H27" s="86">
        <f t="shared" si="11"/>
        <v>45.75</v>
      </c>
      <c r="I27" s="32">
        <f t="shared" si="6"/>
        <v>130</v>
      </c>
      <c r="J27" s="93">
        <f t="shared" si="7"/>
        <v>236</v>
      </c>
      <c r="K27" s="93">
        <f t="shared" si="8"/>
        <v>0</v>
      </c>
      <c r="L27" s="71">
        <f t="shared" si="10"/>
        <v>0</v>
      </c>
      <c r="M27" s="81">
        <f t="shared" si="9"/>
        <v>366</v>
      </c>
    </row>
    <row r="28" spans="1:21" ht="15" customHeight="1" x14ac:dyDescent="0.2">
      <c r="A28" s="2"/>
      <c r="B28" s="4" t="s">
        <v>15</v>
      </c>
      <c r="C28" s="6">
        <v>6</v>
      </c>
      <c r="D28" s="24">
        <f>4.5+11+32.25</f>
        <v>47.75</v>
      </c>
      <c r="E28" s="4">
        <v>55.5</v>
      </c>
      <c r="F28" s="6">
        <f>10.5+16.75</f>
        <v>27.25</v>
      </c>
      <c r="G28" s="25"/>
      <c r="H28" s="86">
        <f t="shared" si="11"/>
        <v>130.5</v>
      </c>
      <c r="I28" s="32">
        <f t="shared" si="6"/>
        <v>286.5</v>
      </c>
      <c r="J28" s="93">
        <f t="shared" si="7"/>
        <v>333</v>
      </c>
      <c r="K28" s="93">
        <f t="shared" si="8"/>
        <v>163.5</v>
      </c>
      <c r="L28" s="71">
        <f t="shared" si="10"/>
        <v>0</v>
      </c>
      <c r="M28" s="81">
        <f t="shared" si="9"/>
        <v>783</v>
      </c>
    </row>
    <row r="29" spans="1:21" ht="15" customHeight="1" x14ac:dyDescent="0.2">
      <c r="A29" s="2"/>
      <c r="B29" s="4" t="s">
        <v>16</v>
      </c>
      <c r="C29" s="6">
        <v>4</v>
      </c>
      <c r="D29" s="24">
        <f>2.5+3.5+25.5+4+9.25+4+6+40.5</f>
        <v>95.25</v>
      </c>
      <c r="E29" s="4">
        <v>0</v>
      </c>
      <c r="F29" s="6"/>
      <c r="G29" s="25"/>
      <c r="H29" s="86">
        <f t="shared" si="11"/>
        <v>95.25</v>
      </c>
      <c r="I29" s="32">
        <f t="shared" si="6"/>
        <v>381</v>
      </c>
      <c r="J29" s="93">
        <f t="shared" si="7"/>
        <v>0</v>
      </c>
      <c r="K29" s="93">
        <f t="shared" si="8"/>
        <v>0</v>
      </c>
      <c r="L29" s="71">
        <f t="shared" si="10"/>
        <v>0</v>
      </c>
      <c r="M29" s="81">
        <f t="shared" si="9"/>
        <v>381</v>
      </c>
    </row>
    <row r="30" spans="1:21" ht="15" customHeight="1" x14ac:dyDescent="0.2">
      <c r="A30" s="54" t="s">
        <v>3</v>
      </c>
      <c r="B30" s="55"/>
      <c r="C30" s="56"/>
      <c r="D30" s="57">
        <f>SUM(D21:D29)</f>
        <v>4303.75</v>
      </c>
      <c r="E30" s="55">
        <f>SUM(E21:E29)</f>
        <v>1645.75</v>
      </c>
      <c r="F30" s="56">
        <f>SUM(F21:F29)</f>
        <v>1008.5</v>
      </c>
      <c r="G30" s="58">
        <f>SUM(G21:G29)</f>
        <v>328</v>
      </c>
      <c r="H30" s="87">
        <f>SUM(H21:H29)</f>
        <v>7286</v>
      </c>
      <c r="I30" s="59">
        <f t="shared" ref="I30:M30" si="12">SUM(I21:I29)</f>
        <v>382438</v>
      </c>
      <c r="J30" s="94">
        <f>SUM(J21:J29)</f>
        <v>136373</v>
      </c>
      <c r="K30" s="94">
        <f>SUM(K21:K29)</f>
        <v>91419.5</v>
      </c>
      <c r="L30" s="63">
        <f>SUM(L21:L29)</f>
        <v>26917.25</v>
      </c>
      <c r="M30" s="82">
        <f t="shared" si="12"/>
        <v>637147.75</v>
      </c>
    </row>
    <row r="31" spans="1:21" ht="3.75" customHeight="1" x14ac:dyDescent="0.2">
      <c r="A31" s="7"/>
      <c r="B31" s="18"/>
      <c r="C31" s="28"/>
      <c r="D31" s="27"/>
      <c r="E31" s="18"/>
      <c r="F31" s="8"/>
      <c r="G31" s="28"/>
      <c r="H31" s="88"/>
      <c r="I31" s="21"/>
      <c r="J31" s="95"/>
      <c r="K31" s="95"/>
      <c r="L31" s="72"/>
      <c r="M31" s="83"/>
    </row>
    <row r="32" spans="1:21" ht="15" customHeight="1" x14ac:dyDescent="0.2">
      <c r="A32" s="2" t="s">
        <v>6</v>
      </c>
      <c r="B32" s="4" t="s">
        <v>9</v>
      </c>
      <c r="C32" s="6">
        <v>122</v>
      </c>
      <c r="D32" s="24">
        <f>119+9+0.5+2+2.5+10+8+4+16+11.5+2.5+9.5</f>
        <v>194.5</v>
      </c>
      <c r="E32" s="4"/>
      <c r="F32" s="6"/>
      <c r="G32" s="25"/>
      <c r="H32" s="86">
        <f>SUM(D32:F32)</f>
        <v>194.5</v>
      </c>
      <c r="I32" s="20">
        <f>H32*C32</f>
        <v>23729</v>
      </c>
      <c r="J32" s="93"/>
      <c r="K32" s="93">
        <f t="shared" ref="K32:K34" si="13">F32*C32</f>
        <v>0</v>
      </c>
      <c r="L32" s="71"/>
      <c r="M32" s="81">
        <f t="shared" ref="M32:M34" si="14">SUM(I32:L32)</f>
        <v>23729</v>
      </c>
    </row>
    <row r="33" spans="1:13" ht="15" customHeight="1" x14ac:dyDescent="0.2">
      <c r="A33" s="2"/>
      <c r="B33" s="4" t="s">
        <v>10</v>
      </c>
      <c r="C33" s="6">
        <v>95</v>
      </c>
      <c r="D33" s="24">
        <f>97.25+10+35.75+7+2+3+33+2+1.5</f>
        <v>191.5</v>
      </c>
      <c r="E33" s="4"/>
      <c r="F33" s="6"/>
      <c r="G33" s="25"/>
      <c r="H33" s="86">
        <f>SUM(D33:F33)</f>
        <v>191.5</v>
      </c>
      <c r="I33" s="20">
        <f>H33*C33</f>
        <v>18192.5</v>
      </c>
      <c r="J33" s="93"/>
      <c r="K33" s="93">
        <f t="shared" si="13"/>
        <v>0</v>
      </c>
      <c r="L33" s="71"/>
      <c r="M33" s="81">
        <f t="shared" si="14"/>
        <v>18192.5</v>
      </c>
    </row>
    <row r="34" spans="1:13" ht="15" customHeight="1" x14ac:dyDescent="0.2">
      <c r="A34" s="2"/>
      <c r="B34" s="4" t="s">
        <v>11</v>
      </c>
      <c r="C34" s="6">
        <v>86</v>
      </c>
      <c r="D34" s="24">
        <f>0.5+22</f>
        <v>22.5</v>
      </c>
      <c r="E34" s="4"/>
      <c r="F34" s="6"/>
      <c r="G34" s="25"/>
      <c r="H34" s="86">
        <f>SUM(D34:F34)</f>
        <v>22.5</v>
      </c>
      <c r="I34" s="20">
        <f>H34*C34</f>
        <v>1935</v>
      </c>
      <c r="J34" s="93"/>
      <c r="K34" s="93">
        <f t="shared" si="13"/>
        <v>0</v>
      </c>
      <c r="L34" s="71"/>
      <c r="M34" s="81">
        <f t="shared" si="14"/>
        <v>1935</v>
      </c>
    </row>
    <row r="35" spans="1:13" ht="15" customHeight="1" x14ac:dyDescent="0.2">
      <c r="A35" s="54" t="s">
        <v>3</v>
      </c>
      <c r="B35" s="55"/>
      <c r="C35" s="56"/>
      <c r="D35" s="57">
        <f>SUM(D32:D34)</f>
        <v>408.5</v>
      </c>
      <c r="E35" s="55">
        <f>SUM(E32:E34)</f>
        <v>0</v>
      </c>
      <c r="F35" s="56">
        <f>SUM(F32:F34)</f>
        <v>0</v>
      </c>
      <c r="G35" s="58"/>
      <c r="H35" s="87">
        <f t="shared" ref="H35:M35" si="15">SUM(H32:H34)</f>
        <v>408.5</v>
      </c>
      <c r="I35" s="62">
        <f t="shared" si="15"/>
        <v>43856.5</v>
      </c>
      <c r="J35" s="94">
        <f>SUM(J32:J34)</f>
        <v>0</v>
      </c>
      <c r="K35" s="94">
        <f>SUM(K32:K34)</f>
        <v>0</v>
      </c>
      <c r="L35" s="63"/>
      <c r="M35" s="82">
        <f t="shared" si="15"/>
        <v>43856.5</v>
      </c>
    </row>
    <row r="36" spans="1:13" ht="15" customHeight="1" x14ac:dyDescent="0.2">
      <c r="A36" s="2" t="s">
        <v>7</v>
      </c>
      <c r="B36" s="4" t="s">
        <v>9</v>
      </c>
      <c r="C36" s="6">
        <v>122</v>
      </c>
      <c r="D36" s="24">
        <f>11.25+1.5+1+2+3+11.5+5.25+15+9.5+0.5+2.75+9.25</f>
        <v>72.5</v>
      </c>
      <c r="E36" s="4"/>
      <c r="F36" s="6"/>
      <c r="G36" s="25"/>
      <c r="H36" s="86">
        <f>SUM(D36:F36)</f>
        <v>72.5</v>
      </c>
      <c r="I36" s="20">
        <f>H36*C36</f>
        <v>8845</v>
      </c>
      <c r="J36" s="93"/>
      <c r="K36" s="93">
        <f t="shared" ref="K36:K39" si="16">F36*C36</f>
        <v>0</v>
      </c>
      <c r="L36" s="71"/>
      <c r="M36" s="81">
        <f t="shared" ref="M36:M39" si="17">SUM(I36:L36)</f>
        <v>8845</v>
      </c>
    </row>
    <row r="37" spans="1:13" ht="15" customHeight="1" x14ac:dyDescent="0.2">
      <c r="A37" s="2"/>
      <c r="B37" s="4" t="s">
        <v>10</v>
      </c>
      <c r="C37" s="6">
        <v>95</v>
      </c>
      <c r="D37" s="24">
        <v>6.25</v>
      </c>
      <c r="E37" s="4"/>
      <c r="F37" s="6"/>
      <c r="G37" s="25"/>
      <c r="H37" s="86">
        <f>SUM(D37:F37)</f>
        <v>6.25</v>
      </c>
      <c r="I37" s="20">
        <f>H37*C37</f>
        <v>593.75</v>
      </c>
      <c r="J37" s="93"/>
      <c r="K37" s="93">
        <f t="shared" si="16"/>
        <v>0</v>
      </c>
      <c r="L37" s="71"/>
      <c r="M37" s="81">
        <f t="shared" si="17"/>
        <v>593.75</v>
      </c>
    </row>
    <row r="38" spans="1:13" ht="15" customHeight="1" x14ac:dyDescent="0.2">
      <c r="A38" s="2"/>
      <c r="B38" s="4" t="s">
        <v>11</v>
      </c>
      <c r="C38" s="6">
        <v>86</v>
      </c>
      <c r="D38" s="24">
        <f>12.5+31.25+8.5+1+11.25+12.25+5.5+41</f>
        <v>123.25</v>
      </c>
      <c r="E38" s="4"/>
      <c r="F38" s="6"/>
      <c r="G38" s="25"/>
      <c r="H38" s="86">
        <f>SUM(D38:F38)</f>
        <v>123.25</v>
      </c>
      <c r="I38" s="20">
        <f>H38*C38</f>
        <v>10599.5</v>
      </c>
      <c r="J38" s="93"/>
      <c r="K38" s="93">
        <f t="shared" si="16"/>
        <v>0</v>
      </c>
      <c r="L38" s="71"/>
      <c r="M38" s="81">
        <f t="shared" si="17"/>
        <v>10599.5</v>
      </c>
    </row>
    <row r="39" spans="1:13" ht="15" customHeight="1" x14ac:dyDescent="0.2">
      <c r="A39" s="2"/>
      <c r="B39" s="4" t="s">
        <v>12</v>
      </c>
      <c r="C39" s="6">
        <v>62</v>
      </c>
      <c r="D39" s="24">
        <f>0.25+0.5+0.25+0.25+0.25+0.25+0.25</f>
        <v>2</v>
      </c>
      <c r="E39" s="4"/>
      <c r="F39" s="6"/>
      <c r="G39" s="25"/>
      <c r="H39" s="86">
        <f>SUM(D39:F39)</f>
        <v>2</v>
      </c>
      <c r="I39" s="20">
        <f>H39*C39</f>
        <v>124</v>
      </c>
      <c r="J39" s="93"/>
      <c r="K39" s="93">
        <f t="shared" si="16"/>
        <v>0</v>
      </c>
      <c r="L39" s="71"/>
      <c r="M39" s="81">
        <f t="shared" si="17"/>
        <v>124</v>
      </c>
    </row>
    <row r="40" spans="1:13" ht="15" customHeight="1" x14ac:dyDescent="0.2">
      <c r="A40" s="54" t="s">
        <v>3</v>
      </c>
      <c r="B40" s="55"/>
      <c r="C40" s="56"/>
      <c r="D40" s="57">
        <f>SUM(D36:D39)</f>
        <v>204</v>
      </c>
      <c r="E40" s="55">
        <f>SUM(E36:E39)</f>
        <v>0</v>
      </c>
      <c r="F40" s="56">
        <f>SUM(F36:F39)</f>
        <v>0</v>
      </c>
      <c r="G40" s="58"/>
      <c r="H40" s="87">
        <f t="shared" ref="H40:M40" si="18">SUM(H36:H39)</f>
        <v>204</v>
      </c>
      <c r="I40" s="62">
        <f t="shared" si="18"/>
        <v>20162.25</v>
      </c>
      <c r="J40" s="94">
        <f>SUM(J36:J39)</f>
        <v>0</v>
      </c>
      <c r="K40" s="94">
        <f>SUM(K36:K39)</f>
        <v>0</v>
      </c>
      <c r="L40" s="63"/>
      <c r="M40" s="82">
        <f t="shared" si="18"/>
        <v>20162.25</v>
      </c>
    </row>
    <row r="41" spans="1:13" ht="28.5" customHeight="1" thickBot="1" x14ac:dyDescent="0.25">
      <c r="A41" s="64" t="s">
        <v>22</v>
      </c>
      <c r="B41" s="65"/>
      <c r="C41" s="65"/>
      <c r="D41" s="66">
        <f t="shared" ref="D41:M41" si="19">D20+D30+D35+D40</f>
        <v>10924.5</v>
      </c>
      <c r="E41" s="66">
        <f t="shared" si="19"/>
        <v>3888.75</v>
      </c>
      <c r="F41" s="78">
        <f t="shared" si="19"/>
        <v>1359</v>
      </c>
      <c r="G41" s="73">
        <f t="shared" si="19"/>
        <v>328</v>
      </c>
      <c r="H41" s="84">
        <f t="shared" si="19"/>
        <v>16500.25</v>
      </c>
      <c r="I41" s="85">
        <f t="shared" si="19"/>
        <v>1033976.5</v>
      </c>
      <c r="J41" s="78">
        <f t="shared" si="19"/>
        <v>313520.75</v>
      </c>
      <c r="K41" s="78">
        <f t="shared" si="19"/>
        <v>125219.75</v>
      </c>
      <c r="L41" s="78">
        <f t="shared" si="19"/>
        <v>26917.25</v>
      </c>
      <c r="M41" s="84">
        <f t="shared" si="19"/>
        <v>1499634.25</v>
      </c>
    </row>
    <row r="42" spans="1:13" s="91" customFormat="1" ht="28.5" customHeight="1" x14ac:dyDescent="0.2">
      <c r="A42" s="92" t="s">
        <v>40</v>
      </c>
      <c r="B42" s="89"/>
      <c r="C42" s="89"/>
      <c r="D42" s="90"/>
      <c r="E42" s="90"/>
      <c r="F42" s="90"/>
      <c r="G42" s="90"/>
      <c r="H42" s="90"/>
      <c r="I42" s="90"/>
      <c r="J42" s="90"/>
      <c r="K42" s="90"/>
      <c r="L42" s="90"/>
      <c r="M42" s="90"/>
    </row>
    <row r="44" spans="1:13" x14ac:dyDescent="0.2">
      <c r="A44" s="102" t="s">
        <v>23</v>
      </c>
      <c r="B44" s="103"/>
      <c r="C44" s="50"/>
      <c r="D44" s="50"/>
      <c r="E44" s="50"/>
      <c r="F44" s="50"/>
      <c r="G44" s="50"/>
      <c r="H44" s="49"/>
      <c r="I44" s="49">
        <f>I41/D41</f>
        <v>94.64748958762415</v>
      </c>
      <c r="J44" s="49">
        <f>J41/E41</f>
        <v>80.622500803600133</v>
      </c>
      <c r="K44" s="49">
        <f>K41/F41</f>
        <v>92.141096394407654</v>
      </c>
      <c r="L44" s="49"/>
      <c r="M44" s="49">
        <f>M41/H41</f>
        <v>90.885547188678956</v>
      </c>
    </row>
  </sheetData>
  <mergeCells count="3">
    <mergeCell ref="D8:H8"/>
    <mergeCell ref="A44:B44"/>
    <mergeCell ref="I8:M8"/>
  </mergeCells>
  <pageMargins left="0.56999999999999995" right="0.31" top="0.78740157480314965" bottom="0.78740157480314965" header="0.31496062992125984" footer="0.31496062992125984"/>
  <pageSetup paperSize="9" scale="49" fitToHeight="0" orientation="portrait" r:id="rId1"/>
  <headerFooter>
    <oddFooter>&amp;L&amp;8&amp;F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tabSelected="1" topLeftCell="A4" zoomScaleNormal="100" workbookViewId="0">
      <selection activeCell="I42" sqref="I42:J42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4" width="18.7109375" customWidth="1" outlineLevel="1" collapsed="1"/>
    <col min="5" max="5" width="17.42578125" customWidth="1" outlineLevel="1"/>
    <col min="6" max="8" width="15.28515625" customWidth="1" outlineLevel="1"/>
    <col min="9" max="9" width="21.28515625" customWidth="1" outlineLevel="1" collapsed="1"/>
    <col min="10" max="10" width="16.5703125" customWidth="1" outlineLevel="1"/>
    <col min="11" max="12" width="15.42578125" customWidth="1" outlineLevel="1"/>
    <col min="13" max="13" width="15.28515625" customWidth="1" outlineLevel="1"/>
  </cols>
  <sheetData>
    <row r="1" spans="1:21" ht="15" x14ac:dyDescent="0.25">
      <c r="A1" s="13" t="s">
        <v>28</v>
      </c>
      <c r="M1" s="70" t="s">
        <v>29</v>
      </c>
    </row>
    <row r="2" spans="1:21" ht="15" x14ac:dyDescent="0.25">
      <c r="A2" s="13"/>
      <c r="M2" s="70"/>
    </row>
    <row r="3" spans="1:21" ht="15" x14ac:dyDescent="0.25">
      <c r="A3" s="13"/>
      <c r="M3" s="70"/>
    </row>
    <row r="4" spans="1:21" ht="15" x14ac:dyDescent="0.25">
      <c r="A4" s="13"/>
    </row>
    <row r="5" spans="1:21" ht="15" x14ac:dyDescent="0.25">
      <c r="A5" s="13" t="s">
        <v>21</v>
      </c>
    </row>
    <row r="6" spans="1:21" ht="15" x14ac:dyDescent="0.25">
      <c r="A6" s="98" t="s">
        <v>43</v>
      </c>
    </row>
    <row r="7" spans="1:21" ht="13.5" thickBot="1" x14ac:dyDescent="0.25"/>
    <row r="8" spans="1:21" ht="17.25" customHeight="1" thickBot="1" x14ac:dyDescent="0.25">
      <c r="A8" s="1"/>
      <c r="B8" s="16" t="s">
        <v>17</v>
      </c>
      <c r="C8" s="97"/>
      <c r="D8" s="104" t="s">
        <v>0</v>
      </c>
      <c r="E8" s="105"/>
      <c r="F8" s="105"/>
      <c r="G8" s="105"/>
      <c r="H8" s="106"/>
      <c r="I8" s="104" t="s">
        <v>4</v>
      </c>
      <c r="J8" s="107"/>
      <c r="K8" s="107"/>
      <c r="L8" s="107"/>
      <c r="M8" s="108"/>
      <c r="N8" s="2"/>
    </row>
    <row r="9" spans="1:21" ht="19.5" customHeight="1" x14ac:dyDescent="0.2">
      <c r="A9" s="7"/>
      <c r="B9" s="17"/>
      <c r="C9" s="31"/>
      <c r="D9" s="22" t="s">
        <v>38</v>
      </c>
      <c r="E9" s="11" t="s">
        <v>37</v>
      </c>
      <c r="F9" s="31" t="s">
        <v>1</v>
      </c>
      <c r="G9" s="23" t="s">
        <v>1</v>
      </c>
      <c r="H9" s="79"/>
      <c r="I9" s="19" t="s">
        <v>38</v>
      </c>
      <c r="J9" s="17" t="s">
        <v>39</v>
      </c>
      <c r="K9" s="17" t="s">
        <v>1</v>
      </c>
      <c r="L9" s="23" t="s">
        <v>1</v>
      </c>
      <c r="M9" s="79" t="s">
        <v>3</v>
      </c>
      <c r="T9" t="s">
        <v>30</v>
      </c>
      <c r="U9" t="s">
        <v>31</v>
      </c>
    </row>
    <row r="10" spans="1:21" ht="19.5" customHeight="1" x14ac:dyDescent="0.2">
      <c r="A10" s="7"/>
      <c r="B10" s="17"/>
      <c r="C10" s="31"/>
      <c r="D10" s="22" t="s">
        <v>35</v>
      </c>
      <c r="E10" s="11" t="s">
        <v>2</v>
      </c>
      <c r="F10" s="31" t="s">
        <v>36</v>
      </c>
      <c r="G10" s="23" t="s">
        <v>41</v>
      </c>
      <c r="H10" s="79" t="s">
        <v>3</v>
      </c>
      <c r="I10" s="19" t="s">
        <v>35</v>
      </c>
      <c r="J10" s="17" t="s">
        <v>2</v>
      </c>
      <c r="K10" s="17" t="s">
        <v>36</v>
      </c>
      <c r="L10" s="23" t="s">
        <v>41</v>
      </c>
      <c r="M10" s="79" t="s">
        <v>3</v>
      </c>
      <c r="T10" t="s">
        <v>30</v>
      </c>
      <c r="U10" t="s">
        <v>31</v>
      </c>
    </row>
    <row r="11" spans="1:21" ht="15" customHeight="1" x14ac:dyDescent="0.2">
      <c r="A11" s="2" t="s">
        <v>20</v>
      </c>
      <c r="B11" s="4" t="s">
        <v>8</v>
      </c>
      <c r="C11" s="6">
        <v>145</v>
      </c>
      <c r="D11" s="24"/>
      <c r="E11" s="6"/>
      <c r="F11" s="77"/>
      <c r="G11" s="25"/>
      <c r="H11" s="80"/>
      <c r="I11" s="5"/>
      <c r="J11" s="4"/>
      <c r="K11" s="4"/>
      <c r="L11" s="25"/>
      <c r="M11" s="80"/>
      <c r="T11">
        <v>5882</v>
      </c>
      <c r="U11">
        <v>2400.5</v>
      </c>
    </row>
    <row r="12" spans="1:21" ht="15" customHeight="1" x14ac:dyDescent="0.2">
      <c r="A12" s="2" t="s">
        <v>19</v>
      </c>
      <c r="B12" s="4" t="s">
        <v>9</v>
      </c>
      <c r="C12" s="6">
        <v>122</v>
      </c>
      <c r="D12" s="24">
        <f>1129.5+146+130.25+113+118+163.75+182.75+171+88.5+179.5+72.25+72.25+68.25</f>
        <v>2635</v>
      </c>
      <c r="E12" s="6">
        <f>8.5+1.5+3+3.5</f>
        <v>16.5</v>
      </c>
      <c r="F12" s="77">
        <f>13.5+15.75+32.25+28+53.75</f>
        <v>143.25</v>
      </c>
      <c r="G12" s="25"/>
      <c r="H12" s="86">
        <f t="shared" ref="H12:H19" si="0">SUM(D12:F12)</f>
        <v>2794.75</v>
      </c>
      <c r="I12" s="20">
        <f t="shared" ref="I12:I19" si="1">D12*C12</f>
        <v>321470</v>
      </c>
      <c r="J12" s="93">
        <f t="shared" ref="J12:J19" si="2">E12*C12</f>
        <v>2013</v>
      </c>
      <c r="K12" s="93">
        <f t="shared" ref="K12:K19" si="3">F12*C12</f>
        <v>17476.5</v>
      </c>
      <c r="L12" s="71"/>
      <c r="M12" s="81">
        <f>SUM(I12:L12)</f>
        <v>340959.5</v>
      </c>
      <c r="T12">
        <v>16301.5</v>
      </c>
      <c r="U12">
        <v>4708</v>
      </c>
    </row>
    <row r="13" spans="1:21" ht="15" customHeight="1" x14ac:dyDescent="0.2">
      <c r="A13" s="2"/>
      <c r="B13" s="4" t="s">
        <v>10</v>
      </c>
      <c r="C13" s="6">
        <v>95</v>
      </c>
      <c r="D13" s="24">
        <f>501+90.25+65.75+95.5+88.5+43.5+107.25+141.5+133.75+84.5+39+49.25+26.25</f>
        <v>1466</v>
      </c>
      <c r="E13" s="6">
        <f>51+160.5+86+148.5+114.75+158.75+71.25+121.25+102.75+14.75+1+9.5+3.75</f>
        <v>1043.75</v>
      </c>
      <c r="F13" s="77">
        <f>80.25+51+81</f>
        <v>212.25</v>
      </c>
      <c r="G13" s="25"/>
      <c r="H13" s="86">
        <f t="shared" si="0"/>
        <v>2722</v>
      </c>
      <c r="I13" s="20">
        <f t="shared" si="1"/>
        <v>139270</v>
      </c>
      <c r="J13" s="93">
        <f t="shared" si="2"/>
        <v>99156.25</v>
      </c>
      <c r="K13" s="93">
        <f t="shared" si="3"/>
        <v>20163.75</v>
      </c>
      <c r="L13" s="71"/>
      <c r="M13" s="81">
        <f>SUM(I13:L13)</f>
        <v>258590</v>
      </c>
      <c r="T13">
        <v>10749.5</v>
      </c>
      <c r="U13">
        <v>8151.5</v>
      </c>
    </row>
    <row r="14" spans="1:21" ht="15" customHeight="1" x14ac:dyDescent="0.2">
      <c r="A14" s="2"/>
      <c r="B14" s="4" t="s">
        <v>11</v>
      </c>
      <c r="C14" s="6">
        <v>86</v>
      </c>
      <c r="D14" s="24">
        <f>243.5+99.5+85+88.75+129.75+112.5+102.75+203+51.5+25.75+20.75+26.75+21.5</f>
        <v>1211</v>
      </c>
      <c r="E14" s="6">
        <f>104.5+30+50.75+71.5+75.5+3.5+44.25+0.5+1+0.75+0.5</f>
        <v>382.75</v>
      </c>
      <c r="F14" s="77">
        <f>66.75+46.25+97</f>
        <v>210</v>
      </c>
      <c r="G14" s="25"/>
      <c r="H14" s="86">
        <f t="shared" si="0"/>
        <v>1803.75</v>
      </c>
      <c r="I14" s="20">
        <f t="shared" si="1"/>
        <v>104146</v>
      </c>
      <c r="J14" s="93">
        <f t="shared" si="2"/>
        <v>32916.5</v>
      </c>
      <c r="K14" s="93">
        <f t="shared" si="3"/>
        <v>18060</v>
      </c>
      <c r="L14" s="71"/>
      <c r="M14" s="81">
        <f t="shared" ref="M14:M19" si="4">SUM(I14:L14)</f>
        <v>155122.5</v>
      </c>
      <c r="T14">
        <v>34940.5</v>
      </c>
      <c r="U14">
        <v>14636.5</v>
      </c>
    </row>
    <row r="15" spans="1:21" ht="15" customHeight="1" x14ac:dyDescent="0.2">
      <c r="A15" s="2"/>
      <c r="B15" s="4" t="s">
        <v>12</v>
      </c>
      <c r="C15" s="6">
        <v>62</v>
      </c>
      <c r="D15" s="24">
        <f>80.75+11+0.5</f>
        <v>92.25</v>
      </c>
      <c r="E15" s="6">
        <f>17+36.75+173.5+43.25+109.25+121+18+15.75</f>
        <v>534.5</v>
      </c>
      <c r="F15" s="77"/>
      <c r="G15" s="25"/>
      <c r="H15" s="86">
        <f t="shared" si="0"/>
        <v>626.75</v>
      </c>
      <c r="I15" s="20">
        <f t="shared" si="1"/>
        <v>5719.5</v>
      </c>
      <c r="J15" s="93">
        <f t="shared" si="2"/>
        <v>33139</v>
      </c>
      <c r="K15" s="93">
        <f t="shared" si="3"/>
        <v>0</v>
      </c>
      <c r="L15" s="71"/>
      <c r="M15" s="81">
        <f t="shared" si="4"/>
        <v>38858.5</v>
      </c>
      <c r="T15">
        <v>19731.75</v>
      </c>
      <c r="U15">
        <v>8637.5</v>
      </c>
    </row>
    <row r="16" spans="1:21" ht="15" customHeight="1" x14ac:dyDescent="0.2">
      <c r="A16" s="2"/>
      <c r="B16" s="4" t="s">
        <v>13</v>
      </c>
      <c r="C16" s="6">
        <v>50</v>
      </c>
      <c r="D16" s="24">
        <f>264.5+10.5+19.25+19.75+34.75+40.25+59+8.25+68+38.5+17.25+66.25</f>
        <v>646.25</v>
      </c>
      <c r="E16" s="6">
        <f>68+51+34.25+38.25</f>
        <v>191.5</v>
      </c>
      <c r="F16" s="77">
        <f>13.5+10</f>
        <v>23.5</v>
      </c>
      <c r="G16" s="25"/>
      <c r="H16" s="86">
        <f t="shared" si="0"/>
        <v>861.25</v>
      </c>
      <c r="I16" s="20">
        <f t="shared" si="1"/>
        <v>32312.5</v>
      </c>
      <c r="J16" s="93">
        <f t="shared" si="2"/>
        <v>9575</v>
      </c>
      <c r="K16" s="93">
        <f t="shared" si="3"/>
        <v>1175</v>
      </c>
      <c r="L16" s="71"/>
      <c r="M16" s="81">
        <f t="shared" si="4"/>
        <v>43062.5</v>
      </c>
      <c r="T16">
        <v>26219.25</v>
      </c>
      <c r="U16">
        <v>23161.5</v>
      </c>
    </row>
    <row r="17" spans="1:21" ht="15" customHeight="1" x14ac:dyDescent="0.2">
      <c r="A17" s="2"/>
      <c r="B17" s="4" t="s">
        <v>14</v>
      </c>
      <c r="C17" s="6">
        <v>8</v>
      </c>
      <c r="D17" s="24">
        <v>0</v>
      </c>
      <c r="E17" s="6">
        <v>0</v>
      </c>
      <c r="F17" s="77"/>
      <c r="G17" s="25"/>
      <c r="H17" s="86">
        <f t="shared" si="0"/>
        <v>0</v>
      </c>
      <c r="I17" s="20">
        <f t="shared" si="1"/>
        <v>0</v>
      </c>
      <c r="J17" s="93">
        <f t="shared" si="2"/>
        <v>0</v>
      </c>
      <c r="K17" s="93">
        <f t="shared" si="3"/>
        <v>0</v>
      </c>
      <c r="L17" s="71"/>
      <c r="M17" s="81">
        <f t="shared" si="4"/>
        <v>0</v>
      </c>
      <c r="T17">
        <v>19400.75</v>
      </c>
      <c r="U17">
        <v>30423.5</v>
      </c>
    </row>
    <row r="18" spans="1:21" ht="15" customHeight="1" x14ac:dyDescent="0.2">
      <c r="A18" s="2"/>
      <c r="B18" s="4" t="s">
        <v>15</v>
      </c>
      <c r="C18" s="6">
        <v>6</v>
      </c>
      <c r="D18" s="24">
        <f>4+27.5+3</f>
        <v>34.5</v>
      </c>
      <c r="E18" s="6">
        <f>5.75+20.25</f>
        <v>26</v>
      </c>
      <c r="F18" s="77">
        <v>3.25</v>
      </c>
      <c r="G18" s="25"/>
      <c r="H18" s="86">
        <f t="shared" si="0"/>
        <v>63.75</v>
      </c>
      <c r="I18" s="20">
        <f t="shared" si="1"/>
        <v>207</v>
      </c>
      <c r="J18" s="93">
        <f t="shared" si="2"/>
        <v>156</v>
      </c>
      <c r="K18" s="93">
        <f t="shared" si="3"/>
        <v>19.5</v>
      </c>
      <c r="L18" s="71"/>
      <c r="M18" s="81">
        <f t="shared" si="4"/>
        <v>382.5</v>
      </c>
      <c r="T18">
        <v>23334.25</v>
      </c>
      <c r="U18">
        <v>26793</v>
      </c>
    </row>
    <row r="19" spans="1:21" ht="15" customHeight="1" x14ac:dyDescent="0.2">
      <c r="A19" s="2"/>
      <c r="B19" s="4" t="s">
        <v>16</v>
      </c>
      <c r="C19" s="6">
        <v>4</v>
      </c>
      <c r="D19" s="24">
        <f>17.5+15.5+14.5+58.5+50.5</f>
        <v>156.5</v>
      </c>
      <c r="E19" s="6">
        <f>23+25</f>
        <v>48</v>
      </c>
      <c r="F19" s="77"/>
      <c r="G19" s="25"/>
      <c r="H19" s="86">
        <f t="shared" si="0"/>
        <v>204.5</v>
      </c>
      <c r="I19" s="20">
        <f t="shared" si="1"/>
        <v>626</v>
      </c>
      <c r="J19" s="93">
        <f t="shared" si="2"/>
        <v>192</v>
      </c>
      <c r="K19" s="93">
        <f t="shared" si="3"/>
        <v>0</v>
      </c>
      <c r="L19" s="71"/>
      <c r="M19" s="81">
        <f t="shared" si="4"/>
        <v>818</v>
      </c>
      <c r="T19">
        <v>16582.25</v>
      </c>
      <c r="U19">
        <v>15316.5</v>
      </c>
    </row>
    <row r="20" spans="1:21" ht="15" customHeight="1" x14ac:dyDescent="0.2">
      <c r="A20" s="54" t="s">
        <v>3</v>
      </c>
      <c r="B20" s="55"/>
      <c r="C20" s="56"/>
      <c r="D20" s="57">
        <f>SUM(D12:D19)</f>
        <v>6241.5</v>
      </c>
      <c r="E20" s="55">
        <f>SUM(E12:E19)</f>
        <v>2243</v>
      </c>
      <c r="F20" s="56">
        <f>SUM(F12:F19)</f>
        <v>592.25</v>
      </c>
      <c r="G20" s="58"/>
      <c r="H20" s="87">
        <f t="shared" ref="H20:I20" si="5">SUM(H12:H19)</f>
        <v>9076.75</v>
      </c>
      <c r="I20" s="59">
        <f t="shared" si="5"/>
        <v>603751</v>
      </c>
      <c r="J20" s="94">
        <f>SUM(J12:J19)</f>
        <v>177147.75</v>
      </c>
      <c r="K20" s="94">
        <f>SUM(K12:K19)</f>
        <v>56894.75</v>
      </c>
      <c r="L20" s="63"/>
      <c r="M20" s="82">
        <f>SUM(M12:M19)</f>
        <v>837793.5</v>
      </c>
      <c r="T20">
        <v>1665.75</v>
      </c>
      <c r="U20">
        <v>2144.5</v>
      </c>
    </row>
    <row r="21" spans="1:21" ht="15" customHeight="1" x14ac:dyDescent="0.2">
      <c r="A21" s="2" t="s">
        <v>5</v>
      </c>
      <c r="B21" s="4" t="s">
        <v>8</v>
      </c>
      <c r="C21" s="6">
        <v>145</v>
      </c>
      <c r="D21" s="24">
        <v>12.75</v>
      </c>
      <c r="E21" s="96">
        <v>0</v>
      </c>
      <c r="F21" s="6"/>
      <c r="G21" s="25"/>
      <c r="H21" s="86">
        <f>SUM(D21:G21)</f>
        <v>12.75</v>
      </c>
      <c r="I21" s="32">
        <f t="shared" ref="I21:I29" si="6">D21*C21</f>
        <v>1848.75</v>
      </c>
      <c r="J21" s="93">
        <f t="shared" ref="J21:J29" si="7">E21*C21</f>
        <v>0</v>
      </c>
      <c r="K21" s="93">
        <f t="shared" ref="K21:K29" si="8">F21*C21</f>
        <v>0</v>
      </c>
      <c r="L21" s="71">
        <f>C21*G21</f>
        <v>0</v>
      </c>
      <c r="M21" s="81">
        <f t="shared" ref="M21:M29" si="9">SUM(I21:L21)</f>
        <v>1848.75</v>
      </c>
      <c r="T21">
        <v>95</v>
      </c>
    </row>
    <row r="22" spans="1:21" ht="15" customHeight="1" x14ac:dyDescent="0.2">
      <c r="A22" s="2"/>
      <c r="B22" s="4" t="s">
        <v>9</v>
      </c>
      <c r="C22" s="6">
        <v>122</v>
      </c>
      <c r="D22" s="24">
        <f>248.75+38.75+1+82.5+52+27.75+15.5+83.25+32.5+84.5+3</f>
        <v>669.5</v>
      </c>
      <c r="E22" s="4">
        <v>2.5</v>
      </c>
      <c r="F22" s="6">
        <f>82.5+57.75+37.25</f>
        <v>177.5</v>
      </c>
      <c r="G22" s="25">
        <f>1.25+32.75+15</f>
        <v>49</v>
      </c>
      <c r="H22" s="86">
        <f>SUM(D22:G22)</f>
        <v>898.5</v>
      </c>
      <c r="I22" s="32">
        <f t="shared" si="6"/>
        <v>81679</v>
      </c>
      <c r="J22" s="93">
        <f t="shared" si="7"/>
        <v>305</v>
      </c>
      <c r="K22" s="93">
        <f>F22*C22</f>
        <v>21655</v>
      </c>
      <c r="L22" s="71">
        <f>C22*G22</f>
        <v>5978</v>
      </c>
      <c r="M22" s="81">
        <f t="shared" si="9"/>
        <v>109617</v>
      </c>
      <c r="T22">
        <v>1268.5</v>
      </c>
    </row>
    <row r="23" spans="1:21" ht="15" customHeight="1" x14ac:dyDescent="0.2">
      <c r="A23" s="2"/>
      <c r="B23" s="4" t="s">
        <v>10</v>
      </c>
      <c r="C23" s="6">
        <v>95</v>
      </c>
      <c r="D23" s="24">
        <f>374+109+28+119.75+168.5+217.5+222.25+149.5+136+202.5+2.75+3.5</f>
        <v>1733.25</v>
      </c>
      <c r="E23" s="4">
        <f>417+18.5</f>
        <v>435.5</v>
      </c>
      <c r="F23" s="6">
        <f>208.75+210.75+215.25</f>
        <v>634.75</v>
      </c>
      <c r="G23" s="25">
        <f>2+5.25+7.25</f>
        <v>14.5</v>
      </c>
      <c r="H23" s="86">
        <f>SUM(D23:G23)</f>
        <v>2818</v>
      </c>
      <c r="I23" s="32">
        <f t="shared" si="6"/>
        <v>164658.75</v>
      </c>
      <c r="J23" s="93">
        <f t="shared" si="7"/>
        <v>41372.5</v>
      </c>
      <c r="K23" s="93">
        <f t="shared" si="8"/>
        <v>60301.25</v>
      </c>
      <c r="L23" s="71">
        <f t="shared" ref="L23:L29" si="10">C23*G23</f>
        <v>1377.5</v>
      </c>
      <c r="M23" s="81">
        <f t="shared" si="9"/>
        <v>267710</v>
      </c>
      <c r="S23" t="s">
        <v>32</v>
      </c>
      <c r="T23">
        <v>976.75</v>
      </c>
    </row>
    <row r="24" spans="1:21" ht="15" customHeight="1" x14ac:dyDescent="0.2">
      <c r="A24" s="2"/>
      <c r="B24" s="4" t="s">
        <v>11</v>
      </c>
      <c r="C24" s="6">
        <v>86</v>
      </c>
      <c r="D24" s="24">
        <f>181.5+68.75+63.75+99.75+85.5+123+84+136.5+77+89.25+40.5+57+9</f>
        <v>1115.5</v>
      </c>
      <c r="E24" s="4">
        <f>1017+4.5</f>
        <v>1021.5</v>
      </c>
      <c r="F24" s="6">
        <f>180.75+159.25+232.75</f>
        <v>572.75</v>
      </c>
      <c r="G24" s="25">
        <f>1+178.25+68.25</f>
        <v>247.5</v>
      </c>
      <c r="H24" s="86">
        <f t="shared" ref="H24:H29" si="11">SUM(D24:G24)</f>
        <v>2957.25</v>
      </c>
      <c r="I24" s="32">
        <f t="shared" si="6"/>
        <v>95933</v>
      </c>
      <c r="J24" s="93">
        <f t="shared" si="7"/>
        <v>87849</v>
      </c>
      <c r="K24" s="93">
        <f t="shared" si="8"/>
        <v>49256.5</v>
      </c>
      <c r="L24" s="71">
        <f t="shared" si="10"/>
        <v>21285</v>
      </c>
      <c r="M24" s="81">
        <f t="shared" si="9"/>
        <v>254323.5</v>
      </c>
    </row>
    <row r="25" spans="1:21" ht="15" customHeight="1" x14ac:dyDescent="0.2">
      <c r="A25" s="2"/>
      <c r="B25" s="4" t="s">
        <v>12</v>
      </c>
      <c r="C25" s="6">
        <v>62</v>
      </c>
      <c r="D25" s="24">
        <f>98.25+33.75+55.75+54+15.25+41+120.75+48.25+68+48.5+14</f>
        <v>597.5</v>
      </c>
      <c r="E25" s="4">
        <v>101.25</v>
      </c>
      <c r="F25" s="6">
        <f>55.75+25.75+67.75</f>
        <v>149.25</v>
      </c>
      <c r="G25" s="25">
        <f>46.75+60.75+55</f>
        <v>162.5</v>
      </c>
      <c r="H25" s="86">
        <f t="shared" si="11"/>
        <v>1010.5</v>
      </c>
      <c r="I25" s="32">
        <f t="shared" si="6"/>
        <v>37045</v>
      </c>
      <c r="J25" s="93">
        <f t="shared" si="7"/>
        <v>6277.5</v>
      </c>
      <c r="K25" s="93">
        <f t="shared" si="8"/>
        <v>9253.5</v>
      </c>
      <c r="L25" s="71">
        <f t="shared" si="10"/>
        <v>10075</v>
      </c>
      <c r="M25" s="81">
        <f t="shared" si="9"/>
        <v>62651</v>
      </c>
      <c r="T25">
        <f>SUM(T11:T24)</f>
        <v>177147.75</v>
      </c>
      <c r="U25">
        <f>SUM(U11:U24)</f>
        <v>136373</v>
      </c>
    </row>
    <row r="26" spans="1:21" ht="15" customHeight="1" x14ac:dyDescent="0.2">
      <c r="A26" s="2"/>
      <c r="B26" s="4" t="s">
        <v>13</v>
      </c>
      <c r="C26" s="6">
        <v>50</v>
      </c>
      <c r="D26" s="24">
        <f>0.5+5+7+12.5</f>
        <v>25</v>
      </c>
      <c r="E26" s="4">
        <v>0</v>
      </c>
      <c r="F26" s="6"/>
      <c r="G26" s="25"/>
      <c r="H26" s="86">
        <f t="shared" si="11"/>
        <v>25</v>
      </c>
      <c r="I26" s="32">
        <f t="shared" si="6"/>
        <v>1250</v>
      </c>
      <c r="J26" s="93">
        <f t="shared" si="7"/>
        <v>0</v>
      </c>
      <c r="K26" s="93">
        <f t="shared" si="8"/>
        <v>0</v>
      </c>
      <c r="L26" s="71">
        <f t="shared" si="10"/>
        <v>0</v>
      </c>
      <c r="M26" s="81">
        <f t="shared" si="9"/>
        <v>1250</v>
      </c>
    </row>
    <row r="27" spans="1:21" ht="15" customHeight="1" x14ac:dyDescent="0.2">
      <c r="A27" s="2"/>
      <c r="B27" s="4" t="s">
        <v>14</v>
      </c>
      <c r="C27" s="6">
        <v>8</v>
      </c>
      <c r="D27" s="24">
        <f>16.25</f>
        <v>16.25</v>
      </c>
      <c r="E27" s="4">
        <v>29.5</v>
      </c>
      <c r="F27" s="6"/>
      <c r="G27" s="25"/>
      <c r="H27" s="86">
        <f t="shared" si="11"/>
        <v>45.75</v>
      </c>
      <c r="I27" s="32">
        <f t="shared" si="6"/>
        <v>130</v>
      </c>
      <c r="J27" s="93">
        <f t="shared" si="7"/>
        <v>236</v>
      </c>
      <c r="K27" s="93">
        <f t="shared" si="8"/>
        <v>0</v>
      </c>
      <c r="L27" s="71">
        <f t="shared" si="10"/>
        <v>0</v>
      </c>
      <c r="M27" s="81">
        <f t="shared" si="9"/>
        <v>366</v>
      </c>
    </row>
    <row r="28" spans="1:21" ht="15" customHeight="1" x14ac:dyDescent="0.2">
      <c r="A28" s="2"/>
      <c r="B28" s="4" t="s">
        <v>15</v>
      </c>
      <c r="C28" s="6">
        <v>6</v>
      </c>
      <c r="D28" s="24">
        <f>4.5+11+32.25</f>
        <v>47.75</v>
      </c>
      <c r="E28" s="4">
        <v>55.5</v>
      </c>
      <c r="F28" s="6">
        <f>10.5+16.75+47.5</f>
        <v>74.75</v>
      </c>
      <c r="G28" s="25"/>
      <c r="H28" s="86">
        <f t="shared" si="11"/>
        <v>178</v>
      </c>
      <c r="I28" s="32">
        <f t="shared" si="6"/>
        <v>286.5</v>
      </c>
      <c r="J28" s="93">
        <f t="shared" si="7"/>
        <v>333</v>
      </c>
      <c r="K28" s="93">
        <f t="shared" si="8"/>
        <v>448.5</v>
      </c>
      <c r="L28" s="71">
        <f t="shared" si="10"/>
        <v>0</v>
      </c>
      <c r="M28" s="81">
        <f t="shared" si="9"/>
        <v>1068</v>
      </c>
    </row>
    <row r="29" spans="1:21" ht="15" customHeight="1" x14ac:dyDescent="0.2">
      <c r="A29" s="2"/>
      <c r="B29" s="4" t="s">
        <v>16</v>
      </c>
      <c r="C29" s="6">
        <v>4</v>
      </c>
      <c r="D29" s="24">
        <f>2.5+3.5+25.5+4+9.25+4+6+40.5</f>
        <v>95.25</v>
      </c>
      <c r="E29" s="4">
        <v>0</v>
      </c>
      <c r="F29" s="6"/>
      <c r="G29" s="25"/>
      <c r="H29" s="86">
        <f t="shared" si="11"/>
        <v>95.25</v>
      </c>
      <c r="I29" s="32">
        <f t="shared" si="6"/>
        <v>381</v>
      </c>
      <c r="J29" s="93">
        <f t="shared" si="7"/>
        <v>0</v>
      </c>
      <c r="K29" s="93">
        <f t="shared" si="8"/>
        <v>0</v>
      </c>
      <c r="L29" s="71">
        <f t="shared" si="10"/>
        <v>0</v>
      </c>
      <c r="M29" s="81">
        <f t="shared" si="9"/>
        <v>381</v>
      </c>
    </row>
    <row r="30" spans="1:21" ht="15" customHeight="1" x14ac:dyDescent="0.2">
      <c r="A30" s="54" t="s">
        <v>3</v>
      </c>
      <c r="B30" s="55"/>
      <c r="C30" s="56"/>
      <c r="D30" s="57">
        <f>SUM(D21:D29)</f>
        <v>4312.75</v>
      </c>
      <c r="E30" s="55">
        <f>SUM(E21:E29)</f>
        <v>1645.75</v>
      </c>
      <c r="F30" s="56">
        <f>SUM(F21:F29)</f>
        <v>1609</v>
      </c>
      <c r="G30" s="58">
        <f>SUM(G21:G29)</f>
        <v>473.5</v>
      </c>
      <c r="H30" s="87">
        <f>SUM(H21:H29)</f>
        <v>8041</v>
      </c>
      <c r="I30" s="59">
        <f t="shared" ref="I30:M30" si="12">SUM(I21:I29)</f>
        <v>383212</v>
      </c>
      <c r="J30" s="94">
        <f>SUM(J21:J29)</f>
        <v>136373</v>
      </c>
      <c r="K30" s="94">
        <f>SUM(K21:K29)</f>
        <v>140914.75</v>
      </c>
      <c r="L30" s="63">
        <f>SUM(L21:L29)</f>
        <v>38715.5</v>
      </c>
      <c r="M30" s="82">
        <f t="shared" si="12"/>
        <v>699215.25</v>
      </c>
    </row>
    <row r="31" spans="1:21" ht="3.75" customHeight="1" x14ac:dyDescent="0.2">
      <c r="A31" s="7"/>
      <c r="B31" s="18"/>
      <c r="C31" s="28"/>
      <c r="D31" s="27"/>
      <c r="E31" s="18"/>
      <c r="F31" s="8"/>
      <c r="G31" s="28"/>
      <c r="H31" s="88"/>
      <c r="I31" s="21"/>
      <c r="J31" s="95"/>
      <c r="K31" s="95"/>
      <c r="L31" s="72"/>
      <c r="M31" s="83"/>
    </row>
    <row r="32" spans="1:21" ht="15" customHeight="1" x14ac:dyDescent="0.2">
      <c r="A32" s="2" t="s">
        <v>6</v>
      </c>
      <c r="B32" s="4" t="s">
        <v>9</v>
      </c>
      <c r="C32" s="6">
        <v>122</v>
      </c>
      <c r="D32" s="24">
        <f>119+9+0.5+2+2.5+10+8+4+16+11.5+2.5+9.5+15</f>
        <v>209.5</v>
      </c>
      <c r="E32" s="4"/>
      <c r="F32" s="6"/>
      <c r="G32" s="25"/>
      <c r="H32" s="86">
        <f>SUM(D32:F32)</f>
        <v>209.5</v>
      </c>
      <c r="I32" s="20">
        <f>H32*C32</f>
        <v>25559</v>
      </c>
      <c r="J32" s="93"/>
      <c r="K32" s="93">
        <f t="shared" ref="K32:K34" si="13">F32*C32</f>
        <v>0</v>
      </c>
      <c r="L32" s="71"/>
      <c r="M32" s="81">
        <f t="shared" ref="M32:M34" si="14">SUM(I32:L32)</f>
        <v>25559</v>
      </c>
    </row>
    <row r="33" spans="1:13" ht="15" customHeight="1" x14ac:dyDescent="0.2">
      <c r="A33" s="2"/>
      <c r="B33" s="4" t="s">
        <v>10</v>
      </c>
      <c r="C33" s="6">
        <v>95</v>
      </c>
      <c r="D33" s="24">
        <f>97.25+10+35.75+7+2+3+33+2+1.5+0.5</f>
        <v>192</v>
      </c>
      <c r="E33" s="4"/>
      <c r="F33" s="6"/>
      <c r="G33" s="25"/>
      <c r="H33" s="86">
        <f>SUM(D33:F33)</f>
        <v>192</v>
      </c>
      <c r="I33" s="20">
        <f>H33*C33</f>
        <v>18240</v>
      </c>
      <c r="J33" s="93"/>
      <c r="K33" s="93">
        <f t="shared" si="13"/>
        <v>0</v>
      </c>
      <c r="L33" s="71"/>
      <c r="M33" s="81">
        <f t="shared" si="14"/>
        <v>18240</v>
      </c>
    </row>
    <row r="34" spans="1:13" ht="15" customHeight="1" x14ac:dyDescent="0.2">
      <c r="A34" s="2"/>
      <c r="B34" s="4" t="s">
        <v>11</v>
      </c>
      <c r="C34" s="6">
        <v>86</v>
      </c>
      <c r="D34" s="24">
        <f>0.5+22+59</f>
        <v>81.5</v>
      </c>
      <c r="E34" s="4"/>
      <c r="F34" s="6"/>
      <c r="G34" s="25"/>
      <c r="H34" s="86">
        <f>SUM(D34:F34)</f>
        <v>81.5</v>
      </c>
      <c r="I34" s="20">
        <f>H34*C34</f>
        <v>7009</v>
      </c>
      <c r="J34" s="93"/>
      <c r="K34" s="93">
        <f t="shared" si="13"/>
        <v>0</v>
      </c>
      <c r="L34" s="71"/>
      <c r="M34" s="81">
        <f t="shared" si="14"/>
        <v>7009</v>
      </c>
    </row>
    <row r="35" spans="1:13" ht="15" customHeight="1" x14ac:dyDescent="0.2">
      <c r="A35" s="54" t="s">
        <v>3</v>
      </c>
      <c r="B35" s="55"/>
      <c r="C35" s="56"/>
      <c r="D35" s="57">
        <f>SUM(D32:D34)</f>
        <v>483</v>
      </c>
      <c r="E35" s="55">
        <f>SUM(E32:E34)</f>
        <v>0</v>
      </c>
      <c r="F35" s="56">
        <f>SUM(F32:F34)</f>
        <v>0</v>
      </c>
      <c r="G35" s="58"/>
      <c r="H35" s="87">
        <f t="shared" ref="H35:M35" si="15">SUM(H32:H34)</f>
        <v>483</v>
      </c>
      <c r="I35" s="62">
        <f t="shared" si="15"/>
        <v>50808</v>
      </c>
      <c r="J35" s="94">
        <f>SUM(J32:J34)</f>
        <v>0</v>
      </c>
      <c r="K35" s="94">
        <f>SUM(K32:K34)</f>
        <v>0</v>
      </c>
      <c r="L35" s="63"/>
      <c r="M35" s="82">
        <f t="shared" si="15"/>
        <v>50808</v>
      </c>
    </row>
    <row r="36" spans="1:13" ht="15" customHeight="1" x14ac:dyDescent="0.2">
      <c r="A36" s="2" t="s">
        <v>7</v>
      </c>
      <c r="B36" s="4" t="s">
        <v>9</v>
      </c>
      <c r="C36" s="6">
        <v>122</v>
      </c>
      <c r="D36" s="24">
        <f>11.25+1.5+1+2+3+11.5+5.25+15+9.5+0.5+2.75+9.25+19.25</f>
        <v>91.75</v>
      </c>
      <c r="E36" s="4"/>
      <c r="F36" s="6"/>
      <c r="G36" s="25"/>
      <c r="H36" s="86">
        <f>SUM(D36:F36)</f>
        <v>91.75</v>
      </c>
      <c r="I36" s="20">
        <f>H36*C36</f>
        <v>11193.5</v>
      </c>
      <c r="J36" s="93"/>
      <c r="K36" s="93">
        <f t="shared" ref="K36:K40" si="16">F36*C36</f>
        <v>0</v>
      </c>
      <c r="L36" s="71"/>
      <c r="M36" s="81">
        <f t="shared" ref="M36:M40" si="17">SUM(I36:L36)</f>
        <v>11193.5</v>
      </c>
    </row>
    <row r="37" spans="1:13" ht="15" customHeight="1" x14ac:dyDescent="0.2">
      <c r="A37" s="2"/>
      <c r="B37" s="4" t="s">
        <v>10</v>
      </c>
      <c r="C37" s="6">
        <v>95</v>
      </c>
      <c r="D37" s="24">
        <v>6.25</v>
      </c>
      <c r="E37" s="4"/>
      <c r="F37" s="6"/>
      <c r="G37" s="25"/>
      <c r="H37" s="86">
        <f>SUM(D37:F37)</f>
        <v>6.25</v>
      </c>
      <c r="I37" s="20">
        <f>H37*C37</f>
        <v>593.75</v>
      </c>
      <c r="J37" s="93"/>
      <c r="K37" s="93">
        <f t="shared" si="16"/>
        <v>0</v>
      </c>
      <c r="L37" s="71"/>
      <c r="M37" s="81">
        <f t="shared" si="17"/>
        <v>593.75</v>
      </c>
    </row>
    <row r="38" spans="1:13" ht="15" customHeight="1" x14ac:dyDescent="0.2">
      <c r="A38" s="2"/>
      <c r="B38" s="4" t="s">
        <v>11</v>
      </c>
      <c r="C38" s="6">
        <v>86</v>
      </c>
      <c r="D38" s="24">
        <f>12.5+31.25+8.5+1+11.25+12.25+5.5+41+26.25</f>
        <v>149.5</v>
      </c>
      <c r="E38" s="4"/>
      <c r="F38" s="6"/>
      <c r="G38" s="25"/>
      <c r="H38" s="86">
        <f>SUM(D38:F38)</f>
        <v>149.5</v>
      </c>
      <c r="I38" s="20">
        <f>H38*C38</f>
        <v>12857</v>
      </c>
      <c r="J38" s="93"/>
      <c r="K38" s="93">
        <f t="shared" si="16"/>
        <v>0</v>
      </c>
      <c r="L38" s="71"/>
      <c r="M38" s="81">
        <f t="shared" si="17"/>
        <v>12857</v>
      </c>
    </row>
    <row r="39" spans="1:13" ht="15" customHeight="1" x14ac:dyDescent="0.2">
      <c r="A39" s="2"/>
      <c r="B39" s="4" t="s">
        <v>12</v>
      </c>
      <c r="C39" s="6">
        <v>62</v>
      </c>
      <c r="D39" s="24">
        <f>0.25+0.5+0.25+0.25+0.25+0.25+0.25+0.5</f>
        <v>2.5</v>
      </c>
      <c r="E39" s="4"/>
      <c r="F39" s="6"/>
      <c r="G39" s="25"/>
      <c r="H39" s="86">
        <f>SUM(D39:F39)</f>
        <v>2.5</v>
      </c>
      <c r="I39" s="20">
        <f>H39*C39</f>
        <v>155</v>
      </c>
      <c r="J39" s="93"/>
      <c r="K39" s="93">
        <f t="shared" ref="K39" si="18">F39*C39</f>
        <v>0</v>
      </c>
      <c r="L39" s="71"/>
      <c r="M39" s="81">
        <f t="shared" ref="M39" si="19">SUM(I39:L39)</f>
        <v>155</v>
      </c>
    </row>
    <row r="40" spans="1:13" ht="15" customHeight="1" x14ac:dyDescent="0.2">
      <c r="A40" s="2"/>
      <c r="B40" s="4" t="s">
        <v>16</v>
      </c>
      <c r="C40" s="6">
        <v>4</v>
      </c>
      <c r="D40" s="24">
        <v>83.5</v>
      </c>
      <c r="E40" s="4"/>
      <c r="F40" s="6"/>
      <c r="G40" s="25"/>
      <c r="H40" s="86">
        <f>SUM(D40:F40)</f>
        <v>83.5</v>
      </c>
      <c r="I40" s="20">
        <f>H40*C40</f>
        <v>334</v>
      </c>
      <c r="J40" s="93"/>
      <c r="K40" s="93">
        <f t="shared" si="16"/>
        <v>0</v>
      </c>
      <c r="L40" s="71"/>
      <c r="M40" s="81">
        <f t="shared" si="17"/>
        <v>334</v>
      </c>
    </row>
    <row r="41" spans="1:13" ht="15" customHeight="1" x14ac:dyDescent="0.2">
      <c r="A41" s="54" t="s">
        <v>3</v>
      </c>
      <c r="B41" s="55"/>
      <c r="C41" s="56"/>
      <c r="D41" s="57">
        <f>SUM(D36:D40)</f>
        <v>333.5</v>
      </c>
      <c r="E41" s="55">
        <f>SUM(E36:E40)</f>
        <v>0</v>
      </c>
      <c r="F41" s="56">
        <f>SUM(F36:F40)</f>
        <v>0</v>
      </c>
      <c r="G41" s="58"/>
      <c r="H41" s="87">
        <f t="shared" ref="H41:M41" si="20">SUM(H36:H40)</f>
        <v>333.5</v>
      </c>
      <c r="I41" s="62">
        <f t="shared" si="20"/>
        <v>25133.25</v>
      </c>
      <c r="J41" s="94">
        <f>SUM(J36:J40)</f>
        <v>0</v>
      </c>
      <c r="K41" s="94">
        <f>SUM(K36:K40)</f>
        <v>0</v>
      </c>
      <c r="L41" s="63"/>
      <c r="M41" s="82">
        <f t="shared" si="20"/>
        <v>25133.25</v>
      </c>
    </row>
    <row r="42" spans="1:13" ht="28.5" customHeight="1" thickBot="1" x14ac:dyDescent="0.25">
      <c r="A42" s="64" t="s">
        <v>22</v>
      </c>
      <c r="B42" s="65"/>
      <c r="C42" s="65"/>
      <c r="D42" s="66">
        <f>D20+D30+D35+D41</f>
        <v>11370.75</v>
      </c>
      <c r="E42" s="66">
        <f t="shared" ref="D42:M42" si="21">E20+E30+E35+E41</f>
        <v>3888.75</v>
      </c>
      <c r="F42" s="78">
        <f t="shared" si="21"/>
        <v>2201.25</v>
      </c>
      <c r="G42" s="73">
        <f t="shared" si="21"/>
        <v>473.5</v>
      </c>
      <c r="H42" s="84">
        <f t="shared" si="21"/>
        <v>17934.25</v>
      </c>
      <c r="I42" s="85">
        <f>I20+I30+I35+I41</f>
        <v>1062904.25</v>
      </c>
      <c r="J42" s="78">
        <f>J20+J30+J35+J41</f>
        <v>313520.75</v>
      </c>
      <c r="K42" s="78">
        <f t="shared" si="21"/>
        <v>197809.5</v>
      </c>
      <c r="L42" s="78">
        <f t="shared" si="21"/>
        <v>38715.5</v>
      </c>
      <c r="M42" s="84">
        <f>M20+M30+M35+M41</f>
        <v>1612950</v>
      </c>
    </row>
    <row r="43" spans="1:13" s="91" customFormat="1" ht="28.5" customHeight="1" x14ac:dyDescent="0.2">
      <c r="A43" s="92" t="s">
        <v>40</v>
      </c>
      <c r="B43" s="89"/>
      <c r="C43" s="89"/>
      <c r="D43" s="90"/>
      <c r="E43" s="90"/>
      <c r="F43" s="90"/>
      <c r="G43" s="90"/>
      <c r="H43" s="90"/>
      <c r="I43" s="90"/>
      <c r="J43" s="90"/>
      <c r="K43" s="90"/>
      <c r="L43" s="90"/>
      <c r="M43" s="90"/>
    </row>
    <row r="45" spans="1:13" x14ac:dyDescent="0.2">
      <c r="A45" s="102" t="s">
        <v>23</v>
      </c>
      <c r="B45" s="103"/>
      <c r="C45" s="50"/>
      <c r="D45" s="50"/>
      <c r="E45" s="50"/>
      <c r="F45" s="50"/>
      <c r="G45" s="50"/>
      <c r="H45" s="49"/>
      <c r="I45" s="49">
        <f>I42/D42</f>
        <v>93.47705736209133</v>
      </c>
      <c r="J45" s="49">
        <f>J42/E42</f>
        <v>80.622500803600133</v>
      </c>
      <c r="K45" s="49">
        <f>K42/F42</f>
        <v>89.86235093696763</v>
      </c>
      <c r="L45" s="49"/>
      <c r="M45" s="49">
        <f>M42/H42</f>
        <v>89.936852670170211</v>
      </c>
    </row>
  </sheetData>
  <mergeCells count="3">
    <mergeCell ref="D8:H8"/>
    <mergeCell ref="I8:M8"/>
    <mergeCell ref="A45:B45"/>
  </mergeCells>
  <pageMargins left="0.56999999999999995" right="0.31" top="0.78740157480314965" bottom="0.78740157480314965" header="0.31496062992125984" footer="0.31496062992125984"/>
  <pageSetup paperSize="9" scale="49" fitToHeight="0" orientation="portrait" r:id="rId1"/>
  <headerFooter>
    <oddFooter>&amp;L&amp;8&amp;F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per 31.12.2019</vt:lpstr>
      <vt:lpstr>per 31.03.2020</vt:lpstr>
      <vt:lpstr>per 20.05.2020</vt:lpstr>
      <vt:lpstr>per 31.05.2020</vt:lpstr>
      <vt:lpstr>per 30.06.2020</vt:lpstr>
      <vt:lpstr>per 30.09.2020</vt:lpstr>
      <vt:lpstr>per 31.10.2020</vt:lpstr>
      <vt:lpstr>'per 20.05.2020'!Druckbereich</vt:lpstr>
      <vt:lpstr>'per 30.06.2020'!Druckbereich</vt:lpstr>
      <vt:lpstr>'per 30.09.2020'!Druckbereich</vt:lpstr>
      <vt:lpstr>'per 31.03.2020'!Druckbereich</vt:lpstr>
      <vt:lpstr>'per 31.05.2020'!Druckbereich</vt:lpstr>
      <vt:lpstr>'per 31.10.2020'!Druckbereich</vt:lpstr>
      <vt:lpstr>'per 31.12.2019'!Druckbereich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Noëlle Weider</cp:lastModifiedBy>
  <cp:lastPrinted>2020-12-17T15:19:05Z</cp:lastPrinted>
  <dcterms:created xsi:type="dcterms:W3CDTF">2019-11-11T10:03:52Z</dcterms:created>
  <dcterms:modified xsi:type="dcterms:W3CDTF">2020-12-17T15:19:08Z</dcterms:modified>
</cp:coreProperties>
</file>