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onja\sciebo\KennlinienWenzelKuhnt\Dosimis\2020_04_Kennlinien_Betriebskenngroessen\"/>
    </mc:Choice>
  </mc:AlternateContent>
  <bookViews>
    <workbookView xWindow="0" yWindow="0" windowWidth="33600" windowHeight="21000" activeTab="1"/>
  </bookViews>
  <sheets>
    <sheet name="Versuchsplan" sheetId="1" r:id="rId1"/>
    <sheet name="InfosModell" sheetId="1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71" i="1" l="1"/>
  <c r="M271" i="1" s="1"/>
  <c r="J271" i="1"/>
  <c r="K270" i="1"/>
  <c r="M270" i="1" s="1"/>
  <c r="J270" i="1"/>
  <c r="K269" i="1"/>
  <c r="M269" i="1" s="1"/>
  <c r="J269" i="1"/>
  <c r="K265" i="1"/>
  <c r="M265" i="1" s="1"/>
  <c r="J265" i="1"/>
  <c r="L265" i="1" s="1"/>
  <c r="K264" i="1"/>
  <c r="M264" i="1" s="1"/>
  <c r="J264" i="1"/>
  <c r="L264" i="1" s="1"/>
  <c r="K263" i="1"/>
  <c r="M263" i="1" s="1"/>
  <c r="J263" i="1"/>
  <c r="L263" i="1" s="1"/>
  <c r="K259" i="1"/>
  <c r="M259" i="1" s="1"/>
  <c r="J259" i="1"/>
  <c r="K258" i="1"/>
  <c r="M258" i="1" s="1"/>
  <c r="J258" i="1"/>
  <c r="L258" i="1" s="1"/>
  <c r="K257" i="1"/>
  <c r="M257" i="1" s="1"/>
  <c r="J257" i="1"/>
  <c r="K253" i="1"/>
  <c r="M253" i="1" s="1"/>
  <c r="J253" i="1"/>
  <c r="L253" i="1" s="1"/>
  <c r="K252" i="1"/>
  <c r="M252" i="1" s="1"/>
  <c r="J252" i="1"/>
  <c r="K251" i="1"/>
  <c r="J251" i="1"/>
  <c r="L251" i="1" s="1"/>
  <c r="K247" i="1"/>
  <c r="M247" i="1" s="1"/>
  <c r="J247" i="1"/>
  <c r="K246" i="1"/>
  <c r="M246" i="1" s="1"/>
  <c r="J246" i="1"/>
  <c r="L246" i="1" s="1"/>
  <c r="K245" i="1"/>
  <c r="J245" i="1"/>
  <c r="L245" i="1" s="1"/>
  <c r="K241" i="1"/>
  <c r="M241" i="1" s="1"/>
  <c r="J241" i="1"/>
  <c r="L241" i="1" s="1"/>
  <c r="K240" i="1"/>
  <c r="M240" i="1" s="1"/>
  <c r="J240" i="1"/>
  <c r="K239" i="1"/>
  <c r="M239" i="1" s="1"/>
  <c r="J239" i="1"/>
  <c r="L239" i="1" s="1"/>
  <c r="K235" i="1"/>
  <c r="M235" i="1" s="1"/>
  <c r="J235" i="1"/>
  <c r="K234" i="1"/>
  <c r="M234" i="1" s="1"/>
  <c r="J234" i="1"/>
  <c r="L234" i="1" s="1"/>
  <c r="K233" i="1"/>
  <c r="M233" i="1" s="1"/>
  <c r="J233" i="1"/>
  <c r="L233" i="1" s="1"/>
  <c r="K229" i="1"/>
  <c r="M229" i="1" s="1"/>
  <c r="J229" i="1"/>
  <c r="L229" i="1" s="1"/>
  <c r="K228" i="1"/>
  <c r="M228" i="1" s="1"/>
  <c r="J228" i="1"/>
  <c r="L228" i="1" s="1"/>
  <c r="K227" i="1"/>
  <c r="M227" i="1" s="1"/>
  <c r="J227" i="1"/>
  <c r="L227" i="1" s="1"/>
  <c r="K223" i="1"/>
  <c r="M223" i="1" s="1"/>
  <c r="J223" i="1"/>
  <c r="L223" i="1" s="1"/>
  <c r="K222" i="1"/>
  <c r="M222" i="1" s="1"/>
  <c r="J222" i="1"/>
  <c r="L222" i="1" s="1"/>
  <c r="K221" i="1"/>
  <c r="M221" i="1" s="1"/>
  <c r="J221" i="1"/>
  <c r="K268" i="1"/>
  <c r="J268" i="1"/>
  <c r="L268" i="1" s="1"/>
  <c r="K267" i="1"/>
  <c r="M267" i="1" s="1"/>
  <c r="J267" i="1"/>
  <c r="K266" i="1"/>
  <c r="M266" i="1" s="1"/>
  <c r="J266" i="1"/>
  <c r="L266" i="1" s="1"/>
  <c r="K262" i="1"/>
  <c r="M262" i="1" s="1"/>
  <c r="J262" i="1"/>
  <c r="L262" i="1" s="1"/>
  <c r="K261" i="1"/>
  <c r="M261" i="1" s="1"/>
  <c r="J261" i="1"/>
  <c r="L261" i="1" s="1"/>
  <c r="K260" i="1"/>
  <c r="M260" i="1" s="1"/>
  <c r="J260" i="1"/>
  <c r="L260" i="1" s="1"/>
  <c r="K256" i="1"/>
  <c r="J256" i="1"/>
  <c r="L256" i="1" s="1"/>
  <c r="K255" i="1"/>
  <c r="M255" i="1" s="1"/>
  <c r="J255" i="1"/>
  <c r="L255" i="1" s="1"/>
  <c r="K254" i="1"/>
  <c r="M254" i="1" s="1"/>
  <c r="J254" i="1"/>
  <c r="L254" i="1" s="1"/>
  <c r="K250" i="1"/>
  <c r="M250" i="1" s="1"/>
  <c r="J250" i="1"/>
  <c r="L250" i="1" s="1"/>
  <c r="K249" i="1"/>
  <c r="M249" i="1" s="1"/>
  <c r="J249" i="1"/>
  <c r="L249" i="1" s="1"/>
  <c r="K248" i="1"/>
  <c r="M248" i="1" s="1"/>
  <c r="J248" i="1"/>
  <c r="L248" i="1" s="1"/>
  <c r="K244" i="1"/>
  <c r="J244" i="1"/>
  <c r="L244" i="1" s="1"/>
  <c r="K243" i="1"/>
  <c r="M243" i="1" s="1"/>
  <c r="J243" i="1"/>
  <c r="K242" i="1"/>
  <c r="M242" i="1" s="1"/>
  <c r="J242" i="1"/>
  <c r="L242" i="1" s="1"/>
  <c r="K238" i="1"/>
  <c r="M238" i="1" s="1"/>
  <c r="J238" i="1"/>
  <c r="K237" i="1"/>
  <c r="M237" i="1" s="1"/>
  <c r="J237" i="1"/>
  <c r="L237" i="1" s="1"/>
  <c r="K236" i="1"/>
  <c r="M236" i="1" s="1"/>
  <c r="J236" i="1"/>
  <c r="L236" i="1" s="1"/>
  <c r="K232" i="1"/>
  <c r="M232" i="1" s="1"/>
  <c r="J232" i="1"/>
  <c r="L232" i="1" s="1"/>
  <c r="K231" i="1"/>
  <c r="M231" i="1" s="1"/>
  <c r="J231" i="1"/>
  <c r="L231" i="1" s="1"/>
  <c r="K230" i="1"/>
  <c r="M230" i="1" s="1"/>
  <c r="J230" i="1"/>
  <c r="L230" i="1" s="1"/>
  <c r="K226" i="1"/>
  <c r="J226" i="1"/>
  <c r="K225" i="1"/>
  <c r="J225" i="1"/>
  <c r="L225" i="1" s="1"/>
  <c r="K224" i="1"/>
  <c r="M224" i="1" s="1"/>
  <c r="J224" i="1"/>
  <c r="L224" i="1" s="1"/>
  <c r="K220" i="1"/>
  <c r="M220" i="1" s="1"/>
  <c r="J220" i="1"/>
  <c r="L220" i="1" s="1"/>
  <c r="K219" i="1"/>
  <c r="M219" i="1" s="1"/>
  <c r="J219" i="1"/>
  <c r="K218" i="1"/>
  <c r="M218" i="1" s="1"/>
  <c r="J218" i="1"/>
  <c r="L218" i="1" s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L219" i="1"/>
  <c r="L221" i="1"/>
  <c r="L226" i="1"/>
  <c r="M225" i="1"/>
  <c r="M226" i="1"/>
  <c r="L235" i="1"/>
  <c r="L238" i="1"/>
  <c r="L240" i="1"/>
  <c r="L243" i="1"/>
  <c r="L247" i="1"/>
  <c r="L252" i="1"/>
  <c r="M244" i="1"/>
  <c r="M245" i="1"/>
  <c r="M251" i="1"/>
  <c r="M256" i="1"/>
  <c r="L259" i="1"/>
  <c r="L257" i="1"/>
  <c r="L267" i="1"/>
  <c r="L269" i="1"/>
  <c r="M268" i="1"/>
  <c r="L270" i="1"/>
  <c r="L271" i="1"/>
  <c r="K205" i="1" l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 l="1"/>
  <c r="J150" i="1"/>
  <c r="K149" i="1"/>
  <c r="J149" i="1"/>
  <c r="K148" i="1" l="1"/>
  <c r="J148" i="1"/>
  <c r="K147" i="1"/>
  <c r="J147" i="1"/>
  <c r="K146" i="1"/>
  <c r="J146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85" i="1"/>
  <c r="J85" i="1"/>
  <c r="K84" i="1"/>
  <c r="J84" i="1"/>
  <c r="K83" i="1"/>
  <c r="J83" i="1"/>
  <c r="K82" i="1"/>
  <c r="J82" i="1"/>
  <c r="K81" i="1"/>
  <c r="J81" i="1"/>
  <c r="K80" i="1" l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 l="1"/>
  <c r="J26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G4" i="1"/>
  <c r="G3" i="1"/>
  <c r="K3" i="1"/>
  <c r="J3" i="1"/>
  <c r="K2" i="1"/>
  <c r="J2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193" i="1"/>
  <c r="J193" i="1"/>
  <c r="K192" i="1"/>
  <c r="J192" i="1"/>
  <c r="K191" i="1"/>
  <c r="J191" i="1"/>
  <c r="J190" i="1"/>
  <c r="K190" i="1"/>
  <c r="K189" i="1"/>
  <c r="J189" i="1"/>
  <c r="K188" i="1" l="1"/>
  <c r="J188" i="1"/>
  <c r="K187" i="1"/>
  <c r="J187" i="1"/>
  <c r="K186" i="1"/>
  <c r="J186" i="1"/>
  <c r="K185" i="1"/>
  <c r="J185" i="1"/>
  <c r="K184" i="1"/>
  <c r="J184" i="1"/>
  <c r="K183" i="1"/>
  <c r="J183" i="1"/>
  <c r="K182" i="1" l="1"/>
  <c r="J182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 l="1"/>
  <c r="J158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 l="1"/>
  <c r="J134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 l="1"/>
  <c r="J67" i="1"/>
  <c r="K66" i="1"/>
  <c r="J66" i="1"/>
  <c r="K65" i="1"/>
  <c r="J65" i="1"/>
  <c r="K64" i="1"/>
  <c r="J64" i="1"/>
  <c r="K63" i="1"/>
  <c r="J63" i="1"/>
  <c r="K62" i="1"/>
  <c r="J62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 l="1"/>
  <c r="J19" i="1"/>
  <c r="K18" i="1"/>
  <c r="J18" i="1"/>
  <c r="K17" i="1"/>
  <c r="J17" i="1"/>
  <c r="K16" i="1"/>
  <c r="J16" i="1"/>
  <c r="K15" i="1"/>
  <c r="J15" i="1"/>
  <c r="K14" i="1"/>
  <c r="J14" i="1"/>
  <c r="L2" i="1" l="1"/>
  <c r="M217" i="1" l="1"/>
  <c r="L217" i="1"/>
  <c r="G217" i="1"/>
  <c r="M216" i="1"/>
  <c r="L216" i="1"/>
  <c r="G216" i="1"/>
  <c r="M215" i="1"/>
  <c r="L215" i="1"/>
  <c r="G215" i="1"/>
  <c r="M214" i="1"/>
  <c r="L214" i="1"/>
  <c r="G214" i="1"/>
  <c r="M213" i="1"/>
  <c r="L213" i="1"/>
  <c r="G213" i="1"/>
  <c r="M212" i="1"/>
  <c r="L212" i="1"/>
  <c r="G212" i="1"/>
  <c r="M211" i="1"/>
  <c r="L211" i="1"/>
  <c r="G211" i="1"/>
  <c r="M210" i="1"/>
  <c r="L210" i="1"/>
  <c r="G210" i="1"/>
  <c r="M209" i="1"/>
  <c r="L209" i="1"/>
  <c r="G209" i="1"/>
  <c r="M208" i="1"/>
  <c r="L208" i="1"/>
  <c r="G208" i="1"/>
  <c r="M207" i="1"/>
  <c r="L207" i="1"/>
  <c r="G207" i="1"/>
  <c r="M206" i="1"/>
  <c r="L206" i="1"/>
  <c r="G206" i="1"/>
  <c r="M205" i="1"/>
  <c r="L205" i="1"/>
  <c r="G205" i="1"/>
  <c r="M204" i="1"/>
  <c r="L204" i="1"/>
  <c r="G204" i="1"/>
  <c r="M203" i="1"/>
  <c r="L203" i="1"/>
  <c r="G203" i="1"/>
  <c r="M202" i="1"/>
  <c r="L202" i="1"/>
  <c r="G202" i="1"/>
  <c r="M201" i="1"/>
  <c r="L201" i="1"/>
  <c r="G201" i="1"/>
  <c r="M200" i="1"/>
  <c r="L200" i="1"/>
  <c r="G200" i="1"/>
  <c r="M199" i="1"/>
  <c r="L199" i="1"/>
  <c r="G199" i="1"/>
  <c r="M198" i="1"/>
  <c r="L198" i="1"/>
  <c r="G198" i="1"/>
  <c r="M197" i="1"/>
  <c r="L197" i="1"/>
  <c r="G197" i="1"/>
  <c r="M196" i="1"/>
  <c r="L196" i="1"/>
  <c r="G196" i="1"/>
  <c r="M195" i="1"/>
  <c r="L195" i="1"/>
  <c r="G195" i="1"/>
  <c r="M194" i="1"/>
  <c r="L194" i="1"/>
  <c r="G194" i="1"/>
  <c r="M193" i="1"/>
  <c r="L193" i="1"/>
  <c r="G193" i="1"/>
  <c r="M192" i="1"/>
  <c r="L192" i="1"/>
  <c r="G192" i="1"/>
  <c r="M191" i="1"/>
  <c r="L191" i="1"/>
  <c r="G191" i="1"/>
  <c r="M190" i="1"/>
  <c r="L190" i="1"/>
  <c r="G190" i="1"/>
  <c r="M189" i="1"/>
  <c r="L189" i="1"/>
  <c r="G189" i="1"/>
  <c r="M188" i="1"/>
  <c r="L188" i="1"/>
  <c r="G188" i="1"/>
  <c r="M187" i="1"/>
  <c r="L187" i="1"/>
  <c r="G187" i="1"/>
  <c r="M186" i="1"/>
  <c r="L186" i="1"/>
  <c r="G186" i="1"/>
  <c r="M185" i="1"/>
  <c r="L185" i="1"/>
  <c r="G185" i="1"/>
  <c r="M184" i="1"/>
  <c r="L184" i="1"/>
  <c r="G184" i="1"/>
  <c r="M183" i="1"/>
  <c r="L183" i="1"/>
  <c r="G183" i="1"/>
  <c r="M182" i="1"/>
  <c r="L182" i="1"/>
  <c r="G182" i="1"/>
  <c r="M181" i="1"/>
  <c r="L181" i="1"/>
  <c r="G181" i="1"/>
  <c r="M180" i="1"/>
  <c r="L180" i="1"/>
  <c r="G180" i="1"/>
  <c r="M179" i="1"/>
  <c r="L179" i="1"/>
  <c r="G179" i="1"/>
  <c r="M178" i="1"/>
  <c r="L178" i="1"/>
  <c r="G178" i="1"/>
  <c r="M177" i="1"/>
  <c r="L177" i="1"/>
  <c r="G177" i="1"/>
  <c r="M176" i="1"/>
  <c r="L176" i="1"/>
  <c r="G176" i="1"/>
  <c r="M175" i="1"/>
  <c r="L175" i="1"/>
  <c r="G175" i="1"/>
  <c r="M174" i="1"/>
  <c r="L174" i="1"/>
  <c r="G174" i="1"/>
  <c r="M173" i="1"/>
  <c r="L173" i="1"/>
  <c r="G173" i="1"/>
  <c r="M172" i="1"/>
  <c r="L172" i="1"/>
  <c r="G172" i="1"/>
  <c r="M171" i="1"/>
  <c r="L171" i="1"/>
  <c r="G171" i="1"/>
  <c r="M170" i="1"/>
  <c r="L170" i="1"/>
  <c r="G170" i="1"/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G39" i="1" l="1"/>
  <c r="G2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</calcChain>
</file>

<file path=xl/sharedStrings.xml><?xml version="1.0" encoding="utf-8"?>
<sst xmlns="http://schemas.openxmlformats.org/spreadsheetml/2006/main" count="571" uniqueCount="45">
  <si>
    <t>Systemlast</t>
  </si>
  <si>
    <t>Seed</t>
  </si>
  <si>
    <t>FIFO</t>
  </si>
  <si>
    <t>Prio Korr.</t>
  </si>
  <si>
    <t>Anzahl</t>
  </si>
  <si>
    <t xml:space="preserve"> Durchsatz</t>
  </si>
  <si>
    <t>-</t>
  </si>
  <si>
    <t>MittlererDurchsatz</t>
  </si>
  <si>
    <t>Vorfahrtsstrategie</t>
  </si>
  <si>
    <t>Losgroesse</t>
  </si>
  <si>
    <t>BlockierzeitenO</t>
  </si>
  <si>
    <t>BlockierzeitenU</t>
  </si>
  <si>
    <t>Senke Warenausgang</t>
  </si>
  <si>
    <t>Geschwindigkeit schnell Verteilwagen</t>
  </si>
  <si>
    <t>Geschwindigkeit Staustrecke Wareneingang</t>
  </si>
  <si>
    <t>Geschwindigkeit Staustrecke Korrektur</t>
  </si>
  <si>
    <t>Geschwindigkeit Staustrecke Typ2</t>
  </si>
  <si>
    <t>Geschwindigkeit Staustrecke Typ1</t>
  </si>
  <si>
    <t>Anzahl Segmente Wareneingang</t>
  </si>
  <si>
    <t>Anzahl Segmente Korrektur</t>
  </si>
  <si>
    <t>Anzahl Segmente Staustrecke Typ2</t>
  </si>
  <si>
    <t>Anzahl Segmente Staustrecke Typ1</t>
  </si>
  <si>
    <t>Prio der Eingänge</t>
  </si>
  <si>
    <t>Zusammenführungselement</t>
  </si>
  <si>
    <t>Weitere Einstellungen, die nicht variiert werden:</t>
  </si>
  <si>
    <t>Zwei Parameter in Dosimis: Länge in Metern, Anzahl der Plätze</t>
  </si>
  <si>
    <t>Losgröße Pulkstrecke</t>
  </si>
  <si>
    <t>Fifo, Priorität Wareneingang</t>
  </si>
  <si>
    <t>Vorfahrtstrategie Verteilwagen</t>
  </si>
  <si>
    <t>Im Versuchsplan variiert:</t>
  </si>
  <si>
    <t>Simulationsmodell: Einstellungen</t>
  </si>
  <si>
    <t>Anzahl Segmente Senke</t>
  </si>
  <si>
    <t>AuslastungArbeitsstationO</t>
  </si>
  <si>
    <t>AuslastungArbeitsstationU</t>
  </si>
  <si>
    <t xml:space="preserve">AuslastungO </t>
  </si>
  <si>
    <t xml:space="preserve">AuslastungU </t>
  </si>
  <si>
    <t>Deadlock</t>
  </si>
  <si>
    <t>Normalverteilung mit Standardabweichung 5 Sekunden</t>
  </si>
  <si>
    <t>55 Sekunden</t>
  </si>
  <si>
    <t>Objekte pro Stunde, Normalverteilung mit 5 Sekunden</t>
  </si>
  <si>
    <t>SenkeStaustreckeVoll</t>
  </si>
  <si>
    <t>SenkeStaustreckeLeer</t>
  </si>
  <si>
    <t>54,55,56,57,58,59,60,61,62</t>
  </si>
  <si>
    <t>SenkeStaustreckeHalb</t>
  </si>
  <si>
    <t>1,2,4,6,8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</si>
</sst>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quotePrefix="1" applyBorder="1"/>
    <xf numFmtId="2" fontId="1" fillId="0" borderId="0" xfId="1" applyNumberFormat="1" applyBorder="1"/>
    <xf numFmtId="164" fontId="1" fillId="0" borderId="0" xfId="1" applyNumberFormat="1" applyBorder="1"/>
    <xf numFmtId="165" fontId="1" fillId="0" borderId="0" xfId="1" applyNumberFormat="1" applyBorder="1"/>
    <xf numFmtId="0" fontId="1" fillId="0" borderId="0" xfId="1" applyFont="1" applyBorder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6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0" fontId="1" fillId="0" borderId="0" xfId="1" applyNumberFormat="1" applyBorder="1"/>
    <xf numFmtId="10" fontId="1" fillId="0" borderId="0" xfId="2" applyNumberFormat="1" applyFont="1" applyBorder="1"/>
    <xf numFmtId="0" fontId="1" fillId="0" borderId="0" xfId="1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7" fillId="0" borderId="0" xfId="1" applyFont="1"/>
  </cellXfs>
  <cellStyles count="3">
    <cellStyle name="Erklärender Text" xfId="1" builtinId="53"/>
    <cellStyle name="Prozent" xfId="2" builtinId="5"/>
    <cellStyle name="Standard" xfId="0" builtinId="0"/>
  </cellStyles>
  <dxfs count="24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0" formatCode="General"/>
    </dxf>
    <dxf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0" formatCode="General"/>
    </dxf>
    <dxf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e3" displayName="Tabelle3" ref="A1:Q272" totalsRowCount="1" dataCellStyle="Erklärender Text">
  <autoFilter ref="A1:Q271"/>
  <sortState ref="A2:N169">
    <sortCondition ref="D1:D169"/>
  </sortState>
  <tableColumns count="17">
    <tableColumn id="1" name="Anzahl" totalsRowDxfId="23" dataCellStyle="Erklärender Text"/>
    <tableColumn id="11" name="Losgroesse" dataDxfId="22" totalsRowDxfId="21" dataCellStyle="Erklärender Text"/>
    <tableColumn id="2" name="Vorfahrtsstrategie" dataDxfId="20" totalsRowDxfId="19" dataCellStyle="Erklärender Text"/>
    <tableColumn id="3" name="Systemlast" dataDxfId="18" totalsRowDxfId="17" dataCellStyle="Erklärender Text"/>
    <tableColumn id="4" name="Seed" totalsRowDxfId="16" dataCellStyle="Erklärender Text"/>
    <tableColumn id="17" name=" Durchsatz" totalsRowDxfId="15" dataCellStyle="Erklärender Text"/>
    <tableColumn id="5" name="MittlererDurchsatz" dataDxfId="14" totalsRowDxfId="13" dataCellStyle="Erklärender Text">
      <calculatedColumnFormula>Tabelle3[[#This Row],[ Durchsatz]]/120</calculatedColumnFormula>
    </tableColumn>
    <tableColumn id="6" name="BlockierzeitenO" totalsRowDxfId="12" dataCellStyle="Erklärender Text"/>
    <tableColumn id="7" name="BlockierzeitenU" totalsRowDxfId="11" dataCellStyle="Erklärender Text"/>
    <tableColumn id="14" name="AuslastungArbeitsstationO" totalsRowDxfId="10" dataCellStyle="Erklärender Text"/>
    <tableColumn id="12" name="AuslastungArbeitsstationU" totalsRowDxfId="9" dataCellStyle="Erklärender Text"/>
    <tableColumn id="8" name="AuslastungO " dataDxfId="8" totalsRowDxfId="7" dataCellStyle="Erklärender Text">
      <calculatedColumnFormula>J2-H2</calculatedColumnFormula>
    </tableColumn>
    <tableColumn id="9" name="AuslastungU " dataDxfId="6" totalsRowDxfId="5" dataCellStyle="Erklärender Text">
      <calculatedColumnFormula>K2-I2</calculatedColumnFormula>
    </tableColumn>
    <tableColumn id="15" name="SenkeStaustreckeLeer" totalsRowDxfId="4" dataCellStyle="Erklärender Text"/>
    <tableColumn id="16" name="SenkeStaustreckeHalb" dataDxfId="3" totalsRowDxfId="2" dataCellStyle="Prozent"/>
    <tableColumn id="18" name="SenkeStaustreckeVoll" totalsRowDxfId="1" dataCellStyle="Erklärender Text"/>
    <tableColumn id="10" name="Deadlock" totalsRowDxfId="0" dataCellStyle="Erklärender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"/>
  <sheetViews>
    <sheetView workbookViewId="0">
      <pane ySplit="1" topLeftCell="A197" activePane="bottomLeft" state="frozen"/>
      <selection activeCell="E1" sqref="E1"/>
      <selection pane="bottomLeft" activeCell="Q33" sqref="Q33"/>
    </sheetView>
  </sheetViews>
  <sheetFormatPr baseColWidth="10" defaultColWidth="9.1796875" defaultRowHeight="14.5" x14ac:dyDescent="0.35"/>
  <cols>
    <col min="1" max="1" width="11.1796875" customWidth="1"/>
    <col min="2" max="2" width="15" customWidth="1"/>
    <col min="3" max="3" width="19.1796875" style="9" customWidth="1"/>
    <col min="4" max="4" width="12.6328125" style="9" customWidth="1"/>
    <col min="5" max="5" width="11.6328125" bestFit="1" customWidth="1"/>
    <col min="6" max="6" width="11.6328125" customWidth="1"/>
    <col min="7" max="7" width="20.1796875" customWidth="1"/>
    <col min="8" max="9" width="17.81640625" customWidth="1"/>
    <col min="10" max="11" width="28.1796875" customWidth="1"/>
    <col min="12" max="13" width="17.81640625" customWidth="1"/>
    <col min="14" max="16" width="22.81640625" customWidth="1"/>
    <col min="17" max="17" width="11.6328125" customWidth="1"/>
  </cols>
  <sheetData>
    <row r="1" spans="1:17" x14ac:dyDescent="0.35">
      <c r="A1" t="s">
        <v>4</v>
      </c>
      <c r="B1" t="s">
        <v>9</v>
      </c>
      <c r="C1" s="9" t="s">
        <v>8</v>
      </c>
      <c r="D1" s="9" t="s">
        <v>0</v>
      </c>
      <c r="E1" t="s">
        <v>1</v>
      </c>
      <c r="F1" t="s">
        <v>5</v>
      </c>
      <c r="G1" t="s">
        <v>7</v>
      </c>
      <c r="H1" t="s">
        <v>10</v>
      </c>
      <c r="I1" t="s">
        <v>11</v>
      </c>
      <c r="J1" t="s">
        <v>32</v>
      </c>
      <c r="K1" t="s">
        <v>33</v>
      </c>
      <c r="L1" t="s">
        <v>34</v>
      </c>
      <c r="M1" t="s">
        <v>35</v>
      </c>
      <c r="N1" t="s">
        <v>41</v>
      </c>
      <c r="O1" t="s">
        <v>43</v>
      </c>
      <c r="P1" t="s">
        <v>40</v>
      </c>
      <c r="Q1" t="s">
        <v>36</v>
      </c>
    </row>
    <row r="2" spans="1:17" x14ac:dyDescent="0.35">
      <c r="A2" s="2">
        <v>1</v>
      </c>
      <c r="B2" s="8">
        <v>2</v>
      </c>
      <c r="C2" s="18" t="s">
        <v>2</v>
      </c>
      <c r="D2" s="18">
        <v>54</v>
      </c>
      <c r="E2" s="2">
        <v>878305932</v>
      </c>
      <c r="F2" s="2">
        <v>6472</v>
      </c>
      <c r="G2" s="2">
        <f>Tabelle3[[#This Row],[ Durchsatz]]/120</f>
        <v>53.93333333333333</v>
      </c>
      <c r="H2" s="2">
        <v>0.2</v>
      </c>
      <c r="I2" s="2">
        <v>0</v>
      </c>
      <c r="J2" s="2">
        <f>100-13.12</f>
        <v>86.88</v>
      </c>
      <c r="K2" s="2">
        <f>100-13.65</f>
        <v>86.35</v>
      </c>
      <c r="L2" s="2">
        <f>J2-H2</f>
        <v>86.679999999999993</v>
      </c>
      <c r="M2" s="2">
        <f t="shared" ref="M2:M33" si="0">K2-I2</f>
        <v>86.35</v>
      </c>
      <c r="N2" s="21">
        <v>0.51049999999999995</v>
      </c>
      <c r="O2" s="21">
        <v>0.36259999999999998</v>
      </c>
      <c r="P2" s="21">
        <v>0.12690000000000001</v>
      </c>
      <c r="Q2" s="3" t="s">
        <v>6</v>
      </c>
    </row>
    <row r="3" spans="1:17" x14ac:dyDescent="0.35">
      <c r="A3" s="2">
        <v>2</v>
      </c>
      <c r="B3" s="8">
        <v>2</v>
      </c>
      <c r="C3" s="18" t="s">
        <v>2</v>
      </c>
      <c r="D3" s="18">
        <v>54</v>
      </c>
      <c r="E3" s="2">
        <v>787679447</v>
      </c>
      <c r="F3" s="2">
        <v>6478</v>
      </c>
      <c r="G3" s="6">
        <f>Tabelle3[[#This Row],[ Durchsatz]]/120</f>
        <v>53.983333333333334</v>
      </c>
      <c r="H3" s="2">
        <v>0.4</v>
      </c>
      <c r="I3" s="2">
        <v>0</v>
      </c>
      <c r="J3" s="2">
        <f>100-10.81</f>
        <v>89.19</v>
      </c>
      <c r="K3" s="2">
        <f>100-13.9</f>
        <v>86.1</v>
      </c>
      <c r="L3" s="2">
        <f t="shared" ref="L3:L33" si="1">J3-H3</f>
        <v>88.789999999999992</v>
      </c>
      <c r="M3" s="2">
        <f t="shared" si="0"/>
        <v>86.1</v>
      </c>
      <c r="N3" s="21">
        <v>0.49530000000000002</v>
      </c>
      <c r="O3" s="21">
        <v>0.35539999999999999</v>
      </c>
      <c r="P3" s="21">
        <v>0.1492</v>
      </c>
      <c r="Q3" s="3" t="s">
        <v>6</v>
      </c>
    </row>
    <row r="4" spans="1:17" x14ac:dyDescent="0.35">
      <c r="A4" s="2">
        <v>3</v>
      </c>
      <c r="B4" s="8">
        <v>2</v>
      </c>
      <c r="C4" s="18" t="s">
        <v>2</v>
      </c>
      <c r="D4" s="18">
        <v>54</v>
      </c>
      <c r="E4" s="2">
        <v>855966516</v>
      </c>
      <c r="F4" s="2">
        <v>6483</v>
      </c>
      <c r="G4" s="6">
        <f>Tabelle3[[#This Row],[ Durchsatz]]/120</f>
        <v>54.024999999999999</v>
      </c>
      <c r="H4" s="2">
        <v>0.16</v>
      </c>
      <c r="I4" s="2">
        <v>0</v>
      </c>
      <c r="J4" s="2">
        <f>100-10.15</f>
        <v>89.85</v>
      </c>
      <c r="K4" s="2">
        <f>100-13.4</f>
        <v>86.6</v>
      </c>
      <c r="L4" s="2">
        <f t="shared" si="1"/>
        <v>89.69</v>
      </c>
      <c r="M4" s="2">
        <f t="shared" si="0"/>
        <v>86.6</v>
      </c>
      <c r="N4" s="21">
        <v>0.50229999999999997</v>
      </c>
      <c r="O4" s="21">
        <v>0.37130000000000002</v>
      </c>
      <c r="P4" s="21">
        <v>0.12640000000000001</v>
      </c>
      <c r="Q4" s="3" t="s">
        <v>6</v>
      </c>
    </row>
    <row r="5" spans="1:17" x14ac:dyDescent="0.35">
      <c r="A5" s="2">
        <v>4</v>
      </c>
      <c r="B5" s="8">
        <v>4</v>
      </c>
      <c r="C5" s="18" t="s">
        <v>2</v>
      </c>
      <c r="D5" s="18">
        <v>54</v>
      </c>
      <c r="E5" s="2">
        <v>1102514732</v>
      </c>
      <c r="F5" s="2">
        <v>6483</v>
      </c>
      <c r="G5" s="6">
        <f>Tabelle3[[#This Row],[ Durchsatz]]/120</f>
        <v>54.024999999999999</v>
      </c>
      <c r="H5" s="2">
        <v>0.28000000000000003</v>
      </c>
      <c r="I5" s="2">
        <v>0</v>
      </c>
      <c r="J5" s="2">
        <f>100-12.17</f>
        <v>87.83</v>
      </c>
      <c r="K5" s="2">
        <f>100-11.65</f>
        <v>88.35</v>
      </c>
      <c r="L5" s="2">
        <f t="shared" si="1"/>
        <v>87.55</v>
      </c>
      <c r="M5" s="2">
        <f t="shared" si="0"/>
        <v>88.35</v>
      </c>
      <c r="N5" s="21">
        <v>0.49230000000000002</v>
      </c>
      <c r="O5" s="21">
        <v>0.35270000000000001</v>
      </c>
      <c r="P5" s="21">
        <v>0.155</v>
      </c>
      <c r="Q5" s="3" t="s">
        <v>6</v>
      </c>
    </row>
    <row r="6" spans="1:17" x14ac:dyDescent="0.35">
      <c r="A6" s="2">
        <v>5</v>
      </c>
      <c r="B6" s="8">
        <v>4</v>
      </c>
      <c r="C6" s="18" t="s">
        <v>2</v>
      </c>
      <c r="D6" s="18">
        <v>54</v>
      </c>
      <c r="E6" s="2">
        <v>159410662</v>
      </c>
      <c r="F6" s="2">
        <v>6479</v>
      </c>
      <c r="G6" s="6">
        <f>Tabelle3[[#This Row],[ Durchsatz]]/120</f>
        <v>53.991666666666667</v>
      </c>
      <c r="H6" s="2">
        <v>0.3</v>
      </c>
      <c r="I6" s="2">
        <v>0</v>
      </c>
      <c r="J6" s="2">
        <f>100-11.16</f>
        <v>88.84</v>
      </c>
      <c r="K6" s="2">
        <f>100-16.02</f>
        <v>83.98</v>
      </c>
      <c r="L6" s="2">
        <f t="shared" si="1"/>
        <v>88.54</v>
      </c>
      <c r="M6" s="2">
        <f t="shared" si="0"/>
        <v>83.98</v>
      </c>
      <c r="N6" s="21">
        <v>0.50439999999999996</v>
      </c>
      <c r="O6" s="21">
        <v>0.3548</v>
      </c>
      <c r="P6" s="21">
        <v>0.1409</v>
      </c>
      <c r="Q6" s="3" t="s">
        <v>6</v>
      </c>
    </row>
    <row r="7" spans="1:17" x14ac:dyDescent="0.35">
      <c r="A7" s="2">
        <v>6</v>
      </c>
      <c r="B7" s="8">
        <v>4</v>
      </c>
      <c r="C7" s="18" t="s">
        <v>2</v>
      </c>
      <c r="D7" s="18">
        <v>54</v>
      </c>
      <c r="E7" s="2">
        <v>321077202</v>
      </c>
      <c r="F7" s="2">
        <v>6476</v>
      </c>
      <c r="G7" s="6">
        <f>Tabelle3[[#This Row],[ Durchsatz]]/120</f>
        <v>53.966666666666669</v>
      </c>
      <c r="H7" s="2">
        <v>0.19</v>
      </c>
      <c r="I7" s="2">
        <v>0</v>
      </c>
      <c r="J7" s="2">
        <f>100-13.7</f>
        <v>86.3</v>
      </c>
      <c r="K7" s="2">
        <f>100-13.55</f>
        <v>86.45</v>
      </c>
      <c r="L7" s="2">
        <f t="shared" si="1"/>
        <v>86.11</v>
      </c>
      <c r="M7" s="2">
        <f t="shared" si="0"/>
        <v>86.45</v>
      </c>
      <c r="N7" s="21">
        <v>0.50160000000000005</v>
      </c>
      <c r="O7" s="21">
        <v>0.35630000000000001</v>
      </c>
      <c r="P7" s="21">
        <v>0.1421</v>
      </c>
      <c r="Q7" s="3" t="s">
        <v>6</v>
      </c>
    </row>
    <row r="8" spans="1:17" x14ac:dyDescent="0.35">
      <c r="A8" s="2">
        <v>7</v>
      </c>
      <c r="B8" s="8">
        <v>6</v>
      </c>
      <c r="C8" s="18" t="s">
        <v>2</v>
      </c>
      <c r="D8" s="18">
        <v>54</v>
      </c>
      <c r="E8" s="2">
        <v>1110496997</v>
      </c>
      <c r="F8" s="2">
        <v>6483</v>
      </c>
      <c r="G8" s="5">
        <f>Tabelle3[[#This Row],[ Durchsatz]]/120</f>
        <v>54.024999999999999</v>
      </c>
      <c r="H8" s="2">
        <v>0.52</v>
      </c>
      <c r="I8" s="2">
        <v>0</v>
      </c>
      <c r="J8" s="2">
        <f>100-13.28</f>
        <v>86.72</v>
      </c>
      <c r="K8" s="2">
        <f>100-12.84</f>
        <v>87.16</v>
      </c>
      <c r="L8" s="2">
        <f t="shared" si="1"/>
        <v>86.2</v>
      </c>
      <c r="M8" s="2">
        <f t="shared" si="0"/>
        <v>87.16</v>
      </c>
      <c r="N8" s="21">
        <v>0.4909</v>
      </c>
      <c r="O8" s="21">
        <v>0.33729999999999999</v>
      </c>
      <c r="P8" s="21">
        <v>0.17180000000000001</v>
      </c>
      <c r="Q8" s="3" t="s">
        <v>6</v>
      </c>
    </row>
    <row r="9" spans="1:17" x14ac:dyDescent="0.35">
      <c r="A9" s="2">
        <v>8</v>
      </c>
      <c r="B9" s="8">
        <v>6</v>
      </c>
      <c r="C9" s="18" t="s">
        <v>2</v>
      </c>
      <c r="D9" s="18">
        <v>54</v>
      </c>
      <c r="E9" s="2">
        <v>1546923874</v>
      </c>
      <c r="F9" s="2">
        <v>6463</v>
      </c>
      <c r="G9" s="5">
        <f>Tabelle3[[#This Row],[ Durchsatz]]/120</f>
        <v>53.858333333333334</v>
      </c>
      <c r="H9" s="2">
        <v>0.28999999999999998</v>
      </c>
      <c r="I9" s="2">
        <v>0</v>
      </c>
      <c r="J9" s="2">
        <f>100-14.59</f>
        <v>85.41</v>
      </c>
      <c r="K9" s="2">
        <f>100-13.14</f>
        <v>86.86</v>
      </c>
      <c r="L9" s="2">
        <f t="shared" si="1"/>
        <v>85.11999999999999</v>
      </c>
      <c r="M9" s="2">
        <f t="shared" si="0"/>
        <v>86.86</v>
      </c>
      <c r="N9" s="21">
        <v>0.497</v>
      </c>
      <c r="O9" s="21">
        <v>0.34300000000000003</v>
      </c>
      <c r="P9" s="21">
        <v>0.16</v>
      </c>
      <c r="Q9" s="3" t="s">
        <v>6</v>
      </c>
    </row>
    <row r="10" spans="1:17" x14ac:dyDescent="0.35">
      <c r="A10" s="2">
        <v>9</v>
      </c>
      <c r="B10" s="8">
        <v>6</v>
      </c>
      <c r="C10" s="18" t="s">
        <v>2</v>
      </c>
      <c r="D10" s="18">
        <v>54</v>
      </c>
      <c r="E10" s="2">
        <v>726193694</v>
      </c>
      <c r="F10" s="2">
        <v>6458</v>
      </c>
      <c r="G10" s="4">
        <f>Tabelle3[[#This Row],[ Durchsatz]]/120</f>
        <v>53.81666666666667</v>
      </c>
      <c r="H10" s="2">
        <v>0.35</v>
      </c>
      <c r="I10" s="2">
        <v>0</v>
      </c>
      <c r="J10" s="2">
        <f>100-15.78</f>
        <v>84.22</v>
      </c>
      <c r="K10" s="2">
        <f>100-12.33</f>
        <v>87.67</v>
      </c>
      <c r="L10" s="2">
        <f t="shared" si="1"/>
        <v>83.87</v>
      </c>
      <c r="M10" s="2">
        <f t="shared" si="0"/>
        <v>87.67</v>
      </c>
      <c r="N10" s="21">
        <v>0.48820000000000002</v>
      </c>
      <c r="O10" s="21">
        <v>0.34360000000000002</v>
      </c>
      <c r="P10" s="21">
        <v>0.16819999999999999</v>
      </c>
      <c r="Q10" s="3" t="s">
        <v>6</v>
      </c>
    </row>
    <row r="11" spans="1:17" x14ac:dyDescent="0.35">
      <c r="A11" s="2">
        <v>10</v>
      </c>
      <c r="B11" s="8">
        <v>8</v>
      </c>
      <c r="C11" s="18" t="s">
        <v>2</v>
      </c>
      <c r="D11" s="18">
        <v>54</v>
      </c>
      <c r="E11" s="2">
        <v>199399390</v>
      </c>
      <c r="F11" s="2">
        <v>6480</v>
      </c>
      <c r="G11" s="4">
        <f>Tabelle3[[#This Row],[ Durchsatz]]/120</f>
        <v>54</v>
      </c>
      <c r="H11" s="2">
        <v>0.52</v>
      </c>
      <c r="I11" s="2">
        <v>0</v>
      </c>
      <c r="J11" s="2">
        <f>100-14.76</f>
        <v>85.24</v>
      </c>
      <c r="K11" s="2">
        <f>100-14.02</f>
        <v>85.98</v>
      </c>
      <c r="L11" s="2">
        <f t="shared" si="1"/>
        <v>84.72</v>
      </c>
      <c r="M11" s="2">
        <f t="shared" si="0"/>
        <v>85.98</v>
      </c>
      <c r="N11" s="21">
        <v>0.48949999999999999</v>
      </c>
      <c r="O11" s="21">
        <v>0.32479999999999998</v>
      </c>
      <c r="P11" s="21">
        <v>0.1857</v>
      </c>
      <c r="Q11" s="3" t="s">
        <v>6</v>
      </c>
    </row>
    <row r="12" spans="1:17" x14ac:dyDescent="0.35">
      <c r="A12" s="2">
        <v>11</v>
      </c>
      <c r="B12" s="8">
        <v>8</v>
      </c>
      <c r="C12" s="18" t="s">
        <v>2</v>
      </c>
      <c r="D12" s="18">
        <v>54</v>
      </c>
      <c r="E12" s="2">
        <v>1696370801</v>
      </c>
      <c r="F12" s="2">
        <v>6476</v>
      </c>
      <c r="G12" s="4">
        <f>Tabelle3[[#This Row],[ Durchsatz]]/120</f>
        <v>53.966666666666669</v>
      </c>
      <c r="H12" s="2">
        <v>0.76</v>
      </c>
      <c r="I12" s="2">
        <v>0</v>
      </c>
      <c r="J12" s="2">
        <f>100-14.65</f>
        <v>85.35</v>
      </c>
      <c r="K12" s="2">
        <f>100-10.9</f>
        <v>89.1</v>
      </c>
      <c r="L12" s="2">
        <f t="shared" si="1"/>
        <v>84.589999999999989</v>
      </c>
      <c r="M12" s="2">
        <f t="shared" si="0"/>
        <v>89.1</v>
      </c>
      <c r="N12" s="21">
        <v>0.46800000000000003</v>
      </c>
      <c r="O12" s="21">
        <v>0.31850000000000001</v>
      </c>
      <c r="P12" s="21">
        <v>0.21340000000000001</v>
      </c>
      <c r="Q12" s="3" t="s">
        <v>6</v>
      </c>
    </row>
    <row r="13" spans="1:17" x14ac:dyDescent="0.35">
      <c r="A13" s="2">
        <v>12</v>
      </c>
      <c r="B13" s="8">
        <v>8</v>
      </c>
      <c r="C13" s="18" t="s">
        <v>2</v>
      </c>
      <c r="D13" s="18">
        <v>54</v>
      </c>
      <c r="E13" s="2">
        <v>719825349</v>
      </c>
      <c r="F13" s="2">
        <v>6473</v>
      </c>
      <c r="G13" s="4">
        <f>Tabelle3[[#This Row],[ Durchsatz]]/120</f>
        <v>53.94166666666667</v>
      </c>
      <c r="H13" s="2">
        <v>0.34</v>
      </c>
      <c r="I13" s="2">
        <v>0</v>
      </c>
      <c r="J13" s="2">
        <f>100-15.63</f>
        <v>84.37</v>
      </c>
      <c r="K13" s="2">
        <f>100-13.46</f>
        <v>86.539999999999992</v>
      </c>
      <c r="L13" s="2">
        <f t="shared" si="1"/>
        <v>84.03</v>
      </c>
      <c r="M13" s="2">
        <f t="shared" si="0"/>
        <v>86.539999999999992</v>
      </c>
      <c r="N13" s="21">
        <v>0.49180000000000001</v>
      </c>
      <c r="O13" s="21">
        <v>0.3276</v>
      </c>
      <c r="P13" s="21">
        <v>0.18060000000000001</v>
      </c>
      <c r="Q13" s="3" t="s">
        <v>6</v>
      </c>
    </row>
    <row r="14" spans="1:17" x14ac:dyDescent="0.35">
      <c r="A14" s="2">
        <v>13</v>
      </c>
      <c r="B14" s="8">
        <v>2</v>
      </c>
      <c r="C14" s="18" t="s">
        <v>3</v>
      </c>
      <c r="D14" s="18">
        <v>54</v>
      </c>
      <c r="E14" s="2">
        <v>1843311428</v>
      </c>
      <c r="F14" s="2">
        <v>6483</v>
      </c>
      <c r="G14" s="4">
        <f>Tabelle3[[#This Row],[ Durchsatz]]/120</f>
        <v>54.024999999999999</v>
      </c>
      <c r="H14" s="2">
        <v>0.21</v>
      </c>
      <c r="I14" s="2">
        <v>0</v>
      </c>
      <c r="J14" s="2">
        <f>100-12.67</f>
        <v>87.33</v>
      </c>
      <c r="K14" s="2">
        <f>100-13.97</f>
        <v>86.03</v>
      </c>
      <c r="L14" s="2">
        <f t="shared" si="1"/>
        <v>87.12</v>
      </c>
      <c r="M14" s="2">
        <f t="shared" si="0"/>
        <v>86.03</v>
      </c>
      <c r="N14" s="20">
        <v>0.51590000000000003</v>
      </c>
      <c r="O14" s="20">
        <v>0.3659</v>
      </c>
      <c r="P14" s="21">
        <v>0.1182</v>
      </c>
      <c r="Q14" s="3" t="s">
        <v>6</v>
      </c>
    </row>
    <row r="15" spans="1:17" x14ac:dyDescent="0.35">
      <c r="A15" s="2">
        <v>14</v>
      </c>
      <c r="B15" s="8">
        <v>2</v>
      </c>
      <c r="C15" s="18" t="s">
        <v>3</v>
      </c>
      <c r="D15" s="18">
        <v>54</v>
      </c>
      <c r="E15" s="2">
        <v>518971880</v>
      </c>
      <c r="F15" s="2">
        <v>6486</v>
      </c>
      <c r="G15" s="4">
        <f>Tabelle3[[#This Row],[ Durchsatz]]/120</f>
        <v>54.05</v>
      </c>
      <c r="H15" s="2">
        <v>0.48</v>
      </c>
      <c r="I15" s="2">
        <v>0</v>
      </c>
      <c r="J15" s="2">
        <f>100-11.68</f>
        <v>88.32</v>
      </c>
      <c r="K15" s="2">
        <f>100-13.8</f>
        <v>86.2</v>
      </c>
      <c r="L15" s="2">
        <f t="shared" si="1"/>
        <v>87.839999999999989</v>
      </c>
      <c r="M15" s="2">
        <f t="shared" si="0"/>
        <v>86.2</v>
      </c>
      <c r="N15" s="21">
        <v>0.4919</v>
      </c>
      <c r="O15" s="21">
        <v>0.36270000000000002</v>
      </c>
      <c r="P15" s="21">
        <v>0.1454</v>
      </c>
      <c r="Q15" s="3" t="s">
        <v>6</v>
      </c>
    </row>
    <row r="16" spans="1:17" x14ac:dyDescent="0.35">
      <c r="A16" s="2">
        <v>15</v>
      </c>
      <c r="B16" s="8">
        <v>2</v>
      </c>
      <c r="C16" s="18" t="s">
        <v>3</v>
      </c>
      <c r="D16" s="18">
        <v>54</v>
      </c>
      <c r="E16" s="2">
        <v>1328950147</v>
      </c>
      <c r="F16" s="2">
        <v>6479</v>
      </c>
      <c r="G16" s="4">
        <f>Tabelle3[[#This Row],[ Durchsatz]]/120</f>
        <v>53.991666666666667</v>
      </c>
      <c r="H16" s="2">
        <v>0.47</v>
      </c>
      <c r="I16" s="2">
        <v>0</v>
      </c>
      <c r="J16" s="2">
        <f>100-14.08</f>
        <v>85.92</v>
      </c>
      <c r="K16" s="2">
        <f>100-13.03</f>
        <v>86.97</v>
      </c>
      <c r="L16" s="2">
        <f t="shared" si="1"/>
        <v>85.45</v>
      </c>
      <c r="M16" s="2">
        <f t="shared" si="0"/>
        <v>86.97</v>
      </c>
      <c r="N16" s="21">
        <v>0.4929</v>
      </c>
      <c r="O16" s="21">
        <v>0.3599</v>
      </c>
      <c r="P16" s="21">
        <v>0.14710000000000001</v>
      </c>
      <c r="Q16" s="3" t="s">
        <v>6</v>
      </c>
    </row>
    <row r="17" spans="1:18" x14ac:dyDescent="0.35">
      <c r="A17" s="2">
        <v>16</v>
      </c>
      <c r="B17" s="8">
        <v>4</v>
      </c>
      <c r="C17" s="18" t="s">
        <v>3</v>
      </c>
      <c r="D17" s="18">
        <v>54</v>
      </c>
      <c r="E17" s="2">
        <v>779504260</v>
      </c>
      <c r="F17" s="2">
        <v>6477</v>
      </c>
      <c r="G17" s="2">
        <f>Tabelle3[[#This Row],[ Durchsatz]]/120</f>
        <v>53.975000000000001</v>
      </c>
      <c r="H17" s="2">
        <v>0.21</v>
      </c>
      <c r="I17" s="2">
        <v>0</v>
      </c>
      <c r="J17" s="2">
        <f>100-18.4</f>
        <v>81.599999999999994</v>
      </c>
      <c r="K17" s="2">
        <f>100-15.58</f>
        <v>84.42</v>
      </c>
      <c r="L17" s="2">
        <f t="shared" si="1"/>
        <v>81.39</v>
      </c>
      <c r="M17" s="2">
        <f t="shared" si="0"/>
        <v>84.42</v>
      </c>
      <c r="N17" s="21">
        <v>0.51770000000000005</v>
      </c>
      <c r="O17" s="21">
        <v>0.36159999999999998</v>
      </c>
      <c r="P17" s="21">
        <v>0.1207</v>
      </c>
      <c r="Q17" s="2" t="s">
        <v>6</v>
      </c>
    </row>
    <row r="18" spans="1:18" x14ac:dyDescent="0.35">
      <c r="A18" s="2">
        <v>17</v>
      </c>
      <c r="B18" s="8">
        <v>4</v>
      </c>
      <c r="C18" s="18" t="s">
        <v>3</v>
      </c>
      <c r="D18" s="18">
        <v>54</v>
      </c>
      <c r="E18" s="2">
        <v>1250382036</v>
      </c>
      <c r="F18" s="2">
        <v>6495</v>
      </c>
      <c r="G18" s="2">
        <f>Tabelle3[[#This Row],[ Durchsatz]]/120</f>
        <v>54.125</v>
      </c>
      <c r="H18" s="2">
        <v>0.08</v>
      </c>
      <c r="I18" s="2">
        <v>0</v>
      </c>
      <c r="J18" s="2">
        <f>100-17.48</f>
        <v>82.52</v>
      </c>
      <c r="K18" s="2">
        <f>100-17.7</f>
        <v>82.3</v>
      </c>
      <c r="L18" s="2">
        <f t="shared" si="1"/>
        <v>82.44</v>
      </c>
      <c r="M18" s="2">
        <f t="shared" si="0"/>
        <v>82.3</v>
      </c>
      <c r="N18" s="21">
        <v>0.51780000000000004</v>
      </c>
      <c r="O18" s="21">
        <v>0.3674</v>
      </c>
      <c r="P18" s="21">
        <v>0.1147</v>
      </c>
      <c r="Q18" s="3" t="s">
        <v>6</v>
      </c>
    </row>
    <row r="19" spans="1:18" x14ac:dyDescent="0.35">
      <c r="A19" s="2">
        <v>18</v>
      </c>
      <c r="B19" s="8">
        <v>4</v>
      </c>
      <c r="C19" s="18" t="s">
        <v>3</v>
      </c>
      <c r="D19" s="18">
        <v>54</v>
      </c>
      <c r="E19" s="2">
        <v>299873085</v>
      </c>
      <c r="F19" s="2">
        <v>6476</v>
      </c>
      <c r="G19" s="4">
        <f>Tabelle3[[#This Row],[ Durchsatz]]/120</f>
        <v>53.966666666666669</v>
      </c>
      <c r="H19" s="2">
        <v>0.14000000000000001</v>
      </c>
      <c r="I19" s="2">
        <v>0</v>
      </c>
      <c r="J19" s="2">
        <f>100-16.62</f>
        <v>83.38</v>
      </c>
      <c r="K19" s="2">
        <f>100-17.26</f>
        <v>82.74</v>
      </c>
      <c r="L19" s="2">
        <f t="shared" si="1"/>
        <v>83.24</v>
      </c>
      <c r="M19" s="2">
        <f t="shared" si="0"/>
        <v>82.74</v>
      </c>
      <c r="N19" s="21">
        <v>0.51639999999999997</v>
      </c>
      <c r="O19" s="21">
        <v>0.36969999999999997</v>
      </c>
      <c r="P19" s="21">
        <v>0.1139</v>
      </c>
      <c r="Q19" s="3" t="s">
        <v>6</v>
      </c>
    </row>
    <row r="20" spans="1:18" x14ac:dyDescent="0.35">
      <c r="A20" s="2">
        <v>19</v>
      </c>
      <c r="B20" s="8">
        <v>6</v>
      </c>
      <c r="C20" s="18" t="s">
        <v>3</v>
      </c>
      <c r="D20" s="18">
        <v>54</v>
      </c>
      <c r="E20" s="2">
        <v>1205606195</v>
      </c>
      <c r="F20" s="2">
        <v>6499</v>
      </c>
      <c r="G20" s="4">
        <f>Tabelle3[[#This Row],[ Durchsatz]]/120</f>
        <v>54.158333333333331</v>
      </c>
      <c r="H20" s="2">
        <v>0.09</v>
      </c>
      <c r="I20" s="2">
        <v>0</v>
      </c>
      <c r="J20" s="2">
        <f>100-18.79</f>
        <v>81.210000000000008</v>
      </c>
      <c r="K20" s="2">
        <f>100-18.87</f>
        <v>81.13</v>
      </c>
      <c r="L20" s="2">
        <f t="shared" si="1"/>
        <v>81.12</v>
      </c>
      <c r="M20" s="2">
        <f t="shared" si="0"/>
        <v>81.13</v>
      </c>
      <c r="N20" s="21">
        <v>0.4985</v>
      </c>
      <c r="O20" s="21">
        <v>0.35639999999999999</v>
      </c>
      <c r="P20" s="21">
        <v>0.14510000000000001</v>
      </c>
      <c r="Q20" s="3" t="s">
        <v>6</v>
      </c>
    </row>
    <row r="21" spans="1:18" x14ac:dyDescent="0.35">
      <c r="A21" s="2">
        <v>20</v>
      </c>
      <c r="B21" s="8">
        <v>6</v>
      </c>
      <c r="C21" s="18" t="s">
        <v>3</v>
      </c>
      <c r="D21" s="18">
        <v>54</v>
      </c>
      <c r="E21" s="2">
        <v>1381940058</v>
      </c>
      <c r="F21" s="2">
        <v>6491</v>
      </c>
      <c r="G21" s="4">
        <f>Tabelle3[[#This Row],[ Durchsatz]]/120</f>
        <v>54.091666666666669</v>
      </c>
      <c r="H21" s="2">
        <v>0.09</v>
      </c>
      <c r="I21" s="2">
        <v>0</v>
      </c>
      <c r="J21" s="2">
        <f>100-20.13</f>
        <v>79.87</v>
      </c>
      <c r="K21" s="2">
        <f>100-18.86</f>
        <v>81.14</v>
      </c>
      <c r="L21" s="2">
        <f t="shared" si="1"/>
        <v>79.78</v>
      </c>
      <c r="M21" s="2">
        <f t="shared" si="0"/>
        <v>81.14</v>
      </c>
      <c r="N21" s="21">
        <v>0.51800000000000002</v>
      </c>
      <c r="O21" s="21">
        <v>0.35620000000000002</v>
      </c>
      <c r="P21" s="21">
        <v>0.1258</v>
      </c>
      <c r="Q21" s="3" t="s">
        <v>6</v>
      </c>
    </row>
    <row r="22" spans="1:18" x14ac:dyDescent="0.35">
      <c r="A22" s="2">
        <v>21</v>
      </c>
      <c r="B22" s="8">
        <v>6</v>
      </c>
      <c r="C22" s="18" t="s">
        <v>3</v>
      </c>
      <c r="D22" s="18">
        <v>54</v>
      </c>
      <c r="E22" s="2">
        <v>554763422</v>
      </c>
      <c r="F22" s="2">
        <v>6473</v>
      </c>
      <c r="G22" s="4">
        <f>Tabelle3[[#This Row],[ Durchsatz]]/120</f>
        <v>53.94166666666667</v>
      </c>
      <c r="H22" s="2">
        <v>0.12</v>
      </c>
      <c r="I22" s="2">
        <v>0</v>
      </c>
      <c r="J22" s="2">
        <f>100-19.82</f>
        <v>80.180000000000007</v>
      </c>
      <c r="K22" s="2">
        <f>100-19.64</f>
        <v>80.36</v>
      </c>
      <c r="L22" s="2">
        <f t="shared" si="1"/>
        <v>80.06</v>
      </c>
      <c r="M22" s="2">
        <f t="shared" si="0"/>
        <v>80.36</v>
      </c>
      <c r="N22" s="21">
        <v>0.51119999999999999</v>
      </c>
      <c r="O22" s="21">
        <v>0.34810000000000002</v>
      </c>
      <c r="P22" s="21">
        <v>0.14069999999999999</v>
      </c>
      <c r="Q22" s="3" t="s">
        <v>6</v>
      </c>
    </row>
    <row r="23" spans="1:18" x14ac:dyDescent="0.35">
      <c r="A23" s="2">
        <v>22</v>
      </c>
      <c r="B23" s="8">
        <v>8</v>
      </c>
      <c r="C23" s="18" t="s">
        <v>3</v>
      </c>
      <c r="D23" s="18">
        <v>54</v>
      </c>
      <c r="E23" s="2">
        <v>805324648</v>
      </c>
      <c r="F23" s="2">
        <v>6478</v>
      </c>
      <c r="G23" s="4">
        <f>Tabelle3[[#This Row],[ Durchsatz]]/120</f>
        <v>53.983333333333334</v>
      </c>
      <c r="H23" s="2">
        <v>0.28000000000000003</v>
      </c>
      <c r="I23" s="2">
        <v>0</v>
      </c>
      <c r="J23" s="2">
        <f>100-18.25</f>
        <v>81.75</v>
      </c>
      <c r="K23" s="2">
        <f>100-23.2</f>
        <v>76.8</v>
      </c>
      <c r="L23" s="2">
        <f t="shared" si="1"/>
        <v>81.47</v>
      </c>
      <c r="M23" s="2">
        <f t="shared" si="0"/>
        <v>76.8</v>
      </c>
      <c r="N23" s="21">
        <v>0.50009999999999999</v>
      </c>
      <c r="O23" s="21">
        <v>0.32450000000000001</v>
      </c>
      <c r="P23" s="21">
        <v>0.17549999999999999</v>
      </c>
      <c r="Q23" s="3" t="s">
        <v>6</v>
      </c>
    </row>
    <row r="24" spans="1:18" x14ac:dyDescent="0.35">
      <c r="A24" s="2">
        <v>23</v>
      </c>
      <c r="B24" s="8">
        <v>8</v>
      </c>
      <c r="C24" s="18" t="s">
        <v>3</v>
      </c>
      <c r="D24" s="18">
        <v>54</v>
      </c>
      <c r="E24" s="2">
        <v>469536423</v>
      </c>
      <c r="F24" s="2">
        <v>6485</v>
      </c>
      <c r="G24" s="4">
        <f>Tabelle3[[#This Row],[ Durchsatz]]/120</f>
        <v>54.041666666666664</v>
      </c>
      <c r="H24" s="2">
        <v>0.22</v>
      </c>
      <c r="I24" s="2">
        <v>0</v>
      </c>
      <c r="J24" s="2">
        <f>100-20.31</f>
        <v>79.69</v>
      </c>
      <c r="K24" s="2">
        <f>100-21.91</f>
        <v>78.09</v>
      </c>
      <c r="L24" s="2">
        <f t="shared" si="1"/>
        <v>79.47</v>
      </c>
      <c r="M24" s="2">
        <f t="shared" si="0"/>
        <v>78.09</v>
      </c>
      <c r="N24" s="21">
        <v>0.51390000000000002</v>
      </c>
      <c r="O24" s="21">
        <v>0.3417</v>
      </c>
      <c r="P24" s="21">
        <v>0.1444</v>
      </c>
      <c r="Q24" s="3" t="s">
        <v>6</v>
      </c>
    </row>
    <row r="25" spans="1:18" x14ac:dyDescent="0.35">
      <c r="A25" s="2">
        <v>24</v>
      </c>
      <c r="B25" s="8">
        <v>8</v>
      </c>
      <c r="C25" s="18" t="s">
        <v>3</v>
      </c>
      <c r="D25" s="18">
        <v>54</v>
      </c>
      <c r="E25" s="2">
        <v>1364833283</v>
      </c>
      <c r="F25" s="2">
        <v>6482</v>
      </c>
      <c r="G25" s="2">
        <f>Tabelle3[[#This Row],[ Durchsatz]]/120</f>
        <v>54.016666666666666</v>
      </c>
      <c r="H25" s="2">
        <v>0.24</v>
      </c>
      <c r="I25" s="2">
        <v>0</v>
      </c>
      <c r="J25" s="2">
        <f>100-20.58</f>
        <v>79.42</v>
      </c>
      <c r="K25" s="2">
        <f>100-19.85</f>
        <v>80.150000000000006</v>
      </c>
      <c r="L25" s="2">
        <f t="shared" si="1"/>
        <v>79.180000000000007</v>
      </c>
      <c r="M25" s="2">
        <f t="shared" si="0"/>
        <v>80.150000000000006</v>
      </c>
      <c r="N25" s="21">
        <v>0.51429999999999998</v>
      </c>
      <c r="O25" s="21">
        <v>0.34139999999999998</v>
      </c>
      <c r="P25" s="21">
        <v>0.14430000000000001</v>
      </c>
      <c r="Q25" s="3" t="s">
        <v>6</v>
      </c>
    </row>
    <row r="26" spans="1:18" x14ac:dyDescent="0.35">
      <c r="A26" s="2">
        <v>25</v>
      </c>
      <c r="B26" s="8">
        <v>2</v>
      </c>
      <c r="C26" s="18" t="s">
        <v>2</v>
      </c>
      <c r="D26" s="18">
        <v>55</v>
      </c>
      <c r="E26" s="2">
        <v>763624466</v>
      </c>
      <c r="F26" s="2">
        <v>6590</v>
      </c>
      <c r="G26" s="4">
        <f>Tabelle3[[#This Row],[ Durchsatz]]/120</f>
        <v>54.916666666666664</v>
      </c>
      <c r="H26" s="2">
        <v>0.79</v>
      </c>
      <c r="I26" s="2">
        <v>0</v>
      </c>
      <c r="J26" s="2">
        <f>100-9.57</f>
        <v>90.43</v>
      </c>
      <c r="K26" s="2">
        <f>100-12.65</f>
        <v>87.35</v>
      </c>
      <c r="L26" s="2">
        <f t="shared" si="1"/>
        <v>89.64</v>
      </c>
      <c r="M26" s="2">
        <f t="shared" si="0"/>
        <v>87.35</v>
      </c>
      <c r="N26" s="21">
        <v>0.45340000000000003</v>
      </c>
      <c r="O26" s="21">
        <v>0.34029999999999999</v>
      </c>
      <c r="P26" s="21">
        <v>0.20630000000000001</v>
      </c>
      <c r="Q26" s="3" t="s">
        <v>6</v>
      </c>
    </row>
    <row r="27" spans="1:18" x14ac:dyDescent="0.35">
      <c r="A27" s="2">
        <v>26</v>
      </c>
      <c r="B27" s="8">
        <v>2</v>
      </c>
      <c r="C27" s="18" t="s">
        <v>2</v>
      </c>
      <c r="D27" s="18">
        <v>55</v>
      </c>
      <c r="E27" s="2">
        <v>1397753771</v>
      </c>
      <c r="F27" s="2">
        <v>6609</v>
      </c>
      <c r="G27" s="4">
        <f>Tabelle3[[#This Row],[ Durchsatz]]/120</f>
        <v>55.075000000000003</v>
      </c>
      <c r="H27" s="2">
        <v>0.52</v>
      </c>
      <c r="I27" s="2">
        <v>0</v>
      </c>
      <c r="J27" s="2">
        <f>100-7.6</f>
        <v>92.4</v>
      </c>
      <c r="K27" s="2">
        <f>100-13.86</f>
        <v>86.14</v>
      </c>
      <c r="L27" s="2">
        <f t="shared" si="1"/>
        <v>91.88000000000001</v>
      </c>
      <c r="M27" s="2">
        <f t="shared" si="0"/>
        <v>86.14</v>
      </c>
      <c r="N27" s="21">
        <v>0.4597</v>
      </c>
      <c r="O27" s="21">
        <v>0.36930000000000002</v>
      </c>
      <c r="P27" s="21">
        <v>0.17100000000000001</v>
      </c>
      <c r="Q27" s="3" t="s">
        <v>6</v>
      </c>
    </row>
    <row r="28" spans="1:18" x14ac:dyDescent="0.35">
      <c r="A28" s="2">
        <v>27</v>
      </c>
      <c r="B28" s="8">
        <v>2</v>
      </c>
      <c r="C28" s="18" t="s">
        <v>2</v>
      </c>
      <c r="D28" s="18">
        <v>55</v>
      </c>
      <c r="E28" s="2">
        <v>1200011063</v>
      </c>
      <c r="F28" s="2">
        <v>6585</v>
      </c>
      <c r="G28" s="4">
        <f>Tabelle3[[#This Row],[ Durchsatz]]/120</f>
        <v>54.875</v>
      </c>
      <c r="H28" s="2">
        <v>0.54</v>
      </c>
      <c r="I28" s="2">
        <v>0</v>
      </c>
      <c r="J28" s="2">
        <f>100-9.77</f>
        <v>90.23</v>
      </c>
      <c r="K28" s="2">
        <f>100-11.22</f>
        <v>88.78</v>
      </c>
      <c r="L28" s="2">
        <f t="shared" si="1"/>
        <v>89.69</v>
      </c>
      <c r="M28" s="2">
        <f t="shared" si="0"/>
        <v>88.78</v>
      </c>
      <c r="N28" s="21">
        <v>0.46229999999999999</v>
      </c>
      <c r="O28" s="21">
        <v>0.35070000000000001</v>
      </c>
      <c r="P28" s="21">
        <v>0.187</v>
      </c>
      <c r="Q28" s="3" t="s">
        <v>6</v>
      </c>
    </row>
    <row r="29" spans="1:18" x14ac:dyDescent="0.35">
      <c r="A29" s="2">
        <v>28</v>
      </c>
      <c r="B29" s="8">
        <v>4</v>
      </c>
      <c r="C29" s="18" t="s">
        <v>2</v>
      </c>
      <c r="D29" s="18">
        <v>55</v>
      </c>
      <c r="E29" s="2">
        <v>1165829921</v>
      </c>
      <c r="F29" s="2">
        <v>6594</v>
      </c>
      <c r="G29" s="4">
        <f>Tabelle3[[#This Row],[ Durchsatz]]/120</f>
        <v>54.95</v>
      </c>
      <c r="H29" s="2">
        <v>0.57999999999999996</v>
      </c>
      <c r="I29" s="2">
        <v>0</v>
      </c>
      <c r="J29" s="2">
        <f>100-11.05</f>
        <v>88.95</v>
      </c>
      <c r="K29" s="2">
        <f>100-11.67</f>
        <v>88.33</v>
      </c>
      <c r="L29" s="2">
        <f t="shared" si="1"/>
        <v>88.37</v>
      </c>
      <c r="M29" s="2">
        <f t="shared" si="0"/>
        <v>88.33</v>
      </c>
      <c r="N29" s="21">
        <v>0.45779999999999998</v>
      </c>
      <c r="O29" s="21">
        <v>0.34620000000000001</v>
      </c>
      <c r="P29" s="21">
        <v>0.19600000000000001</v>
      </c>
      <c r="Q29" s="3" t="s">
        <v>6</v>
      </c>
    </row>
    <row r="30" spans="1:18" x14ac:dyDescent="0.35">
      <c r="A30" s="2">
        <v>29</v>
      </c>
      <c r="B30" s="8">
        <v>4</v>
      </c>
      <c r="C30" s="18" t="s">
        <v>2</v>
      </c>
      <c r="D30" s="18">
        <v>55</v>
      </c>
      <c r="E30" s="2">
        <v>662091896</v>
      </c>
      <c r="F30" s="2">
        <v>6584</v>
      </c>
      <c r="G30" s="4">
        <f>Tabelle3[[#This Row],[ Durchsatz]]/120</f>
        <v>54.866666666666667</v>
      </c>
      <c r="H30" s="2">
        <v>0.66</v>
      </c>
      <c r="I30" s="2">
        <v>0</v>
      </c>
      <c r="J30" s="2">
        <f>100-10.93</f>
        <v>89.07</v>
      </c>
      <c r="K30" s="2">
        <f>100-13.17</f>
        <v>86.83</v>
      </c>
      <c r="L30" s="2">
        <f t="shared" si="1"/>
        <v>88.41</v>
      </c>
      <c r="M30" s="2">
        <f t="shared" si="0"/>
        <v>86.83</v>
      </c>
      <c r="N30" s="21">
        <v>0.45300000000000001</v>
      </c>
      <c r="O30" s="21">
        <v>0.34510000000000002</v>
      </c>
      <c r="P30" s="21">
        <v>0.2019</v>
      </c>
      <c r="Q30" s="3" t="s">
        <v>6</v>
      </c>
    </row>
    <row r="31" spans="1:18" x14ac:dyDescent="0.35">
      <c r="A31" s="2">
        <v>30</v>
      </c>
      <c r="B31" s="8">
        <v>4</v>
      </c>
      <c r="C31" s="18" t="s">
        <v>2</v>
      </c>
      <c r="D31" s="18">
        <v>55</v>
      </c>
      <c r="E31" s="2">
        <v>767892993</v>
      </c>
      <c r="F31" s="2">
        <v>6607</v>
      </c>
      <c r="G31" s="4">
        <f>Tabelle3[[#This Row],[ Durchsatz]]/120</f>
        <v>55.05833333333333</v>
      </c>
      <c r="H31" s="2">
        <v>0.39</v>
      </c>
      <c r="I31" s="2">
        <v>0</v>
      </c>
      <c r="J31" s="2">
        <f>100-11.52</f>
        <v>88.48</v>
      </c>
      <c r="K31" s="2">
        <f>100-13.42</f>
        <v>86.58</v>
      </c>
      <c r="L31" s="2">
        <f t="shared" si="1"/>
        <v>88.09</v>
      </c>
      <c r="M31" s="2">
        <f t="shared" si="0"/>
        <v>86.58</v>
      </c>
      <c r="N31" s="21">
        <v>0.46189999999999998</v>
      </c>
      <c r="O31" s="21">
        <v>0.35139999999999999</v>
      </c>
      <c r="P31" s="21">
        <v>0.1867</v>
      </c>
      <c r="Q31" s="3" t="s">
        <v>6</v>
      </c>
    </row>
    <row r="32" spans="1:18" x14ac:dyDescent="0.35">
      <c r="A32" s="2">
        <v>31</v>
      </c>
      <c r="B32" s="8">
        <v>6</v>
      </c>
      <c r="C32" s="18" t="s">
        <v>2</v>
      </c>
      <c r="D32" s="18">
        <v>55</v>
      </c>
      <c r="E32" s="2">
        <v>1954971692</v>
      </c>
      <c r="F32" s="2">
        <v>6596</v>
      </c>
      <c r="G32" s="4">
        <f>Tabelle3[[#This Row],[ Durchsatz]]/120</f>
        <v>54.966666666666669</v>
      </c>
      <c r="H32" s="2">
        <v>0.38</v>
      </c>
      <c r="I32" s="2">
        <v>0</v>
      </c>
      <c r="J32" s="2">
        <f>100-11.45</f>
        <v>88.55</v>
      </c>
      <c r="K32" s="2">
        <f>100-13.19</f>
        <v>86.81</v>
      </c>
      <c r="L32" s="2">
        <f t="shared" si="1"/>
        <v>88.17</v>
      </c>
      <c r="M32" s="2">
        <f t="shared" si="0"/>
        <v>86.81</v>
      </c>
      <c r="N32" s="21">
        <v>0.46189999999999998</v>
      </c>
      <c r="O32" s="21">
        <v>0.34949999999999998</v>
      </c>
      <c r="P32" s="21">
        <v>0.18859999999999999</v>
      </c>
      <c r="Q32" s="3" t="s">
        <v>6</v>
      </c>
      <c r="R32" s="1"/>
    </row>
    <row r="33" spans="1:18" x14ac:dyDescent="0.35">
      <c r="A33" s="2">
        <v>32</v>
      </c>
      <c r="B33" s="8">
        <v>6</v>
      </c>
      <c r="C33" s="18" t="s">
        <v>2</v>
      </c>
      <c r="D33" s="18">
        <v>55</v>
      </c>
      <c r="E33" s="2">
        <v>880962506</v>
      </c>
      <c r="F33" s="2">
        <v>90</v>
      </c>
      <c r="G33" s="4">
        <f>Tabelle3[[#This Row],[ Durchsatz]]/120</f>
        <v>0.75</v>
      </c>
      <c r="H33" s="2">
        <v>98.4</v>
      </c>
      <c r="I33" s="2">
        <v>0</v>
      </c>
      <c r="J33" s="2">
        <f>100-0</f>
        <v>100</v>
      </c>
      <c r="K33" s="2">
        <f>100-98.81</f>
        <v>1.1899999999999977</v>
      </c>
      <c r="L33" s="2">
        <f t="shared" si="1"/>
        <v>1.5999999999999943</v>
      </c>
      <c r="M33" s="2">
        <f t="shared" si="0"/>
        <v>1.1899999999999977</v>
      </c>
      <c r="N33" s="21">
        <v>0.99370000000000003</v>
      </c>
      <c r="O33" s="21">
        <v>3.3E-3</v>
      </c>
      <c r="P33" s="21">
        <v>3.0000000000000001E-3</v>
      </c>
      <c r="Q33" s="3">
        <v>0.2</v>
      </c>
      <c r="R33" s="1"/>
    </row>
    <row r="34" spans="1:18" x14ac:dyDescent="0.35">
      <c r="A34" s="2">
        <v>33</v>
      </c>
      <c r="B34" s="8">
        <v>6</v>
      </c>
      <c r="C34" s="18" t="s">
        <v>2</v>
      </c>
      <c r="D34" s="18">
        <v>55</v>
      </c>
      <c r="E34" s="2">
        <v>127918284</v>
      </c>
      <c r="F34" s="2">
        <v>6518</v>
      </c>
      <c r="G34" s="4">
        <f>Tabelle3[[#This Row],[ Durchsatz]]/120</f>
        <v>54.31666666666667</v>
      </c>
      <c r="H34" s="2">
        <v>0.78</v>
      </c>
      <c r="I34" s="2">
        <v>0</v>
      </c>
      <c r="J34" s="2">
        <f>100-11.56</f>
        <v>88.44</v>
      </c>
      <c r="K34" s="2">
        <f>100-11.28</f>
        <v>88.72</v>
      </c>
      <c r="L34" s="2">
        <f t="shared" ref="L34:L65" si="2">J34-H34</f>
        <v>87.66</v>
      </c>
      <c r="M34" s="2">
        <f t="shared" ref="M34:M65" si="3">K34-I34</f>
        <v>88.72</v>
      </c>
      <c r="N34" s="21">
        <v>0.4526</v>
      </c>
      <c r="O34" s="21">
        <v>0.32940000000000003</v>
      </c>
      <c r="P34" s="21">
        <v>0.21790000000000001</v>
      </c>
      <c r="Q34" s="3" t="s">
        <v>6</v>
      </c>
    </row>
    <row r="35" spans="1:18" x14ac:dyDescent="0.35">
      <c r="A35" s="2">
        <v>34</v>
      </c>
      <c r="B35" s="8">
        <v>8</v>
      </c>
      <c r="C35" s="18" t="s">
        <v>2</v>
      </c>
      <c r="D35" s="18">
        <v>55</v>
      </c>
      <c r="E35" s="2">
        <v>1724551970</v>
      </c>
      <c r="F35" s="2">
        <v>6614</v>
      </c>
      <c r="G35" s="4">
        <f>Tabelle3[[#This Row],[ Durchsatz]]/120</f>
        <v>55.116666666666667</v>
      </c>
      <c r="H35" s="2">
        <v>0.89</v>
      </c>
      <c r="I35" s="2">
        <v>0</v>
      </c>
      <c r="J35" s="2">
        <f>100-10.94</f>
        <v>89.06</v>
      </c>
      <c r="K35" s="2">
        <f>100-10.6</f>
        <v>89.4</v>
      </c>
      <c r="L35" s="2">
        <f t="shared" si="2"/>
        <v>88.17</v>
      </c>
      <c r="M35" s="2">
        <f t="shared" si="3"/>
        <v>89.4</v>
      </c>
      <c r="N35" s="21">
        <v>0.438</v>
      </c>
      <c r="O35" s="21">
        <v>0.32419999999999999</v>
      </c>
      <c r="P35" s="21">
        <v>0.23780000000000001</v>
      </c>
      <c r="Q35" s="3" t="s">
        <v>6</v>
      </c>
    </row>
    <row r="36" spans="1:18" x14ac:dyDescent="0.35">
      <c r="A36" s="2">
        <v>35</v>
      </c>
      <c r="B36" s="8">
        <v>8</v>
      </c>
      <c r="C36" s="18" t="s">
        <v>2</v>
      </c>
      <c r="D36" s="18">
        <v>55</v>
      </c>
      <c r="E36" s="2">
        <v>1397514131</v>
      </c>
      <c r="F36" s="2">
        <v>3930</v>
      </c>
      <c r="G36" s="2">
        <f>Tabelle3[[#This Row],[ Durchsatz]]/120</f>
        <v>32.75</v>
      </c>
      <c r="H36" s="2">
        <v>40.99</v>
      </c>
      <c r="I36" s="2">
        <v>0.01</v>
      </c>
      <c r="J36" s="2">
        <f>100-8.24</f>
        <v>91.76</v>
      </c>
      <c r="K36" s="2">
        <f>100-45.52</f>
        <v>54.48</v>
      </c>
      <c r="L36" s="2">
        <f t="shared" si="2"/>
        <v>50.77</v>
      </c>
      <c r="M36" s="2">
        <f t="shared" si="3"/>
        <v>54.47</v>
      </c>
      <c r="N36" s="21">
        <v>0.65959999999999996</v>
      </c>
      <c r="O36" s="21">
        <v>0.18679999999999999</v>
      </c>
      <c r="P36" s="21">
        <v>0.15359999999999999</v>
      </c>
      <c r="Q36" s="3">
        <v>3.2</v>
      </c>
    </row>
    <row r="37" spans="1:18" x14ac:dyDescent="0.35">
      <c r="A37" s="2">
        <v>36</v>
      </c>
      <c r="B37" s="8">
        <v>8</v>
      </c>
      <c r="C37" s="18" t="s">
        <v>2</v>
      </c>
      <c r="D37" s="18">
        <v>55</v>
      </c>
      <c r="E37" s="2">
        <v>973070934</v>
      </c>
      <c r="F37" s="2">
        <v>6633</v>
      </c>
      <c r="G37" s="4">
        <f>Tabelle3[[#This Row],[ Durchsatz]]/120</f>
        <v>55.274999999999999</v>
      </c>
      <c r="H37" s="2">
        <v>0.47</v>
      </c>
      <c r="I37" s="2">
        <v>0</v>
      </c>
      <c r="J37" s="2">
        <f>100-10.03</f>
        <v>89.97</v>
      </c>
      <c r="K37" s="2">
        <f>100-15.73</f>
        <v>84.27</v>
      </c>
      <c r="L37" s="2">
        <f t="shared" si="2"/>
        <v>89.5</v>
      </c>
      <c r="M37" s="2">
        <f t="shared" si="3"/>
        <v>84.27</v>
      </c>
      <c r="N37" s="21">
        <v>0.46350000000000002</v>
      </c>
      <c r="O37" s="21">
        <v>0.34970000000000001</v>
      </c>
      <c r="P37" s="21">
        <v>0.18679999999999999</v>
      </c>
      <c r="Q37" s="3" t="s">
        <v>6</v>
      </c>
    </row>
    <row r="38" spans="1:18" x14ac:dyDescent="0.35">
      <c r="A38" s="2">
        <v>37</v>
      </c>
      <c r="B38" s="8">
        <v>2</v>
      </c>
      <c r="C38" s="18" t="s">
        <v>3</v>
      </c>
      <c r="D38" s="18">
        <v>55</v>
      </c>
      <c r="E38" s="2">
        <v>1975931040</v>
      </c>
      <c r="F38" s="2">
        <v>6606</v>
      </c>
      <c r="G38" s="4">
        <f>Tabelle3[[#This Row],[ Durchsatz]]/120</f>
        <v>55.05</v>
      </c>
      <c r="H38" s="2">
        <v>0.36</v>
      </c>
      <c r="I38" s="2">
        <v>0</v>
      </c>
      <c r="J38" s="2">
        <f>100-13.06</f>
        <v>86.94</v>
      </c>
      <c r="K38" s="2">
        <f>100-8.08</f>
        <v>91.92</v>
      </c>
      <c r="L38" s="2">
        <f t="shared" si="2"/>
        <v>86.58</v>
      </c>
      <c r="M38" s="2">
        <f t="shared" si="3"/>
        <v>91.92</v>
      </c>
      <c r="N38" s="21">
        <v>0.4602</v>
      </c>
      <c r="O38" s="21">
        <v>0.37030000000000002</v>
      </c>
      <c r="P38" s="21">
        <v>0.1694</v>
      </c>
      <c r="Q38" s="3" t="s">
        <v>6</v>
      </c>
    </row>
    <row r="39" spans="1:18" x14ac:dyDescent="0.35">
      <c r="A39" s="2">
        <v>38</v>
      </c>
      <c r="B39" s="8">
        <v>2</v>
      </c>
      <c r="C39" s="18" t="s">
        <v>3</v>
      </c>
      <c r="D39" s="18">
        <v>55</v>
      </c>
      <c r="E39" s="2">
        <v>1258046738</v>
      </c>
      <c r="F39" s="2">
        <v>6592</v>
      </c>
      <c r="G39" s="4">
        <f>Tabelle3[[#This Row],[ Durchsatz]]/120</f>
        <v>54.93333333333333</v>
      </c>
      <c r="H39" s="2">
        <v>0.19</v>
      </c>
      <c r="I39" s="2">
        <v>0</v>
      </c>
      <c r="J39" s="2">
        <f>100-12.1</f>
        <v>87.9</v>
      </c>
      <c r="K39" s="2">
        <f>100-13.39</f>
        <v>86.61</v>
      </c>
      <c r="L39" s="2">
        <f t="shared" si="2"/>
        <v>87.710000000000008</v>
      </c>
      <c r="M39" s="2">
        <f t="shared" si="3"/>
        <v>86.61</v>
      </c>
      <c r="N39" s="21">
        <v>0.48680000000000001</v>
      </c>
      <c r="O39" s="21">
        <v>0.37430000000000002</v>
      </c>
      <c r="P39" s="21">
        <v>0.1389</v>
      </c>
      <c r="Q39" s="3" t="s">
        <v>6</v>
      </c>
    </row>
    <row r="40" spans="1:18" x14ac:dyDescent="0.35">
      <c r="A40" s="2">
        <v>39</v>
      </c>
      <c r="B40" s="8">
        <v>2</v>
      </c>
      <c r="C40" s="18" t="s">
        <v>3</v>
      </c>
      <c r="D40" s="18">
        <v>55</v>
      </c>
      <c r="E40" s="2">
        <v>924858806</v>
      </c>
      <c r="F40" s="2">
        <v>6600</v>
      </c>
      <c r="G40" s="4">
        <f>Tabelle3[[#This Row],[ Durchsatz]]/120</f>
        <v>55</v>
      </c>
      <c r="H40" s="2">
        <v>0.25</v>
      </c>
      <c r="I40" s="2">
        <v>0</v>
      </c>
      <c r="J40" s="2">
        <f>100-13.5</f>
        <v>86.5</v>
      </c>
      <c r="K40" s="2">
        <f>100-11.27</f>
        <v>88.73</v>
      </c>
      <c r="L40" s="2">
        <f t="shared" si="2"/>
        <v>86.25</v>
      </c>
      <c r="M40" s="2">
        <f t="shared" si="3"/>
        <v>88.73</v>
      </c>
      <c r="N40" s="21">
        <v>0.48659999999999998</v>
      </c>
      <c r="O40" s="21">
        <v>0.37430000000000002</v>
      </c>
      <c r="P40" s="21">
        <v>0.1391</v>
      </c>
      <c r="Q40" s="3" t="s">
        <v>6</v>
      </c>
    </row>
    <row r="41" spans="1:18" x14ac:dyDescent="0.35">
      <c r="A41" s="2">
        <v>40</v>
      </c>
      <c r="B41" s="8">
        <v>4</v>
      </c>
      <c r="C41" s="18" t="s">
        <v>3</v>
      </c>
      <c r="D41" s="18">
        <v>55</v>
      </c>
      <c r="E41" s="2">
        <v>795623288</v>
      </c>
      <c r="F41" s="2">
        <v>6600</v>
      </c>
      <c r="G41" s="4">
        <f>Tabelle3[[#This Row],[ Durchsatz]]/120</f>
        <v>55</v>
      </c>
      <c r="H41" s="2">
        <v>0.18</v>
      </c>
      <c r="I41" s="2">
        <v>0</v>
      </c>
      <c r="J41" s="2">
        <f>100-16.46</f>
        <v>83.539999999999992</v>
      </c>
      <c r="K41" s="2">
        <f>100-16.58</f>
        <v>83.42</v>
      </c>
      <c r="L41" s="2">
        <f t="shared" si="2"/>
        <v>83.359999999999985</v>
      </c>
      <c r="M41" s="2">
        <f t="shared" si="3"/>
        <v>83.42</v>
      </c>
      <c r="N41" s="21">
        <v>0.49399999999999999</v>
      </c>
      <c r="O41" s="21">
        <v>0.37769999999999998</v>
      </c>
      <c r="P41" s="21">
        <v>0.12839999999999999</v>
      </c>
      <c r="Q41" s="3" t="s">
        <v>6</v>
      </c>
    </row>
    <row r="42" spans="1:18" x14ac:dyDescent="0.35">
      <c r="A42" s="2">
        <v>41</v>
      </c>
      <c r="B42" s="8">
        <v>4</v>
      </c>
      <c r="C42" s="18" t="s">
        <v>3</v>
      </c>
      <c r="D42" s="18">
        <v>55</v>
      </c>
      <c r="E42" s="2">
        <v>396265101</v>
      </c>
      <c r="F42" s="2">
        <v>6603</v>
      </c>
      <c r="G42" s="4">
        <f>Tabelle3[[#This Row],[ Durchsatz]]/120</f>
        <v>55.024999999999999</v>
      </c>
      <c r="H42" s="2">
        <v>0.28999999999999998</v>
      </c>
      <c r="I42" s="2">
        <v>0</v>
      </c>
      <c r="J42" s="2">
        <f>100-14.87</f>
        <v>85.13</v>
      </c>
      <c r="K42" s="2">
        <f>100-15.83</f>
        <v>84.17</v>
      </c>
      <c r="L42" s="2">
        <f t="shared" si="2"/>
        <v>84.839999999999989</v>
      </c>
      <c r="M42" s="2">
        <f t="shared" si="3"/>
        <v>84.17</v>
      </c>
      <c r="N42" s="21">
        <v>0.48199999999999998</v>
      </c>
      <c r="O42" s="21">
        <v>0.37619999999999998</v>
      </c>
      <c r="P42" s="21">
        <v>0.14180000000000001</v>
      </c>
      <c r="Q42" s="3" t="s">
        <v>6</v>
      </c>
    </row>
    <row r="43" spans="1:18" x14ac:dyDescent="0.35">
      <c r="A43" s="2">
        <v>42</v>
      </c>
      <c r="B43" s="8">
        <v>4</v>
      </c>
      <c r="C43" s="18" t="s">
        <v>3</v>
      </c>
      <c r="D43" s="18">
        <v>55</v>
      </c>
      <c r="E43" s="2">
        <v>1188700337</v>
      </c>
      <c r="F43" s="2">
        <v>6601</v>
      </c>
      <c r="G43" s="4">
        <f>Tabelle3[[#This Row],[ Durchsatz]]/120</f>
        <v>55.008333333333333</v>
      </c>
      <c r="H43" s="2">
        <v>0.15</v>
      </c>
      <c r="I43" s="2">
        <v>0</v>
      </c>
      <c r="J43" s="2">
        <f>100-16.24</f>
        <v>83.76</v>
      </c>
      <c r="K43" s="2">
        <f>100-15.04</f>
        <v>84.960000000000008</v>
      </c>
      <c r="L43" s="2">
        <f t="shared" si="2"/>
        <v>83.61</v>
      </c>
      <c r="M43" s="2">
        <f t="shared" si="3"/>
        <v>84.960000000000008</v>
      </c>
      <c r="N43" s="21">
        <v>0.48180000000000001</v>
      </c>
      <c r="O43" s="21">
        <v>0.3735</v>
      </c>
      <c r="P43" s="21">
        <v>0.1447</v>
      </c>
      <c r="Q43" s="3" t="s">
        <v>6</v>
      </c>
    </row>
    <row r="44" spans="1:18" x14ac:dyDescent="0.35">
      <c r="A44" s="2">
        <v>43</v>
      </c>
      <c r="B44" s="8">
        <v>6</v>
      </c>
      <c r="C44" s="18" t="s">
        <v>3</v>
      </c>
      <c r="D44" s="18">
        <v>55</v>
      </c>
      <c r="E44" s="2">
        <v>969224325</v>
      </c>
      <c r="F44" s="2">
        <v>6601</v>
      </c>
      <c r="G44" s="2">
        <f>Tabelle3[[#This Row],[ Durchsatz]]/120</f>
        <v>55.008333333333333</v>
      </c>
      <c r="H44" s="2">
        <v>0.19</v>
      </c>
      <c r="I44" s="2">
        <v>0</v>
      </c>
      <c r="J44" s="2">
        <f>100-16.75</f>
        <v>83.25</v>
      </c>
      <c r="K44" s="2">
        <f>100-20.41</f>
        <v>79.59</v>
      </c>
      <c r="L44" s="2">
        <f t="shared" si="2"/>
        <v>83.06</v>
      </c>
      <c r="M44" s="2">
        <f t="shared" si="3"/>
        <v>79.59</v>
      </c>
      <c r="N44" s="21">
        <v>0.48549999999999999</v>
      </c>
      <c r="O44" s="21">
        <v>0.36670000000000003</v>
      </c>
      <c r="P44" s="21">
        <v>0.14779999999999999</v>
      </c>
      <c r="Q44" s="3" t="s">
        <v>6</v>
      </c>
    </row>
    <row r="45" spans="1:18" x14ac:dyDescent="0.35">
      <c r="A45" s="2">
        <v>44</v>
      </c>
      <c r="B45" s="8">
        <v>6</v>
      </c>
      <c r="C45" s="18" t="s">
        <v>3</v>
      </c>
      <c r="D45" s="18">
        <v>55</v>
      </c>
      <c r="E45" s="2">
        <v>283590739</v>
      </c>
      <c r="F45" s="2">
        <v>6606</v>
      </c>
      <c r="G45" s="4">
        <f>Tabelle3[[#This Row],[ Durchsatz]]/120</f>
        <v>55.05</v>
      </c>
      <c r="H45" s="2">
        <v>0.14000000000000001</v>
      </c>
      <c r="I45" s="2">
        <v>0</v>
      </c>
      <c r="J45" s="2">
        <f>100-19.13</f>
        <v>80.87</v>
      </c>
      <c r="K45" s="2">
        <f>100-15.81</f>
        <v>84.19</v>
      </c>
      <c r="L45" s="2">
        <f t="shared" si="2"/>
        <v>80.73</v>
      </c>
      <c r="M45" s="2">
        <f t="shared" si="3"/>
        <v>84.19</v>
      </c>
      <c r="N45" s="21">
        <v>0.46739999999999998</v>
      </c>
      <c r="O45" s="21">
        <v>0.37259999999999999</v>
      </c>
      <c r="P45" s="21">
        <v>0.16</v>
      </c>
      <c r="Q45" s="3" t="s">
        <v>6</v>
      </c>
    </row>
    <row r="46" spans="1:18" x14ac:dyDescent="0.35">
      <c r="A46" s="2">
        <v>45</v>
      </c>
      <c r="B46" s="8">
        <v>6</v>
      </c>
      <c r="C46" s="18" t="s">
        <v>3</v>
      </c>
      <c r="D46" s="18">
        <v>55</v>
      </c>
      <c r="E46" s="2">
        <v>1178064637</v>
      </c>
      <c r="F46" s="2">
        <v>6610</v>
      </c>
      <c r="G46" s="4">
        <f>Tabelle3[[#This Row],[ Durchsatz]]/120</f>
        <v>55.083333333333336</v>
      </c>
      <c r="H46" s="2">
        <v>0.25</v>
      </c>
      <c r="I46" s="2">
        <v>0</v>
      </c>
      <c r="J46" s="2">
        <f>100-20.78</f>
        <v>79.22</v>
      </c>
      <c r="K46" s="2">
        <f>100-14.26</f>
        <v>85.74</v>
      </c>
      <c r="L46" s="2">
        <f t="shared" si="2"/>
        <v>78.97</v>
      </c>
      <c r="M46" s="2">
        <f t="shared" si="3"/>
        <v>85.74</v>
      </c>
      <c r="N46" s="21">
        <v>0.47220000000000001</v>
      </c>
      <c r="O46" s="21">
        <v>0.3644</v>
      </c>
      <c r="P46" s="21">
        <v>0.16339999999999999</v>
      </c>
      <c r="Q46" s="3" t="s">
        <v>6</v>
      </c>
    </row>
    <row r="47" spans="1:18" x14ac:dyDescent="0.35">
      <c r="A47" s="2">
        <v>46</v>
      </c>
      <c r="B47" s="8">
        <v>8</v>
      </c>
      <c r="C47" s="18" t="s">
        <v>3</v>
      </c>
      <c r="D47" s="18">
        <v>55</v>
      </c>
      <c r="E47" s="2">
        <v>1895665107</v>
      </c>
      <c r="F47" s="2">
        <v>6593</v>
      </c>
      <c r="G47" s="4">
        <f>Tabelle3[[#This Row],[ Durchsatz]]/120</f>
        <v>54.94166666666667</v>
      </c>
      <c r="H47" s="2">
        <v>0.23</v>
      </c>
      <c r="I47" s="2">
        <v>0</v>
      </c>
      <c r="J47" s="2">
        <f>100-21.06</f>
        <v>78.94</v>
      </c>
      <c r="K47" s="2">
        <f>100-16.57</f>
        <v>83.43</v>
      </c>
      <c r="L47" s="2">
        <f t="shared" si="2"/>
        <v>78.709999999999994</v>
      </c>
      <c r="M47" s="2">
        <f t="shared" si="3"/>
        <v>83.43</v>
      </c>
      <c r="N47" s="21">
        <v>0.4874</v>
      </c>
      <c r="O47" s="21">
        <v>0.35349999999999998</v>
      </c>
      <c r="P47" s="21">
        <v>0.15909999999999999</v>
      </c>
      <c r="Q47" s="3" t="s">
        <v>6</v>
      </c>
    </row>
    <row r="48" spans="1:18" x14ac:dyDescent="0.35">
      <c r="A48" s="2">
        <v>47</v>
      </c>
      <c r="B48" s="8">
        <v>8</v>
      </c>
      <c r="C48" s="18" t="s">
        <v>3</v>
      </c>
      <c r="D48" s="18">
        <v>55</v>
      </c>
      <c r="E48" s="2">
        <v>875976693</v>
      </c>
      <c r="F48" s="2">
        <v>6613</v>
      </c>
      <c r="G48" s="4">
        <f>Tabelle3[[#This Row],[ Durchsatz]]/120</f>
        <v>55.108333333333334</v>
      </c>
      <c r="H48" s="2">
        <v>0.2</v>
      </c>
      <c r="I48" s="2">
        <v>0</v>
      </c>
      <c r="J48" s="2">
        <f>100-18.96</f>
        <v>81.039999999999992</v>
      </c>
      <c r="K48" s="2">
        <f>100-19.94</f>
        <v>80.06</v>
      </c>
      <c r="L48" s="2">
        <f t="shared" si="2"/>
        <v>80.839999999999989</v>
      </c>
      <c r="M48" s="2">
        <f t="shared" si="3"/>
        <v>80.06</v>
      </c>
      <c r="N48" s="21">
        <v>0.4627</v>
      </c>
      <c r="O48" s="21">
        <v>0.34949999999999998</v>
      </c>
      <c r="P48" s="21">
        <v>0.18779999999999999</v>
      </c>
      <c r="Q48" s="3" t="s">
        <v>6</v>
      </c>
    </row>
    <row r="49" spans="1:17" x14ac:dyDescent="0.35">
      <c r="A49" s="2">
        <v>48</v>
      </c>
      <c r="B49" s="8">
        <v>8</v>
      </c>
      <c r="C49" s="18" t="s">
        <v>3</v>
      </c>
      <c r="D49" s="18">
        <v>55</v>
      </c>
      <c r="E49" s="2">
        <v>182441997</v>
      </c>
      <c r="F49" s="2">
        <v>6590</v>
      </c>
      <c r="G49" s="4">
        <f>Tabelle3[[#This Row],[ Durchsatz]]/120</f>
        <v>54.916666666666664</v>
      </c>
      <c r="H49" s="2">
        <v>0.26</v>
      </c>
      <c r="I49" s="2">
        <v>0</v>
      </c>
      <c r="J49" s="2">
        <f>100-22.11</f>
        <v>77.89</v>
      </c>
      <c r="K49" s="2">
        <f>100-18.05</f>
        <v>81.95</v>
      </c>
      <c r="L49" s="2">
        <f t="shared" si="2"/>
        <v>77.63</v>
      </c>
      <c r="M49" s="2">
        <f t="shared" si="3"/>
        <v>81.95</v>
      </c>
      <c r="N49" s="21">
        <v>0.48649999999999999</v>
      </c>
      <c r="O49" s="21">
        <v>0.3468</v>
      </c>
      <c r="P49" s="21">
        <v>0.1668</v>
      </c>
      <c r="Q49" s="3" t="s">
        <v>6</v>
      </c>
    </row>
    <row r="50" spans="1:17" x14ac:dyDescent="0.35">
      <c r="A50" s="2">
        <v>49</v>
      </c>
      <c r="B50" s="8">
        <v>2</v>
      </c>
      <c r="C50" s="18" t="s">
        <v>2</v>
      </c>
      <c r="D50" s="18">
        <v>56</v>
      </c>
      <c r="E50" s="2">
        <v>1911451698</v>
      </c>
      <c r="F50" s="2">
        <v>6681</v>
      </c>
      <c r="G50" s="4">
        <f>Tabelle3[[#This Row],[ Durchsatz]]/120</f>
        <v>55.674999999999997</v>
      </c>
      <c r="H50" s="2">
        <v>0.88</v>
      </c>
      <c r="I50" s="2">
        <v>0</v>
      </c>
      <c r="J50" s="2">
        <f>100-9.32</f>
        <v>90.68</v>
      </c>
      <c r="K50" s="2">
        <f>100-8.89</f>
        <v>91.11</v>
      </c>
      <c r="L50" s="2">
        <f t="shared" si="2"/>
        <v>89.800000000000011</v>
      </c>
      <c r="M50" s="2">
        <f t="shared" si="3"/>
        <v>91.11</v>
      </c>
      <c r="N50" s="21">
        <v>0.42820000000000003</v>
      </c>
      <c r="O50" s="21">
        <v>0.34839999999999999</v>
      </c>
      <c r="P50" s="21">
        <v>0.22339999999999999</v>
      </c>
      <c r="Q50" s="3" t="s">
        <v>6</v>
      </c>
    </row>
    <row r="51" spans="1:17" x14ac:dyDescent="0.35">
      <c r="A51" s="2">
        <v>50</v>
      </c>
      <c r="B51" s="8">
        <v>2</v>
      </c>
      <c r="C51" s="18" t="s">
        <v>2</v>
      </c>
      <c r="D51" s="18">
        <v>56</v>
      </c>
      <c r="E51" s="2">
        <v>1214022063</v>
      </c>
      <c r="F51" s="2">
        <v>6701</v>
      </c>
      <c r="G51" s="4">
        <f>Tabelle3[[#This Row],[ Durchsatz]]/120</f>
        <v>55.841666666666669</v>
      </c>
      <c r="H51" s="2">
        <v>1.0900000000000001</v>
      </c>
      <c r="I51" s="2">
        <v>0</v>
      </c>
      <c r="J51" s="2">
        <f>100-9.25</f>
        <v>90.75</v>
      </c>
      <c r="K51" s="2">
        <f>100-7.63</f>
        <v>92.37</v>
      </c>
      <c r="L51" s="2">
        <f t="shared" si="2"/>
        <v>89.66</v>
      </c>
      <c r="M51" s="2">
        <f t="shared" si="3"/>
        <v>92.37</v>
      </c>
      <c r="N51" s="21">
        <v>0.40870000000000001</v>
      </c>
      <c r="O51" s="21">
        <v>0.33300000000000002</v>
      </c>
      <c r="P51" s="21">
        <v>0.25819999999999999</v>
      </c>
      <c r="Q51" s="3" t="s">
        <v>6</v>
      </c>
    </row>
    <row r="52" spans="1:17" x14ac:dyDescent="0.35">
      <c r="A52" s="2">
        <v>51</v>
      </c>
      <c r="B52" s="8">
        <v>2</v>
      </c>
      <c r="C52" s="18" t="s">
        <v>2</v>
      </c>
      <c r="D52" s="18">
        <v>56</v>
      </c>
      <c r="E52" s="2">
        <v>880482506</v>
      </c>
      <c r="F52" s="2">
        <v>6587</v>
      </c>
      <c r="G52" s="4">
        <f>Tabelle3[[#This Row],[ Durchsatz]]/120</f>
        <v>54.891666666666666</v>
      </c>
      <c r="H52" s="2">
        <v>1.02</v>
      </c>
      <c r="I52" s="2">
        <v>0</v>
      </c>
      <c r="J52" s="2">
        <f>100-8.99</f>
        <v>91.01</v>
      </c>
      <c r="K52" s="2">
        <f>100-8.64</f>
        <v>91.36</v>
      </c>
      <c r="L52" s="2">
        <f t="shared" si="2"/>
        <v>89.990000000000009</v>
      </c>
      <c r="M52" s="2">
        <f t="shared" si="3"/>
        <v>91.36</v>
      </c>
      <c r="N52" s="21">
        <v>0.4526</v>
      </c>
      <c r="O52" s="21">
        <v>0.32800000000000001</v>
      </c>
      <c r="P52" s="21">
        <v>0.21940000000000001</v>
      </c>
      <c r="Q52" s="3" t="s">
        <v>6</v>
      </c>
    </row>
    <row r="53" spans="1:17" x14ac:dyDescent="0.35">
      <c r="A53" s="2">
        <v>52</v>
      </c>
      <c r="B53" s="8">
        <v>4</v>
      </c>
      <c r="C53" s="18" t="s">
        <v>2</v>
      </c>
      <c r="D53" s="18">
        <v>56</v>
      </c>
      <c r="E53" s="2">
        <v>1289166153</v>
      </c>
      <c r="F53" s="2">
        <v>6749</v>
      </c>
      <c r="G53" s="2">
        <f>Tabelle3[[#This Row],[ Durchsatz]]/120</f>
        <v>56.241666666666667</v>
      </c>
      <c r="H53" s="2">
        <v>0.95</v>
      </c>
      <c r="I53" s="2">
        <v>0</v>
      </c>
      <c r="J53" s="2">
        <f>100-7.56</f>
        <v>92.44</v>
      </c>
      <c r="K53" s="2">
        <f>100-8.34</f>
        <v>91.66</v>
      </c>
      <c r="L53" s="2">
        <f t="shared" si="2"/>
        <v>91.49</v>
      </c>
      <c r="M53" s="2">
        <f t="shared" si="3"/>
        <v>91.66</v>
      </c>
      <c r="N53" s="21">
        <v>0.4118</v>
      </c>
      <c r="O53" s="21">
        <v>0.34389999999999998</v>
      </c>
      <c r="P53" s="21">
        <v>0.24429999999999999</v>
      </c>
      <c r="Q53" s="3" t="s">
        <v>6</v>
      </c>
    </row>
    <row r="54" spans="1:17" x14ac:dyDescent="0.35">
      <c r="A54" s="2">
        <v>53</v>
      </c>
      <c r="B54" s="8">
        <v>4</v>
      </c>
      <c r="C54" s="18" t="s">
        <v>2</v>
      </c>
      <c r="D54" s="18">
        <v>56</v>
      </c>
      <c r="E54" s="2">
        <v>1576661850</v>
      </c>
      <c r="F54" s="2">
        <v>6667</v>
      </c>
      <c r="G54" s="2">
        <f>Tabelle3[[#This Row],[ Durchsatz]]/120</f>
        <v>55.55833333333333</v>
      </c>
      <c r="H54" s="2">
        <v>0.66</v>
      </c>
      <c r="I54" s="2">
        <v>0</v>
      </c>
      <c r="J54" s="2">
        <f>100-11.59</f>
        <v>88.41</v>
      </c>
      <c r="K54" s="2">
        <f>100-9</f>
        <v>91</v>
      </c>
      <c r="L54" s="2">
        <f t="shared" si="2"/>
        <v>87.75</v>
      </c>
      <c r="M54" s="2">
        <f t="shared" si="3"/>
        <v>91</v>
      </c>
      <c r="N54" s="21">
        <v>0.42480000000000001</v>
      </c>
      <c r="O54" s="21">
        <v>0.33989999999999998</v>
      </c>
      <c r="P54" s="21">
        <v>0.23530000000000001</v>
      </c>
      <c r="Q54" s="3" t="s">
        <v>6</v>
      </c>
    </row>
    <row r="55" spans="1:17" x14ac:dyDescent="0.35">
      <c r="A55" s="2">
        <v>54</v>
      </c>
      <c r="B55" s="8">
        <v>4</v>
      </c>
      <c r="C55" s="18" t="s">
        <v>2</v>
      </c>
      <c r="D55" s="18">
        <v>56</v>
      </c>
      <c r="E55" s="2">
        <v>1439544908</v>
      </c>
      <c r="F55" s="2">
        <v>6709</v>
      </c>
      <c r="G55" s="4">
        <f>Tabelle3[[#This Row],[ Durchsatz]]/120</f>
        <v>55.908333333333331</v>
      </c>
      <c r="H55" s="2">
        <v>0.82</v>
      </c>
      <c r="I55" s="2">
        <v>0</v>
      </c>
      <c r="J55" s="2">
        <f>100-8.9</f>
        <v>91.1</v>
      </c>
      <c r="K55" s="2">
        <f>100-10.17</f>
        <v>89.83</v>
      </c>
      <c r="L55" s="2">
        <f t="shared" si="2"/>
        <v>90.28</v>
      </c>
      <c r="M55" s="2">
        <f t="shared" si="3"/>
        <v>89.83</v>
      </c>
      <c r="N55" s="21">
        <v>0.42859999999999998</v>
      </c>
      <c r="O55" s="21">
        <v>0.34370000000000001</v>
      </c>
      <c r="P55" s="21">
        <v>0.2278</v>
      </c>
      <c r="Q55" s="3" t="s">
        <v>6</v>
      </c>
    </row>
    <row r="56" spans="1:17" x14ac:dyDescent="0.35">
      <c r="A56" s="2">
        <v>55</v>
      </c>
      <c r="B56" s="8">
        <v>6</v>
      </c>
      <c r="C56" s="18" t="s">
        <v>2</v>
      </c>
      <c r="D56" s="18">
        <v>56</v>
      </c>
      <c r="E56" s="2">
        <v>1149296578</v>
      </c>
      <c r="F56" s="2">
        <v>6663</v>
      </c>
      <c r="G56" s="4">
        <f>Tabelle3[[#This Row],[ Durchsatz]]/120</f>
        <v>55.524999999999999</v>
      </c>
      <c r="H56" s="2">
        <v>1.2</v>
      </c>
      <c r="I56" s="2">
        <v>0</v>
      </c>
      <c r="J56" s="2">
        <f>100-9.68</f>
        <v>90.32</v>
      </c>
      <c r="K56" s="2">
        <f>100-6.89</f>
        <v>93.11</v>
      </c>
      <c r="L56" s="2">
        <f t="shared" si="2"/>
        <v>89.11999999999999</v>
      </c>
      <c r="M56" s="2">
        <f t="shared" si="3"/>
        <v>93.11</v>
      </c>
      <c r="N56" s="21">
        <v>0.4173</v>
      </c>
      <c r="O56" s="21">
        <v>0.3221</v>
      </c>
      <c r="P56" s="21">
        <v>0.2606</v>
      </c>
      <c r="Q56" s="3" t="s">
        <v>6</v>
      </c>
    </row>
    <row r="57" spans="1:17" x14ac:dyDescent="0.35">
      <c r="A57" s="2">
        <v>56</v>
      </c>
      <c r="B57" s="8">
        <v>6</v>
      </c>
      <c r="C57" s="18" t="s">
        <v>2</v>
      </c>
      <c r="D57" s="18">
        <v>56</v>
      </c>
      <c r="E57" s="2">
        <v>1525984291</v>
      </c>
      <c r="F57" s="2">
        <v>6712</v>
      </c>
      <c r="G57" s="4">
        <f>Tabelle3[[#This Row],[ Durchsatz]]/120</f>
        <v>55.93333333333333</v>
      </c>
      <c r="H57" s="2">
        <v>0.62</v>
      </c>
      <c r="I57" s="2">
        <v>0</v>
      </c>
      <c r="J57" s="2">
        <f>100-11.37</f>
        <v>88.63</v>
      </c>
      <c r="K57" s="2">
        <f>100-8.31</f>
        <v>91.69</v>
      </c>
      <c r="L57" s="2">
        <f t="shared" si="2"/>
        <v>88.009999999999991</v>
      </c>
      <c r="M57" s="2">
        <f t="shared" si="3"/>
        <v>91.69</v>
      </c>
      <c r="N57" s="21">
        <v>0.42409999999999998</v>
      </c>
      <c r="O57" s="21">
        <v>0.35649999999999998</v>
      </c>
      <c r="P57" s="21">
        <v>0.2195</v>
      </c>
      <c r="Q57" s="3" t="s">
        <v>6</v>
      </c>
    </row>
    <row r="58" spans="1:17" x14ac:dyDescent="0.35">
      <c r="A58" s="2">
        <v>57</v>
      </c>
      <c r="B58" s="8">
        <v>6</v>
      </c>
      <c r="C58" s="18" t="s">
        <v>2</v>
      </c>
      <c r="D58" s="18">
        <v>56</v>
      </c>
      <c r="E58" s="2">
        <v>1563007133</v>
      </c>
      <c r="F58" s="2">
        <v>6721</v>
      </c>
      <c r="G58" s="4">
        <f>Tabelle3[[#This Row],[ Durchsatz]]/120</f>
        <v>56.008333333333333</v>
      </c>
      <c r="H58" s="2">
        <v>0.64</v>
      </c>
      <c r="I58" s="2">
        <v>0</v>
      </c>
      <c r="J58" s="2">
        <f>100-8.55</f>
        <v>91.45</v>
      </c>
      <c r="K58" s="2">
        <f>100-12.2</f>
        <v>87.8</v>
      </c>
      <c r="L58" s="2">
        <f t="shared" si="2"/>
        <v>90.81</v>
      </c>
      <c r="M58" s="2">
        <f t="shared" si="3"/>
        <v>87.8</v>
      </c>
      <c r="N58" s="21">
        <v>0.42220000000000002</v>
      </c>
      <c r="O58" s="21">
        <v>0.34939999999999999</v>
      </c>
      <c r="P58" s="21">
        <v>0.22839999999999999</v>
      </c>
      <c r="Q58" s="3" t="s">
        <v>6</v>
      </c>
    </row>
    <row r="59" spans="1:17" x14ac:dyDescent="0.35">
      <c r="A59" s="2">
        <v>58</v>
      </c>
      <c r="B59" s="8">
        <v>8</v>
      </c>
      <c r="C59" s="18" t="s">
        <v>2</v>
      </c>
      <c r="D59" s="18">
        <v>56</v>
      </c>
      <c r="E59" s="2">
        <v>695484119</v>
      </c>
      <c r="F59" s="2">
        <v>6703</v>
      </c>
      <c r="G59" s="4">
        <f>Tabelle3[[#This Row],[ Durchsatz]]/120</f>
        <v>55.858333333333334</v>
      </c>
      <c r="H59" s="2">
        <v>1.65</v>
      </c>
      <c r="I59" s="2">
        <v>0</v>
      </c>
      <c r="J59" s="2">
        <f>100-4.49</f>
        <v>95.51</v>
      </c>
      <c r="K59" s="2">
        <f>100-11.98</f>
        <v>88.02</v>
      </c>
      <c r="L59" s="2">
        <f t="shared" si="2"/>
        <v>93.86</v>
      </c>
      <c r="M59" s="2">
        <f t="shared" si="3"/>
        <v>88.02</v>
      </c>
      <c r="N59" s="21">
        <v>0.39369999999999999</v>
      </c>
      <c r="O59" s="21">
        <v>0.30120000000000002</v>
      </c>
      <c r="P59" s="21">
        <v>0.30509999999999998</v>
      </c>
      <c r="Q59" s="3" t="s">
        <v>6</v>
      </c>
    </row>
    <row r="60" spans="1:17" x14ac:dyDescent="0.35">
      <c r="A60" s="2">
        <v>59</v>
      </c>
      <c r="B60" s="8">
        <v>8</v>
      </c>
      <c r="C60" s="18" t="s">
        <v>2</v>
      </c>
      <c r="D60" s="18">
        <v>56</v>
      </c>
      <c r="E60" s="2">
        <v>1150059780</v>
      </c>
      <c r="F60" s="2">
        <v>6708</v>
      </c>
      <c r="G60" s="4">
        <f>Tabelle3[[#This Row],[ Durchsatz]]/120</f>
        <v>55.9</v>
      </c>
      <c r="H60" s="2">
        <v>1.25</v>
      </c>
      <c r="I60" s="2">
        <v>0</v>
      </c>
      <c r="J60" s="2">
        <f>100-7.34</f>
        <v>92.66</v>
      </c>
      <c r="K60" s="2">
        <f>100-8.78</f>
        <v>91.22</v>
      </c>
      <c r="L60" s="2">
        <f t="shared" si="2"/>
        <v>91.41</v>
      </c>
      <c r="M60" s="2">
        <f t="shared" si="3"/>
        <v>91.22</v>
      </c>
      <c r="N60" s="21">
        <v>0.39700000000000002</v>
      </c>
      <c r="O60" s="21">
        <v>0.31490000000000001</v>
      </c>
      <c r="P60" s="21">
        <v>0.28810000000000002</v>
      </c>
      <c r="Q60" s="3" t="s">
        <v>6</v>
      </c>
    </row>
    <row r="61" spans="1:17" x14ac:dyDescent="0.35">
      <c r="A61" s="2">
        <v>60</v>
      </c>
      <c r="B61" s="8">
        <v>8</v>
      </c>
      <c r="C61" s="18" t="s">
        <v>2</v>
      </c>
      <c r="D61" s="18">
        <v>56</v>
      </c>
      <c r="E61" s="2">
        <v>1828726970</v>
      </c>
      <c r="F61" s="2">
        <v>6726</v>
      </c>
      <c r="G61" s="4">
        <f>Tabelle3[[#This Row],[ Durchsatz]]/120</f>
        <v>56.05</v>
      </c>
      <c r="H61" s="2">
        <v>0.97</v>
      </c>
      <c r="I61" s="2">
        <v>0</v>
      </c>
      <c r="J61" s="2">
        <f>100-10.63</f>
        <v>89.37</v>
      </c>
      <c r="K61" s="2">
        <f>100-10.98</f>
        <v>89.02</v>
      </c>
      <c r="L61" s="2">
        <f t="shared" si="2"/>
        <v>88.4</v>
      </c>
      <c r="M61" s="2">
        <f t="shared" si="3"/>
        <v>89.02</v>
      </c>
      <c r="N61" s="21">
        <v>0.42770000000000002</v>
      </c>
      <c r="O61" s="21">
        <v>0.32690000000000002</v>
      </c>
      <c r="P61" s="21">
        <v>0.24540000000000001</v>
      </c>
      <c r="Q61" s="3" t="s">
        <v>6</v>
      </c>
    </row>
    <row r="62" spans="1:17" x14ac:dyDescent="0.35">
      <c r="A62" s="2">
        <v>61</v>
      </c>
      <c r="B62" s="8">
        <v>2</v>
      </c>
      <c r="C62" s="18" t="s">
        <v>3</v>
      </c>
      <c r="D62" s="18">
        <v>56</v>
      </c>
      <c r="E62" s="2">
        <v>844974959</v>
      </c>
      <c r="F62" s="2">
        <v>6720</v>
      </c>
      <c r="G62" s="2">
        <f>Tabelle3[[#This Row],[ Durchsatz]]/120</f>
        <v>56</v>
      </c>
      <c r="H62" s="2">
        <v>0.82</v>
      </c>
      <c r="I62" s="2">
        <v>0</v>
      </c>
      <c r="J62" s="2">
        <f>100-10.44</f>
        <v>89.56</v>
      </c>
      <c r="K62" s="2">
        <f>100-9.8</f>
        <v>90.2</v>
      </c>
      <c r="L62" s="2">
        <f t="shared" si="2"/>
        <v>88.740000000000009</v>
      </c>
      <c r="M62" s="2">
        <f t="shared" si="3"/>
        <v>90.2</v>
      </c>
      <c r="N62" s="21">
        <v>0.4163</v>
      </c>
      <c r="O62" s="21">
        <v>0.34449999999999997</v>
      </c>
      <c r="P62" s="21">
        <v>0.2392</v>
      </c>
      <c r="Q62" s="3" t="s">
        <v>6</v>
      </c>
    </row>
    <row r="63" spans="1:17" x14ac:dyDescent="0.35">
      <c r="A63" s="2">
        <v>62</v>
      </c>
      <c r="B63" s="8">
        <v>2</v>
      </c>
      <c r="C63" s="18" t="s">
        <v>3</v>
      </c>
      <c r="D63" s="18">
        <v>56</v>
      </c>
      <c r="E63" s="2">
        <v>1275469265</v>
      </c>
      <c r="F63" s="2">
        <v>6720</v>
      </c>
      <c r="G63" s="4">
        <f>Tabelle3[[#This Row],[ Durchsatz]]/120</f>
        <v>56</v>
      </c>
      <c r="H63" s="2">
        <v>0.39</v>
      </c>
      <c r="I63" s="2">
        <v>0</v>
      </c>
      <c r="J63" s="2">
        <f>100-10.82</f>
        <v>89.18</v>
      </c>
      <c r="K63" s="2">
        <f>100-12.32</f>
        <v>87.68</v>
      </c>
      <c r="L63" s="2">
        <f t="shared" si="2"/>
        <v>88.79</v>
      </c>
      <c r="M63" s="2">
        <f t="shared" si="3"/>
        <v>87.68</v>
      </c>
      <c r="N63" s="21">
        <v>0.434</v>
      </c>
      <c r="O63" s="21">
        <v>0.3745</v>
      </c>
      <c r="P63" s="21">
        <v>0.1915</v>
      </c>
      <c r="Q63" s="3" t="s">
        <v>6</v>
      </c>
    </row>
    <row r="64" spans="1:17" x14ac:dyDescent="0.35">
      <c r="A64" s="2">
        <v>63</v>
      </c>
      <c r="B64" s="8">
        <v>2</v>
      </c>
      <c r="C64" s="18" t="s">
        <v>3</v>
      </c>
      <c r="D64" s="18">
        <v>56</v>
      </c>
      <c r="E64" s="2">
        <v>644323398</v>
      </c>
      <c r="F64" s="2">
        <v>6712</v>
      </c>
      <c r="G64" s="2">
        <f>Tabelle3[[#This Row],[ Durchsatz]]/120</f>
        <v>55.93333333333333</v>
      </c>
      <c r="H64" s="2">
        <v>0.51</v>
      </c>
      <c r="I64" s="2">
        <v>0</v>
      </c>
      <c r="J64" s="2">
        <f>100-9.77</f>
        <v>90.23</v>
      </c>
      <c r="K64" s="2">
        <f>100-10.92</f>
        <v>89.08</v>
      </c>
      <c r="L64" s="2">
        <f t="shared" si="2"/>
        <v>89.72</v>
      </c>
      <c r="M64" s="2">
        <f t="shared" si="3"/>
        <v>89.08</v>
      </c>
      <c r="N64" s="21">
        <v>0.43120000000000003</v>
      </c>
      <c r="O64" s="21">
        <v>0.36749999999999999</v>
      </c>
      <c r="P64" s="21">
        <v>0.20130000000000001</v>
      </c>
      <c r="Q64" s="3" t="s">
        <v>6</v>
      </c>
    </row>
    <row r="65" spans="1:17" x14ac:dyDescent="0.35">
      <c r="A65" s="7">
        <v>64</v>
      </c>
      <c r="B65" s="8">
        <v>4</v>
      </c>
      <c r="C65" s="18" t="s">
        <v>3</v>
      </c>
      <c r="D65" s="18">
        <v>56</v>
      </c>
      <c r="E65" s="7">
        <v>658734797</v>
      </c>
      <c r="F65" s="7">
        <v>6718</v>
      </c>
      <c r="G65" s="7">
        <f>Tabelle3[[#This Row],[ Durchsatz]]/120</f>
        <v>55.983333333333334</v>
      </c>
      <c r="H65" s="7">
        <v>0.28000000000000003</v>
      </c>
      <c r="I65" s="2">
        <v>0</v>
      </c>
      <c r="J65" s="2">
        <f>100-12.65</f>
        <v>87.35</v>
      </c>
      <c r="K65" s="2">
        <f>100-16.67</f>
        <v>83.33</v>
      </c>
      <c r="L65" s="2">
        <f t="shared" si="2"/>
        <v>87.07</v>
      </c>
      <c r="M65" s="2">
        <f t="shared" si="3"/>
        <v>83.33</v>
      </c>
      <c r="N65" s="21">
        <v>0.46</v>
      </c>
      <c r="O65" s="21">
        <v>0.3765</v>
      </c>
      <c r="P65" s="21">
        <v>0.16350000000000001</v>
      </c>
      <c r="Q65" s="7" t="s">
        <v>6</v>
      </c>
    </row>
    <row r="66" spans="1:17" x14ac:dyDescent="0.35">
      <c r="A66" s="2">
        <v>65</v>
      </c>
      <c r="B66" s="8">
        <v>4</v>
      </c>
      <c r="C66" s="18" t="s">
        <v>3</v>
      </c>
      <c r="D66" s="18">
        <v>56</v>
      </c>
      <c r="E66" s="2">
        <v>1456621161</v>
      </c>
      <c r="F66" s="2">
        <v>6716</v>
      </c>
      <c r="G66" s="4">
        <f>Tabelle3[[#This Row],[ Durchsatz]]/120</f>
        <v>55.966666666666669</v>
      </c>
      <c r="H66" s="2">
        <v>0.42</v>
      </c>
      <c r="I66" s="2">
        <v>0</v>
      </c>
      <c r="J66" s="2">
        <f>100-14.26</f>
        <v>85.74</v>
      </c>
      <c r="K66" s="2">
        <f>100-12.95</f>
        <v>87.05</v>
      </c>
      <c r="L66" s="2">
        <f t="shared" ref="L66:L97" si="4">J66-H66</f>
        <v>85.32</v>
      </c>
      <c r="M66" s="2">
        <f t="shared" ref="M66:M97" si="5">K66-I66</f>
        <v>87.05</v>
      </c>
      <c r="N66" s="21">
        <v>0.43919999999999998</v>
      </c>
      <c r="O66" s="21">
        <v>0.37569999999999998</v>
      </c>
      <c r="P66" s="21">
        <v>0.18509999999999999</v>
      </c>
      <c r="Q66" s="3" t="s">
        <v>6</v>
      </c>
    </row>
    <row r="67" spans="1:17" x14ac:dyDescent="0.35">
      <c r="A67" s="2">
        <v>66</v>
      </c>
      <c r="B67" s="8">
        <v>4</v>
      </c>
      <c r="C67" s="18" t="s">
        <v>3</v>
      </c>
      <c r="D67" s="18">
        <v>56</v>
      </c>
      <c r="E67" s="2">
        <v>1673512138</v>
      </c>
      <c r="F67" s="2">
        <v>6727</v>
      </c>
      <c r="G67" s="4">
        <f>Tabelle3[[#This Row],[ Durchsatz]]/120</f>
        <v>56.05833333333333</v>
      </c>
      <c r="H67" s="2">
        <v>0.13</v>
      </c>
      <c r="I67" s="2">
        <v>0</v>
      </c>
      <c r="J67" s="2">
        <f>100-13.43</f>
        <v>86.57</v>
      </c>
      <c r="K67" s="2">
        <f>100-16.68</f>
        <v>83.32</v>
      </c>
      <c r="L67" s="2">
        <f t="shared" si="4"/>
        <v>86.44</v>
      </c>
      <c r="M67" s="2">
        <f t="shared" si="5"/>
        <v>83.32</v>
      </c>
      <c r="N67" s="21">
        <v>0.4526</v>
      </c>
      <c r="O67" s="21">
        <v>0.38059999999999999</v>
      </c>
      <c r="P67" s="21">
        <v>0.1668</v>
      </c>
      <c r="Q67" s="3" t="s">
        <v>6</v>
      </c>
    </row>
    <row r="68" spans="1:17" x14ac:dyDescent="0.35">
      <c r="A68" s="2">
        <v>67</v>
      </c>
      <c r="B68" s="8">
        <v>6</v>
      </c>
      <c r="C68" s="18" t="s">
        <v>3</v>
      </c>
      <c r="D68" s="18">
        <v>56</v>
      </c>
      <c r="E68" s="2">
        <v>1480627910</v>
      </c>
      <c r="F68" s="2">
        <v>6703</v>
      </c>
      <c r="G68" s="2">
        <f>Tabelle3[[#This Row],[ Durchsatz]]/120</f>
        <v>55.858333333333334</v>
      </c>
      <c r="H68" s="2">
        <v>0.23</v>
      </c>
      <c r="I68" s="2">
        <v>0</v>
      </c>
      <c r="J68" s="2">
        <f>100-18.45</f>
        <v>81.55</v>
      </c>
      <c r="K68" s="2">
        <f>100-16.82</f>
        <v>83.18</v>
      </c>
      <c r="L68" s="2">
        <f t="shared" si="4"/>
        <v>81.319999999999993</v>
      </c>
      <c r="M68" s="2">
        <f t="shared" si="5"/>
        <v>83.18</v>
      </c>
      <c r="N68" s="21">
        <v>0.44569999999999999</v>
      </c>
      <c r="O68" s="21">
        <v>0.37740000000000001</v>
      </c>
      <c r="P68" s="21">
        <v>0.1769</v>
      </c>
      <c r="Q68" s="3" t="s">
        <v>6</v>
      </c>
    </row>
    <row r="69" spans="1:17" x14ac:dyDescent="0.35">
      <c r="A69" s="2">
        <v>68</v>
      </c>
      <c r="B69" s="8">
        <v>6</v>
      </c>
      <c r="C69" s="18" t="s">
        <v>3</v>
      </c>
      <c r="D69" s="18">
        <v>56</v>
      </c>
      <c r="E69" s="2">
        <v>458088281</v>
      </c>
      <c r="F69" s="2">
        <v>6712</v>
      </c>
      <c r="G69" s="2">
        <f>Tabelle3[[#This Row],[ Durchsatz]]/120</f>
        <v>55.93333333333333</v>
      </c>
      <c r="H69" s="2">
        <v>0.31</v>
      </c>
      <c r="I69" s="2">
        <v>0</v>
      </c>
      <c r="J69" s="2">
        <f>100-14.65</f>
        <v>85.35</v>
      </c>
      <c r="K69" s="2">
        <f>100-16.59</f>
        <v>83.41</v>
      </c>
      <c r="L69" s="2">
        <f t="shared" si="4"/>
        <v>85.039999999999992</v>
      </c>
      <c r="M69" s="2">
        <f t="shared" si="5"/>
        <v>83.41</v>
      </c>
      <c r="N69" s="21">
        <v>0.4501</v>
      </c>
      <c r="O69" s="21">
        <v>0.37040000000000001</v>
      </c>
      <c r="P69" s="21">
        <v>0.17949999999999999</v>
      </c>
      <c r="Q69" s="3" t="s">
        <v>6</v>
      </c>
    </row>
    <row r="70" spans="1:17" x14ac:dyDescent="0.35">
      <c r="A70" s="2">
        <v>69</v>
      </c>
      <c r="B70" s="8">
        <v>6</v>
      </c>
      <c r="C70" s="18" t="s">
        <v>3</v>
      </c>
      <c r="D70" s="18">
        <v>56</v>
      </c>
      <c r="E70" s="2">
        <v>1210491604</v>
      </c>
      <c r="F70" s="2">
        <v>6701</v>
      </c>
      <c r="G70" s="2">
        <f>Tabelle3[[#This Row],[ Durchsatz]]/120</f>
        <v>55.841666666666669</v>
      </c>
      <c r="H70" s="2">
        <v>0.23</v>
      </c>
      <c r="I70" s="2">
        <v>0</v>
      </c>
      <c r="J70" s="2">
        <f>100-18.62</f>
        <v>81.38</v>
      </c>
      <c r="K70" s="2">
        <f>100-15.17</f>
        <v>84.83</v>
      </c>
      <c r="L70" s="2">
        <f t="shared" si="4"/>
        <v>81.149999999999991</v>
      </c>
      <c r="M70" s="2">
        <f t="shared" si="5"/>
        <v>84.83</v>
      </c>
      <c r="N70" s="21">
        <v>0.45590000000000003</v>
      </c>
      <c r="O70" s="21">
        <v>0.37330000000000002</v>
      </c>
      <c r="P70" s="21">
        <v>0.17080000000000001</v>
      </c>
      <c r="Q70" s="3" t="s">
        <v>6</v>
      </c>
    </row>
    <row r="71" spans="1:17" x14ac:dyDescent="0.35">
      <c r="A71" s="2">
        <v>70</v>
      </c>
      <c r="B71" s="8">
        <v>8</v>
      </c>
      <c r="C71" s="18" t="s">
        <v>3</v>
      </c>
      <c r="D71" s="18">
        <v>56</v>
      </c>
      <c r="E71" s="2">
        <v>1167738685</v>
      </c>
      <c r="F71" s="2">
        <v>6721</v>
      </c>
      <c r="G71" s="6">
        <f>Tabelle3[[#This Row],[ Durchsatz]]/120</f>
        <v>56.008333333333333</v>
      </c>
      <c r="H71" s="2">
        <v>0.36</v>
      </c>
      <c r="I71" s="2">
        <v>0</v>
      </c>
      <c r="J71" s="2">
        <f>100-15.31</f>
        <v>84.69</v>
      </c>
      <c r="K71" s="2">
        <f>100-19.77</f>
        <v>80.23</v>
      </c>
      <c r="L71" s="2">
        <f t="shared" si="4"/>
        <v>84.33</v>
      </c>
      <c r="M71" s="2">
        <f t="shared" si="5"/>
        <v>80.23</v>
      </c>
      <c r="N71" s="21">
        <v>0.43719999999999998</v>
      </c>
      <c r="O71" s="21">
        <v>0.35389999999999999</v>
      </c>
      <c r="P71" s="21">
        <v>0.2089</v>
      </c>
      <c r="Q71" s="3" t="s">
        <v>6</v>
      </c>
    </row>
    <row r="72" spans="1:17" x14ac:dyDescent="0.35">
      <c r="A72" s="2">
        <v>71</v>
      </c>
      <c r="B72" s="8">
        <v>8</v>
      </c>
      <c r="C72" s="18" t="s">
        <v>3</v>
      </c>
      <c r="D72" s="18">
        <v>56</v>
      </c>
      <c r="E72" s="2">
        <v>669138861</v>
      </c>
      <c r="F72" s="2">
        <v>6703</v>
      </c>
      <c r="G72" s="2">
        <f>Tabelle3[[#This Row],[ Durchsatz]]/120</f>
        <v>55.858333333333334</v>
      </c>
      <c r="H72" s="2">
        <v>0.26</v>
      </c>
      <c r="I72" s="2">
        <v>0</v>
      </c>
      <c r="J72" s="2">
        <f>100-18.27</f>
        <v>81.73</v>
      </c>
      <c r="K72" s="2">
        <f>100-19.09</f>
        <v>80.91</v>
      </c>
      <c r="L72" s="2">
        <f t="shared" si="4"/>
        <v>81.47</v>
      </c>
      <c r="M72" s="2">
        <f t="shared" si="5"/>
        <v>80.91</v>
      </c>
      <c r="N72" s="21">
        <v>0.45619999999999999</v>
      </c>
      <c r="O72" s="21">
        <v>0.35709999999999997</v>
      </c>
      <c r="P72" s="21">
        <v>0.1867</v>
      </c>
      <c r="Q72" s="3" t="s">
        <v>6</v>
      </c>
    </row>
    <row r="73" spans="1:17" x14ac:dyDescent="0.35">
      <c r="A73" s="2">
        <v>72</v>
      </c>
      <c r="B73" s="8">
        <v>8</v>
      </c>
      <c r="C73" s="18" t="s">
        <v>3</v>
      </c>
      <c r="D73" s="18">
        <v>56</v>
      </c>
      <c r="E73" s="2">
        <v>1206866547</v>
      </c>
      <c r="F73" s="2">
        <v>6723</v>
      </c>
      <c r="G73" s="2">
        <f>Tabelle3[[#This Row],[ Durchsatz]]/120</f>
        <v>56.024999999999999</v>
      </c>
      <c r="H73" s="2">
        <v>0.32</v>
      </c>
      <c r="I73" s="2">
        <v>0</v>
      </c>
      <c r="J73" s="2">
        <f>100-18.45</f>
        <v>81.55</v>
      </c>
      <c r="K73" s="2">
        <f>100-18.25</f>
        <v>81.75</v>
      </c>
      <c r="L73" s="2">
        <f t="shared" si="4"/>
        <v>81.23</v>
      </c>
      <c r="M73" s="2">
        <f t="shared" si="5"/>
        <v>81.75</v>
      </c>
      <c r="N73" s="21">
        <v>0.44469999999999998</v>
      </c>
      <c r="O73" s="21">
        <v>0.34389999999999998</v>
      </c>
      <c r="P73" s="21">
        <v>0.2114</v>
      </c>
      <c r="Q73" s="3" t="s">
        <v>6</v>
      </c>
    </row>
    <row r="74" spans="1:17" x14ac:dyDescent="0.35">
      <c r="A74" s="2">
        <v>73</v>
      </c>
      <c r="B74" s="8">
        <v>2</v>
      </c>
      <c r="C74" s="18" t="s">
        <v>2</v>
      </c>
      <c r="D74" s="18">
        <v>57</v>
      </c>
      <c r="E74" s="2">
        <v>1031577402</v>
      </c>
      <c r="F74" s="2">
        <v>6806</v>
      </c>
      <c r="G74" s="4">
        <f>Tabelle3[[#This Row],[ Durchsatz]]/120</f>
        <v>56.716666666666669</v>
      </c>
      <c r="H74" s="2">
        <v>1.02</v>
      </c>
      <c r="I74" s="2">
        <v>0</v>
      </c>
      <c r="J74" s="2">
        <f>100-5.01</f>
        <v>94.99</v>
      </c>
      <c r="K74" s="2">
        <f>100-8.66</f>
        <v>91.34</v>
      </c>
      <c r="L74" s="2">
        <f t="shared" si="4"/>
        <v>93.97</v>
      </c>
      <c r="M74" s="2">
        <f t="shared" si="5"/>
        <v>91.34</v>
      </c>
      <c r="N74" s="21">
        <v>0.38300000000000001</v>
      </c>
      <c r="O74" s="21">
        <v>0.3422</v>
      </c>
      <c r="P74" s="21">
        <v>0.27479999999999999</v>
      </c>
      <c r="Q74" s="3" t="s">
        <v>6</v>
      </c>
    </row>
    <row r="75" spans="1:17" x14ac:dyDescent="0.35">
      <c r="A75" s="2">
        <v>74</v>
      </c>
      <c r="B75" s="8">
        <v>2</v>
      </c>
      <c r="C75" s="18" t="s">
        <v>2</v>
      </c>
      <c r="D75" s="18">
        <v>57</v>
      </c>
      <c r="E75" s="2">
        <v>1477929812</v>
      </c>
      <c r="F75" s="2">
        <v>6680</v>
      </c>
      <c r="G75" s="4">
        <f>Tabelle3[[#This Row],[ Durchsatz]]/120</f>
        <v>55.666666666666664</v>
      </c>
      <c r="H75" s="2">
        <v>1.32</v>
      </c>
      <c r="I75" s="2">
        <v>0</v>
      </c>
      <c r="J75" s="2">
        <f>100-7.69</f>
        <v>92.31</v>
      </c>
      <c r="K75" s="2">
        <f>100-7.64</f>
        <v>92.36</v>
      </c>
      <c r="L75" s="2">
        <f t="shared" si="4"/>
        <v>90.990000000000009</v>
      </c>
      <c r="M75" s="2">
        <f t="shared" si="5"/>
        <v>92.36</v>
      </c>
      <c r="N75" s="21">
        <v>0.4123</v>
      </c>
      <c r="O75" s="21">
        <v>0.32600000000000001</v>
      </c>
      <c r="P75" s="21">
        <v>0.2616</v>
      </c>
      <c r="Q75" s="3" t="s">
        <v>6</v>
      </c>
    </row>
    <row r="76" spans="1:17" x14ac:dyDescent="0.35">
      <c r="A76" s="2">
        <v>75</v>
      </c>
      <c r="B76" s="8">
        <v>2</v>
      </c>
      <c r="C76" s="18" t="s">
        <v>2</v>
      </c>
      <c r="D76" s="18">
        <v>57</v>
      </c>
      <c r="E76" s="2">
        <v>142960901</v>
      </c>
      <c r="F76" s="2">
        <v>6792</v>
      </c>
      <c r="G76" s="4">
        <f>Tabelle3[[#This Row],[ Durchsatz]]/120</f>
        <v>56.6</v>
      </c>
      <c r="H76" s="2">
        <v>1.29</v>
      </c>
      <c r="I76" s="2">
        <v>0.01</v>
      </c>
      <c r="J76" s="2">
        <f>100-5.72</f>
        <v>94.28</v>
      </c>
      <c r="K76" s="2">
        <f>100-9.11</f>
        <v>90.89</v>
      </c>
      <c r="L76" s="2">
        <f t="shared" si="4"/>
        <v>92.99</v>
      </c>
      <c r="M76" s="2">
        <f t="shared" si="5"/>
        <v>90.88</v>
      </c>
      <c r="N76" s="21">
        <v>0.3805</v>
      </c>
      <c r="O76" s="21">
        <v>0.31850000000000001</v>
      </c>
      <c r="P76" s="21">
        <v>0.30099999999999999</v>
      </c>
      <c r="Q76" s="3" t="s">
        <v>6</v>
      </c>
    </row>
    <row r="77" spans="1:17" x14ac:dyDescent="0.35">
      <c r="A77" s="2">
        <v>76</v>
      </c>
      <c r="B77" s="8">
        <v>4</v>
      </c>
      <c r="C77" s="18" t="s">
        <v>2</v>
      </c>
      <c r="D77" s="18">
        <v>57</v>
      </c>
      <c r="E77" s="2">
        <v>417963792</v>
      </c>
      <c r="F77" s="2">
        <v>6814</v>
      </c>
      <c r="G77" s="4">
        <f>Tabelle3[[#This Row],[ Durchsatz]]/120</f>
        <v>56.783333333333331</v>
      </c>
      <c r="H77" s="2">
        <v>1.1100000000000001</v>
      </c>
      <c r="I77" s="2">
        <v>0</v>
      </c>
      <c r="J77" s="2">
        <f>100-8.87</f>
        <v>91.13</v>
      </c>
      <c r="K77" s="2">
        <f>100-8.42</f>
        <v>91.58</v>
      </c>
      <c r="L77" s="2">
        <f t="shared" si="4"/>
        <v>90.02</v>
      </c>
      <c r="M77" s="2">
        <f t="shared" si="5"/>
        <v>91.58</v>
      </c>
      <c r="N77" s="21">
        <v>0.40670000000000001</v>
      </c>
      <c r="O77" s="21">
        <v>0.3417</v>
      </c>
      <c r="P77" s="21">
        <v>0.25159999999999999</v>
      </c>
      <c r="Q77" s="3" t="s">
        <v>6</v>
      </c>
    </row>
    <row r="78" spans="1:17" x14ac:dyDescent="0.35">
      <c r="A78" s="2">
        <v>77</v>
      </c>
      <c r="B78" s="8">
        <v>4</v>
      </c>
      <c r="C78" s="18" t="s">
        <v>2</v>
      </c>
      <c r="D78" s="18">
        <v>57</v>
      </c>
      <c r="E78" s="2">
        <v>750012766</v>
      </c>
      <c r="F78" s="2">
        <v>6617</v>
      </c>
      <c r="G78" s="4">
        <f>Tabelle3[[#This Row],[ Durchsatz]]/120</f>
        <v>55.141666666666666</v>
      </c>
      <c r="H78" s="2">
        <v>1.28</v>
      </c>
      <c r="I78" s="2">
        <v>0</v>
      </c>
      <c r="J78" s="2">
        <f>100-7.78</f>
        <v>92.22</v>
      </c>
      <c r="K78" s="2">
        <f>100-9.5</f>
        <v>90.5</v>
      </c>
      <c r="L78" s="2">
        <f t="shared" si="4"/>
        <v>90.94</v>
      </c>
      <c r="M78" s="2">
        <f t="shared" si="5"/>
        <v>90.5</v>
      </c>
      <c r="N78" s="21">
        <v>0.42170000000000002</v>
      </c>
      <c r="O78" s="21">
        <v>0.31730000000000003</v>
      </c>
      <c r="P78" s="21">
        <v>0.26090000000000002</v>
      </c>
      <c r="Q78" s="3" t="s">
        <v>6</v>
      </c>
    </row>
    <row r="79" spans="1:17" x14ac:dyDescent="0.35">
      <c r="A79" s="2">
        <v>78</v>
      </c>
      <c r="B79" s="8">
        <v>4</v>
      </c>
      <c r="C79" s="18" t="s">
        <v>2</v>
      </c>
      <c r="D79" s="18">
        <v>57</v>
      </c>
      <c r="E79" s="2">
        <v>1341563514</v>
      </c>
      <c r="F79" s="2">
        <v>6722</v>
      </c>
      <c r="G79" s="4">
        <f>Tabelle3[[#This Row],[ Durchsatz]]/120</f>
        <v>56.016666666666666</v>
      </c>
      <c r="H79" s="2">
        <v>1.56</v>
      </c>
      <c r="I79" s="2">
        <v>0.03</v>
      </c>
      <c r="J79" s="2">
        <f>100-5.95</f>
        <v>94.05</v>
      </c>
      <c r="K79" s="2">
        <f>100-10.86</f>
        <v>89.14</v>
      </c>
      <c r="L79" s="2">
        <f t="shared" si="4"/>
        <v>92.49</v>
      </c>
      <c r="M79" s="2">
        <f t="shared" si="5"/>
        <v>89.11</v>
      </c>
      <c r="N79" s="21">
        <v>0.39629999999999999</v>
      </c>
      <c r="O79" s="21">
        <v>0.3054</v>
      </c>
      <c r="P79" s="21">
        <v>0.29830000000000001</v>
      </c>
      <c r="Q79" s="3" t="s">
        <v>6</v>
      </c>
    </row>
    <row r="80" spans="1:17" x14ac:dyDescent="0.35">
      <c r="A80" s="2">
        <v>79</v>
      </c>
      <c r="B80" s="8">
        <v>6</v>
      </c>
      <c r="C80" s="18" t="s">
        <v>2</v>
      </c>
      <c r="D80" s="18">
        <v>57</v>
      </c>
      <c r="E80" s="2">
        <v>836375329</v>
      </c>
      <c r="F80" s="2">
        <v>6777</v>
      </c>
      <c r="G80" s="4">
        <f>Tabelle3[[#This Row],[ Durchsatz]]/120</f>
        <v>56.475000000000001</v>
      </c>
      <c r="H80" s="2">
        <v>1.52</v>
      </c>
      <c r="I80" s="2">
        <v>0</v>
      </c>
      <c r="J80" s="2">
        <f>100-9.09</f>
        <v>90.91</v>
      </c>
      <c r="K80" s="2">
        <f>100-10.66</f>
        <v>89.34</v>
      </c>
      <c r="L80" s="2">
        <f t="shared" si="4"/>
        <v>89.39</v>
      </c>
      <c r="M80" s="2">
        <f t="shared" si="5"/>
        <v>89.34</v>
      </c>
      <c r="N80" s="21">
        <v>0.38879999999999998</v>
      </c>
      <c r="O80" s="21">
        <v>0.32269999999999999</v>
      </c>
      <c r="P80" s="21">
        <v>0.28849999999999998</v>
      </c>
      <c r="Q80" s="3" t="s">
        <v>6</v>
      </c>
    </row>
    <row r="81" spans="1:17" x14ac:dyDescent="0.35">
      <c r="A81" s="2">
        <v>80</v>
      </c>
      <c r="B81" s="8">
        <v>6</v>
      </c>
      <c r="C81" s="18" t="s">
        <v>2</v>
      </c>
      <c r="D81" s="18">
        <v>57</v>
      </c>
      <c r="E81" s="2">
        <v>641265434</v>
      </c>
      <c r="F81" s="2">
        <v>5678</v>
      </c>
      <c r="G81" s="4">
        <f>Tabelle3[[#This Row],[ Durchsatz]]/120</f>
        <v>47.31666666666667</v>
      </c>
      <c r="H81" s="2">
        <v>18.22</v>
      </c>
      <c r="I81" s="2">
        <v>0</v>
      </c>
      <c r="J81" s="2">
        <f>100-5.1</f>
        <v>94.9</v>
      </c>
      <c r="K81" s="2">
        <f>100-23.59</f>
        <v>76.41</v>
      </c>
      <c r="L81" s="2">
        <f t="shared" si="4"/>
        <v>76.680000000000007</v>
      </c>
      <c r="M81" s="2">
        <f t="shared" si="5"/>
        <v>76.41</v>
      </c>
      <c r="N81" s="21">
        <v>0.47739999999999999</v>
      </c>
      <c r="O81" s="21">
        <v>0.26700000000000002</v>
      </c>
      <c r="P81" s="21">
        <v>0.2555</v>
      </c>
      <c r="Q81" s="3">
        <v>4.3</v>
      </c>
    </row>
    <row r="82" spans="1:17" x14ac:dyDescent="0.35">
      <c r="A82" s="2">
        <v>81</v>
      </c>
      <c r="B82" s="8">
        <v>6</v>
      </c>
      <c r="C82" s="18" t="s">
        <v>2</v>
      </c>
      <c r="D82" s="18">
        <v>57</v>
      </c>
      <c r="E82" s="2">
        <v>1158195852</v>
      </c>
      <c r="F82" s="2">
        <v>6824</v>
      </c>
      <c r="G82" s="2">
        <f>Tabelle3[[#This Row],[ Durchsatz]]/120</f>
        <v>56.866666666666667</v>
      </c>
      <c r="H82" s="2">
        <v>1.53</v>
      </c>
      <c r="I82" s="2">
        <v>0</v>
      </c>
      <c r="J82" s="2">
        <f>100-7.07</f>
        <v>92.93</v>
      </c>
      <c r="K82" s="2">
        <f>100-8.28</f>
        <v>91.72</v>
      </c>
      <c r="L82" s="2">
        <f t="shared" si="4"/>
        <v>91.4</v>
      </c>
      <c r="M82" s="2">
        <f t="shared" si="5"/>
        <v>91.72</v>
      </c>
      <c r="N82" s="21">
        <v>0.3826</v>
      </c>
      <c r="O82" s="21">
        <v>0.31919999999999998</v>
      </c>
      <c r="P82" s="21">
        <v>0.29820000000000002</v>
      </c>
      <c r="Q82" s="3" t="s">
        <v>6</v>
      </c>
    </row>
    <row r="83" spans="1:17" x14ac:dyDescent="0.35">
      <c r="A83" s="2">
        <v>82</v>
      </c>
      <c r="B83" s="8">
        <v>8</v>
      </c>
      <c r="C83" s="18" t="s">
        <v>2</v>
      </c>
      <c r="D83" s="18">
        <v>57</v>
      </c>
      <c r="E83" s="2">
        <v>216712864</v>
      </c>
      <c r="F83" s="2">
        <v>6810</v>
      </c>
      <c r="G83" s="4">
        <f>Tabelle3[[#This Row],[ Durchsatz]]/120</f>
        <v>56.75</v>
      </c>
      <c r="H83" s="2">
        <v>1.83</v>
      </c>
      <c r="I83" s="2">
        <v>0</v>
      </c>
      <c r="J83" s="2">
        <f>100-6.92</f>
        <v>93.08</v>
      </c>
      <c r="K83" s="2">
        <f>100-5.94</f>
        <v>94.06</v>
      </c>
      <c r="L83" s="2">
        <f t="shared" si="4"/>
        <v>91.25</v>
      </c>
      <c r="M83" s="2">
        <f t="shared" si="5"/>
        <v>94.06</v>
      </c>
      <c r="N83" s="21">
        <v>0.3679</v>
      </c>
      <c r="O83" s="21">
        <v>0.31269999999999998</v>
      </c>
      <c r="P83" s="21">
        <v>0.31940000000000002</v>
      </c>
      <c r="Q83" s="3" t="s">
        <v>6</v>
      </c>
    </row>
    <row r="84" spans="1:17" x14ac:dyDescent="0.35">
      <c r="A84" s="2">
        <v>83</v>
      </c>
      <c r="B84" s="8">
        <v>8</v>
      </c>
      <c r="C84" s="18" t="s">
        <v>2</v>
      </c>
      <c r="D84" s="18">
        <v>57</v>
      </c>
      <c r="E84" s="2">
        <v>555065342</v>
      </c>
      <c r="F84" s="2">
        <v>6790</v>
      </c>
      <c r="G84" s="2">
        <f>Tabelle3[[#This Row],[ Durchsatz]]/120</f>
        <v>56.583333333333336</v>
      </c>
      <c r="H84" s="2">
        <v>1.97</v>
      </c>
      <c r="I84" s="2">
        <v>0</v>
      </c>
      <c r="J84" s="2">
        <f>100-5.48</f>
        <v>94.52</v>
      </c>
      <c r="K84" s="2">
        <f>100-11.16</f>
        <v>88.84</v>
      </c>
      <c r="L84" s="2">
        <f t="shared" si="4"/>
        <v>92.55</v>
      </c>
      <c r="M84" s="2">
        <f t="shared" si="5"/>
        <v>88.84</v>
      </c>
      <c r="N84" s="21">
        <v>0.37790000000000001</v>
      </c>
      <c r="O84" s="21">
        <v>0.30359999999999998</v>
      </c>
      <c r="P84" s="21">
        <v>0.31850000000000001</v>
      </c>
      <c r="Q84" s="3" t="s">
        <v>6</v>
      </c>
    </row>
    <row r="85" spans="1:17" x14ac:dyDescent="0.35">
      <c r="A85" s="2">
        <v>84</v>
      </c>
      <c r="B85" s="8">
        <v>8</v>
      </c>
      <c r="C85" s="18" t="s">
        <v>2</v>
      </c>
      <c r="D85" s="18">
        <v>57</v>
      </c>
      <c r="E85" s="2">
        <v>1497496665</v>
      </c>
      <c r="F85" s="2">
        <v>6782</v>
      </c>
      <c r="G85" s="2">
        <f>Tabelle3[[#This Row],[ Durchsatz]]/120</f>
        <v>56.516666666666666</v>
      </c>
      <c r="H85" s="2">
        <v>1.71</v>
      </c>
      <c r="I85" s="2">
        <v>0</v>
      </c>
      <c r="J85" s="2">
        <f>100-7.89</f>
        <v>92.11</v>
      </c>
      <c r="K85" s="2">
        <f>100-8.11</f>
        <v>91.89</v>
      </c>
      <c r="L85" s="2">
        <f t="shared" si="4"/>
        <v>90.4</v>
      </c>
      <c r="M85" s="2">
        <f t="shared" si="5"/>
        <v>91.89</v>
      </c>
      <c r="N85" s="21">
        <v>0.37559999999999999</v>
      </c>
      <c r="O85" s="21">
        <v>0.30409999999999998</v>
      </c>
      <c r="P85" s="21">
        <v>0.32019999999999998</v>
      </c>
      <c r="Q85" s="3" t="s">
        <v>6</v>
      </c>
    </row>
    <row r="86" spans="1:17" x14ac:dyDescent="0.35">
      <c r="A86" s="2">
        <v>85</v>
      </c>
      <c r="B86" s="8">
        <v>2</v>
      </c>
      <c r="C86" s="18" t="s">
        <v>3</v>
      </c>
      <c r="D86" s="18">
        <v>57</v>
      </c>
      <c r="E86" s="2">
        <v>1061281339</v>
      </c>
      <c r="F86" s="2">
        <v>6818</v>
      </c>
      <c r="G86" s="4">
        <f>Tabelle3[[#This Row],[ Durchsatz]]/120</f>
        <v>56.81666666666667</v>
      </c>
      <c r="H86" s="2">
        <v>0.67</v>
      </c>
      <c r="I86" s="2">
        <v>0</v>
      </c>
      <c r="J86" s="2">
        <f>100-8.55</f>
        <v>91.45</v>
      </c>
      <c r="K86" s="2">
        <f>100-9.67</f>
        <v>90.33</v>
      </c>
      <c r="L86" s="2">
        <f t="shared" si="4"/>
        <v>90.78</v>
      </c>
      <c r="M86" s="2">
        <f t="shared" si="5"/>
        <v>90.33</v>
      </c>
      <c r="N86" s="21">
        <v>0.41370000000000001</v>
      </c>
      <c r="O86" s="21">
        <v>0.37019999999999997</v>
      </c>
      <c r="P86" s="21">
        <v>0.2162</v>
      </c>
      <c r="Q86" s="3" t="s">
        <v>6</v>
      </c>
    </row>
    <row r="87" spans="1:17" x14ac:dyDescent="0.35">
      <c r="A87" s="2">
        <v>86</v>
      </c>
      <c r="B87" s="8">
        <v>2</v>
      </c>
      <c r="C87" s="18" t="s">
        <v>3</v>
      </c>
      <c r="D87" s="18">
        <v>57</v>
      </c>
      <c r="E87" s="2">
        <v>366882929</v>
      </c>
      <c r="F87" s="2">
        <v>6836</v>
      </c>
      <c r="G87" s="4">
        <f>Tabelle3[[#This Row],[ Durchsatz]]/120</f>
        <v>56.966666666666669</v>
      </c>
      <c r="H87" s="2">
        <v>0.84</v>
      </c>
      <c r="I87" s="2">
        <v>0</v>
      </c>
      <c r="J87" s="2">
        <f>100-11.1</f>
        <v>88.9</v>
      </c>
      <c r="K87" s="2">
        <f>100-7.12</f>
        <v>92.88</v>
      </c>
      <c r="L87" s="2">
        <f t="shared" si="4"/>
        <v>88.06</v>
      </c>
      <c r="M87" s="2">
        <f t="shared" si="5"/>
        <v>92.88</v>
      </c>
      <c r="N87" s="21">
        <v>0.39360000000000001</v>
      </c>
      <c r="O87" s="21">
        <v>0.36509999999999998</v>
      </c>
      <c r="P87" s="21">
        <v>0.2412</v>
      </c>
      <c r="Q87" s="3" t="s">
        <v>6</v>
      </c>
    </row>
    <row r="88" spans="1:17" x14ac:dyDescent="0.35">
      <c r="A88" s="2">
        <v>87</v>
      </c>
      <c r="B88" s="8">
        <v>2</v>
      </c>
      <c r="C88" s="18" t="s">
        <v>3</v>
      </c>
      <c r="D88" s="18">
        <v>57</v>
      </c>
      <c r="E88" s="2">
        <v>1222023676</v>
      </c>
      <c r="F88" s="2">
        <v>6829</v>
      </c>
      <c r="G88" s="4">
        <f>Tabelle3[[#This Row],[ Durchsatz]]/120</f>
        <v>56.908333333333331</v>
      </c>
      <c r="H88" s="2">
        <v>1.54</v>
      </c>
      <c r="I88" s="2">
        <v>0</v>
      </c>
      <c r="J88" s="2">
        <f>100-8.27</f>
        <v>91.73</v>
      </c>
      <c r="K88" s="2">
        <f>100-8.17</f>
        <v>91.83</v>
      </c>
      <c r="L88" s="2">
        <f t="shared" si="4"/>
        <v>90.19</v>
      </c>
      <c r="M88" s="2">
        <f t="shared" si="5"/>
        <v>91.83</v>
      </c>
      <c r="N88" s="21">
        <v>0.3931</v>
      </c>
      <c r="O88" s="21">
        <v>0.33789999999999998</v>
      </c>
      <c r="P88" s="21">
        <v>0.26889999999999997</v>
      </c>
      <c r="Q88" s="3" t="s">
        <v>6</v>
      </c>
    </row>
    <row r="89" spans="1:17" x14ac:dyDescent="0.35">
      <c r="A89" s="2">
        <v>88</v>
      </c>
      <c r="B89" s="8">
        <v>4</v>
      </c>
      <c r="C89" s="18" t="s">
        <v>3</v>
      </c>
      <c r="D89" s="18">
        <v>57</v>
      </c>
      <c r="E89" s="2">
        <v>1269066368</v>
      </c>
      <c r="F89" s="2">
        <v>6834</v>
      </c>
      <c r="G89" s="4">
        <f>Tabelle3[[#This Row],[ Durchsatz]]/120</f>
        <v>56.95</v>
      </c>
      <c r="H89" s="2">
        <v>0.68</v>
      </c>
      <c r="I89" s="2">
        <v>0</v>
      </c>
      <c r="J89" s="2">
        <f>100-14.78</f>
        <v>85.22</v>
      </c>
      <c r="K89" s="2">
        <f>100-10.74</f>
        <v>89.26</v>
      </c>
      <c r="L89" s="2">
        <f t="shared" si="4"/>
        <v>84.539999999999992</v>
      </c>
      <c r="M89" s="2">
        <f t="shared" si="5"/>
        <v>89.26</v>
      </c>
      <c r="N89" s="21">
        <v>0.40970000000000001</v>
      </c>
      <c r="O89" s="21">
        <v>0.36030000000000001</v>
      </c>
      <c r="P89" s="21">
        <v>0.2301</v>
      </c>
      <c r="Q89" s="3" t="s">
        <v>6</v>
      </c>
    </row>
    <row r="90" spans="1:17" x14ac:dyDescent="0.35">
      <c r="A90" s="2">
        <v>89</v>
      </c>
      <c r="B90" s="8">
        <v>4</v>
      </c>
      <c r="C90" s="18" t="s">
        <v>3</v>
      </c>
      <c r="D90" s="18">
        <v>57</v>
      </c>
      <c r="E90" s="2">
        <v>994468083</v>
      </c>
      <c r="F90" s="2">
        <v>6852</v>
      </c>
      <c r="G90" s="4">
        <f>Tabelle3[[#This Row],[ Durchsatz]]/120</f>
        <v>57.1</v>
      </c>
      <c r="H90" s="2">
        <v>0.46</v>
      </c>
      <c r="I90" s="2">
        <v>0</v>
      </c>
      <c r="J90" s="2">
        <f>100-12.39</f>
        <v>87.61</v>
      </c>
      <c r="K90" s="2">
        <f>100-12.21</f>
        <v>87.789999999999992</v>
      </c>
      <c r="L90" s="2">
        <f t="shared" si="4"/>
        <v>87.15</v>
      </c>
      <c r="M90" s="2">
        <f t="shared" si="5"/>
        <v>87.789999999999992</v>
      </c>
      <c r="N90" s="21">
        <v>0.39829999999999999</v>
      </c>
      <c r="O90" s="21">
        <v>0.37159999999999999</v>
      </c>
      <c r="P90" s="21">
        <v>0.23019999999999999</v>
      </c>
      <c r="Q90" s="3" t="s">
        <v>6</v>
      </c>
    </row>
    <row r="91" spans="1:17" x14ac:dyDescent="0.35">
      <c r="A91" s="2">
        <v>90</v>
      </c>
      <c r="B91" s="8">
        <v>4</v>
      </c>
      <c r="C91" s="18" t="s">
        <v>3</v>
      </c>
      <c r="D91" s="18">
        <v>57</v>
      </c>
      <c r="E91" s="2">
        <v>1089616424</v>
      </c>
      <c r="F91" s="2">
        <v>6835</v>
      </c>
      <c r="G91" s="4">
        <f>Tabelle3[[#This Row],[ Durchsatz]]/120</f>
        <v>56.958333333333336</v>
      </c>
      <c r="H91" s="2">
        <v>0.3</v>
      </c>
      <c r="I91" s="2">
        <v>0</v>
      </c>
      <c r="J91" s="2">
        <f>100-12.04</f>
        <v>87.960000000000008</v>
      </c>
      <c r="K91" s="2">
        <f>100-12.98</f>
        <v>87.02</v>
      </c>
      <c r="L91" s="2">
        <f t="shared" si="4"/>
        <v>87.660000000000011</v>
      </c>
      <c r="M91" s="2">
        <f t="shared" si="5"/>
        <v>87.02</v>
      </c>
      <c r="N91" s="21">
        <v>0.41639999999999999</v>
      </c>
      <c r="O91" s="21">
        <v>0.38590000000000002</v>
      </c>
      <c r="P91" s="21">
        <v>0.19769999999999999</v>
      </c>
      <c r="Q91" s="3" t="s">
        <v>6</v>
      </c>
    </row>
    <row r="92" spans="1:17" x14ac:dyDescent="0.35">
      <c r="A92" s="2">
        <v>91</v>
      </c>
      <c r="B92" s="8">
        <v>6</v>
      </c>
      <c r="C92" s="18" t="s">
        <v>3</v>
      </c>
      <c r="D92" s="18">
        <v>57</v>
      </c>
      <c r="E92" s="2">
        <v>1664636799</v>
      </c>
      <c r="F92" s="2">
        <v>6849</v>
      </c>
      <c r="G92" s="4">
        <f>Tabelle3[[#This Row],[ Durchsatz]]/120</f>
        <v>57.075000000000003</v>
      </c>
      <c r="H92" s="2">
        <v>0.4</v>
      </c>
      <c r="I92" s="2">
        <v>0</v>
      </c>
      <c r="J92" s="2">
        <f>100-16.38</f>
        <v>83.62</v>
      </c>
      <c r="K92" s="2">
        <f>100-14.6</f>
        <v>85.4</v>
      </c>
      <c r="L92" s="2">
        <f t="shared" si="4"/>
        <v>83.22</v>
      </c>
      <c r="M92" s="2">
        <f t="shared" si="5"/>
        <v>85.4</v>
      </c>
      <c r="N92" s="21">
        <v>0.40970000000000001</v>
      </c>
      <c r="O92" s="21">
        <v>0.36799999999999999</v>
      </c>
      <c r="P92" s="21">
        <v>0.22239999999999999</v>
      </c>
      <c r="Q92" s="3" t="s">
        <v>6</v>
      </c>
    </row>
    <row r="93" spans="1:17" x14ac:dyDescent="0.35">
      <c r="A93" s="2">
        <v>92</v>
      </c>
      <c r="B93" s="8">
        <v>6</v>
      </c>
      <c r="C93" s="18" t="s">
        <v>3</v>
      </c>
      <c r="D93" s="18">
        <v>57</v>
      </c>
      <c r="E93" s="2">
        <v>1161544513</v>
      </c>
      <c r="F93" s="2">
        <v>6847</v>
      </c>
      <c r="G93" s="4">
        <f>Tabelle3[[#This Row],[ Durchsatz]]/120</f>
        <v>57.05833333333333</v>
      </c>
      <c r="H93" s="2">
        <v>0.41</v>
      </c>
      <c r="I93" s="2">
        <v>0</v>
      </c>
      <c r="J93" s="2">
        <f>100-17.32</f>
        <v>82.68</v>
      </c>
      <c r="K93" s="2">
        <f>100-14.22</f>
        <v>85.78</v>
      </c>
      <c r="L93" s="2">
        <f t="shared" si="4"/>
        <v>82.27000000000001</v>
      </c>
      <c r="M93" s="2">
        <f t="shared" si="5"/>
        <v>85.78</v>
      </c>
      <c r="N93" s="21">
        <v>0.40129999999999999</v>
      </c>
      <c r="O93" s="21">
        <v>0.3674</v>
      </c>
      <c r="P93" s="21">
        <v>0.23130000000000001</v>
      </c>
      <c r="Q93" s="3" t="s">
        <v>6</v>
      </c>
    </row>
    <row r="94" spans="1:17" x14ac:dyDescent="0.35">
      <c r="A94" s="2">
        <v>93</v>
      </c>
      <c r="B94" s="8">
        <v>6</v>
      </c>
      <c r="C94" s="18" t="s">
        <v>3</v>
      </c>
      <c r="D94" s="18">
        <v>57</v>
      </c>
      <c r="E94" s="2">
        <v>1196635718</v>
      </c>
      <c r="F94" s="2">
        <v>6837</v>
      </c>
      <c r="G94" s="4">
        <f>Tabelle3[[#This Row],[ Durchsatz]]/120</f>
        <v>56.975000000000001</v>
      </c>
      <c r="H94" s="2">
        <v>0.19</v>
      </c>
      <c r="I94" s="2">
        <v>0</v>
      </c>
      <c r="J94" s="2">
        <f>100-15.29</f>
        <v>84.710000000000008</v>
      </c>
      <c r="K94" s="2">
        <f>100-15.32</f>
        <v>84.68</v>
      </c>
      <c r="L94" s="2">
        <f t="shared" si="4"/>
        <v>84.52000000000001</v>
      </c>
      <c r="M94" s="2">
        <f t="shared" si="5"/>
        <v>84.68</v>
      </c>
      <c r="N94" s="21">
        <v>0.41839999999999999</v>
      </c>
      <c r="O94" s="21">
        <v>0.39179999999999998</v>
      </c>
      <c r="P94" s="21">
        <v>0.1898</v>
      </c>
      <c r="Q94" s="3" t="s">
        <v>6</v>
      </c>
    </row>
    <row r="95" spans="1:17" x14ac:dyDescent="0.35">
      <c r="A95" s="2">
        <v>94</v>
      </c>
      <c r="B95" s="8">
        <v>8</v>
      </c>
      <c r="C95" s="18" t="s">
        <v>3</v>
      </c>
      <c r="D95" s="18">
        <v>57</v>
      </c>
      <c r="E95" s="2">
        <v>717057582</v>
      </c>
      <c r="F95" s="2">
        <v>6848</v>
      </c>
      <c r="G95" s="4">
        <f>Tabelle3[[#This Row],[ Durchsatz]]/120</f>
        <v>57.06666666666667</v>
      </c>
      <c r="H95" s="2">
        <v>0.48</v>
      </c>
      <c r="I95" s="2">
        <v>0</v>
      </c>
      <c r="J95" s="2">
        <f>100-16.47</f>
        <v>83.53</v>
      </c>
      <c r="K95" s="2">
        <f>100-16.27</f>
        <v>83.73</v>
      </c>
      <c r="L95" s="2">
        <f t="shared" si="4"/>
        <v>83.05</v>
      </c>
      <c r="M95" s="2">
        <f t="shared" si="5"/>
        <v>83.73</v>
      </c>
      <c r="N95" s="21">
        <v>0.40889999999999999</v>
      </c>
      <c r="O95" s="21">
        <v>0.36299999999999999</v>
      </c>
      <c r="P95" s="21">
        <v>0.22819999999999999</v>
      </c>
      <c r="Q95" s="3" t="s">
        <v>6</v>
      </c>
    </row>
    <row r="96" spans="1:17" x14ac:dyDescent="0.35">
      <c r="A96" s="2">
        <v>95</v>
      </c>
      <c r="B96" s="8">
        <v>8</v>
      </c>
      <c r="C96" s="18" t="s">
        <v>3</v>
      </c>
      <c r="D96" s="18">
        <v>57</v>
      </c>
      <c r="E96" s="2">
        <v>1131391622</v>
      </c>
      <c r="F96" s="2">
        <v>6840</v>
      </c>
      <c r="G96" s="2">
        <f>Tabelle3[[#This Row],[ Durchsatz]]/120</f>
        <v>57</v>
      </c>
      <c r="H96" s="2">
        <v>0.81</v>
      </c>
      <c r="I96" s="2">
        <v>0</v>
      </c>
      <c r="J96" s="2">
        <f>100-16.97</f>
        <v>83.03</v>
      </c>
      <c r="K96" s="2">
        <f>100-16.21</f>
        <v>83.789999999999992</v>
      </c>
      <c r="L96" s="2">
        <f t="shared" si="4"/>
        <v>82.22</v>
      </c>
      <c r="M96" s="2">
        <f t="shared" si="5"/>
        <v>83.789999999999992</v>
      </c>
      <c r="N96" s="21">
        <v>0.39879999999999999</v>
      </c>
      <c r="O96" s="21">
        <v>0.32669999999999999</v>
      </c>
      <c r="P96" s="21">
        <v>0.27450000000000002</v>
      </c>
      <c r="Q96" s="3" t="s">
        <v>6</v>
      </c>
    </row>
    <row r="97" spans="1:17" x14ac:dyDescent="0.35">
      <c r="A97" s="2">
        <v>96</v>
      </c>
      <c r="B97" s="8">
        <v>8</v>
      </c>
      <c r="C97" s="18" t="s">
        <v>3</v>
      </c>
      <c r="D97" s="18">
        <v>57</v>
      </c>
      <c r="E97" s="2">
        <v>1096807222</v>
      </c>
      <c r="F97" s="2">
        <v>6840</v>
      </c>
      <c r="G97" s="4">
        <f>Tabelle3[[#This Row],[ Durchsatz]]/120</f>
        <v>57</v>
      </c>
      <c r="H97" s="2">
        <v>0.38</v>
      </c>
      <c r="I97" s="2">
        <v>0</v>
      </c>
      <c r="J97" s="2">
        <f>100-15.46</f>
        <v>84.539999999999992</v>
      </c>
      <c r="K97" s="2">
        <f>100-17.45</f>
        <v>82.55</v>
      </c>
      <c r="L97" s="2">
        <f t="shared" si="4"/>
        <v>84.16</v>
      </c>
      <c r="M97" s="2">
        <f t="shared" si="5"/>
        <v>82.55</v>
      </c>
      <c r="N97" s="21">
        <v>0.40560000000000002</v>
      </c>
      <c r="O97" s="21">
        <v>0.35599999999999998</v>
      </c>
      <c r="P97" s="21">
        <v>0.23849999999999999</v>
      </c>
      <c r="Q97" s="3" t="s">
        <v>6</v>
      </c>
    </row>
    <row r="98" spans="1:17" x14ac:dyDescent="0.35">
      <c r="A98" s="2">
        <v>97</v>
      </c>
      <c r="B98" s="8">
        <v>2</v>
      </c>
      <c r="C98" s="18" t="s">
        <v>2</v>
      </c>
      <c r="D98" s="18">
        <v>58</v>
      </c>
      <c r="E98" s="2">
        <v>848080575</v>
      </c>
      <c r="F98" s="2">
        <v>6723</v>
      </c>
      <c r="G98" s="2">
        <f>Tabelle3[[#This Row],[ Durchsatz]]/120</f>
        <v>56.024999999999999</v>
      </c>
      <c r="H98" s="2">
        <v>1.39</v>
      </c>
      <c r="I98" s="2">
        <v>0</v>
      </c>
      <c r="J98" s="2">
        <f>100-7.8</f>
        <v>92.2</v>
      </c>
      <c r="K98" s="2">
        <f>100-7.7</f>
        <v>92.3</v>
      </c>
      <c r="L98" s="2">
        <f t="shared" ref="L98:L129" si="6">J98-H98</f>
        <v>90.81</v>
      </c>
      <c r="M98" s="2">
        <f t="shared" ref="M98:M129" si="7">K98-I98</f>
        <v>92.3</v>
      </c>
      <c r="N98" s="21">
        <v>0.40600000000000003</v>
      </c>
      <c r="O98" s="21">
        <v>0.33510000000000001</v>
      </c>
      <c r="P98" s="21">
        <v>0.25890000000000002</v>
      </c>
      <c r="Q98" s="3" t="s">
        <v>6</v>
      </c>
    </row>
    <row r="99" spans="1:17" x14ac:dyDescent="0.35">
      <c r="A99" s="2">
        <v>98</v>
      </c>
      <c r="B99" s="8">
        <v>2</v>
      </c>
      <c r="C99" s="18" t="s">
        <v>2</v>
      </c>
      <c r="D99" s="18">
        <v>58</v>
      </c>
      <c r="E99" s="2">
        <v>1602673858</v>
      </c>
      <c r="F99" s="2">
        <v>6817</v>
      </c>
      <c r="G99" s="4">
        <f>Tabelle3[[#This Row],[ Durchsatz]]/120</f>
        <v>56.80833333333333</v>
      </c>
      <c r="H99" s="2">
        <v>1.5</v>
      </c>
      <c r="I99" s="2">
        <v>0</v>
      </c>
      <c r="J99" s="2">
        <f>100-6.43</f>
        <v>93.57</v>
      </c>
      <c r="K99" s="2">
        <f>100-8.07</f>
        <v>91.93</v>
      </c>
      <c r="L99" s="2">
        <f t="shared" si="6"/>
        <v>92.07</v>
      </c>
      <c r="M99" s="2">
        <f t="shared" si="7"/>
        <v>91.93</v>
      </c>
      <c r="N99" s="21">
        <v>0.37730000000000002</v>
      </c>
      <c r="O99" s="21">
        <v>0.32450000000000001</v>
      </c>
      <c r="P99" s="21">
        <v>0.29820000000000002</v>
      </c>
      <c r="Q99" s="3" t="s">
        <v>6</v>
      </c>
    </row>
    <row r="100" spans="1:17" x14ac:dyDescent="0.35">
      <c r="A100" s="2">
        <v>99</v>
      </c>
      <c r="B100" s="8">
        <v>2</v>
      </c>
      <c r="C100" s="18" t="s">
        <v>2</v>
      </c>
      <c r="D100" s="18">
        <v>58</v>
      </c>
      <c r="E100" s="2">
        <v>879336110</v>
      </c>
      <c r="F100" s="2">
        <v>6699</v>
      </c>
      <c r="G100" s="2">
        <f>Tabelle3[[#This Row],[ Durchsatz]]/120</f>
        <v>55.825000000000003</v>
      </c>
      <c r="H100" s="2">
        <v>0.63</v>
      </c>
      <c r="I100" s="2">
        <v>0</v>
      </c>
      <c r="J100" s="2">
        <f>100-4.89</f>
        <v>95.11</v>
      </c>
      <c r="K100" s="2">
        <f>100-8.57</f>
        <v>91.43</v>
      </c>
      <c r="L100" s="2">
        <f t="shared" si="6"/>
        <v>94.48</v>
      </c>
      <c r="M100" s="2">
        <f t="shared" si="7"/>
        <v>91.43</v>
      </c>
      <c r="N100" s="21">
        <v>0.42109999999999997</v>
      </c>
      <c r="O100" s="21">
        <v>0.33950000000000002</v>
      </c>
      <c r="P100" s="21">
        <v>0.2394</v>
      </c>
      <c r="Q100" s="3" t="s">
        <v>6</v>
      </c>
    </row>
    <row r="101" spans="1:17" x14ac:dyDescent="0.35">
      <c r="A101" s="2">
        <v>100</v>
      </c>
      <c r="B101" s="8">
        <v>4</v>
      </c>
      <c r="C101" s="18" t="s">
        <v>2</v>
      </c>
      <c r="D101" s="18">
        <v>58</v>
      </c>
      <c r="E101" s="2">
        <v>418842765</v>
      </c>
      <c r="F101" s="2">
        <v>6765</v>
      </c>
      <c r="G101" s="2">
        <f>Tabelle3[[#This Row],[ Durchsatz]]/120</f>
        <v>56.375</v>
      </c>
      <c r="H101" s="2">
        <v>1.24</v>
      </c>
      <c r="I101" s="2">
        <v>0</v>
      </c>
      <c r="J101" s="2">
        <f>100-6.09</f>
        <v>93.91</v>
      </c>
      <c r="K101" s="2">
        <f>100-10.09</f>
        <v>89.91</v>
      </c>
      <c r="L101" s="2">
        <f t="shared" si="6"/>
        <v>92.67</v>
      </c>
      <c r="M101" s="2">
        <f t="shared" si="7"/>
        <v>89.91</v>
      </c>
      <c r="N101" s="21">
        <v>0.40289999999999998</v>
      </c>
      <c r="O101" s="21">
        <v>0.33550000000000002</v>
      </c>
      <c r="P101" s="21">
        <v>0.2616</v>
      </c>
      <c r="Q101" s="3" t="s">
        <v>6</v>
      </c>
    </row>
    <row r="102" spans="1:17" x14ac:dyDescent="0.35">
      <c r="A102" s="2">
        <v>101</v>
      </c>
      <c r="B102" s="8">
        <v>4</v>
      </c>
      <c r="C102" s="18" t="s">
        <v>2</v>
      </c>
      <c r="D102" s="18">
        <v>58</v>
      </c>
      <c r="E102" s="2">
        <v>626072755</v>
      </c>
      <c r="F102" s="2">
        <v>6827</v>
      </c>
      <c r="G102" s="2">
        <f>Tabelle3[[#This Row],[ Durchsatz]]/120</f>
        <v>56.891666666666666</v>
      </c>
      <c r="H102" s="2">
        <v>1.03</v>
      </c>
      <c r="I102" s="2">
        <v>0</v>
      </c>
      <c r="J102" s="2">
        <f>100-5.36</f>
        <v>94.64</v>
      </c>
      <c r="K102" s="2">
        <f>100-8.97</f>
        <v>91.03</v>
      </c>
      <c r="L102" s="2">
        <f t="shared" si="6"/>
        <v>93.61</v>
      </c>
      <c r="M102" s="2">
        <f t="shared" si="7"/>
        <v>91.03</v>
      </c>
      <c r="N102" s="21">
        <v>0.38140000000000002</v>
      </c>
      <c r="O102" s="21">
        <v>0.33800000000000002</v>
      </c>
      <c r="P102" s="21">
        <v>0.28070000000000001</v>
      </c>
      <c r="Q102" s="3" t="s">
        <v>6</v>
      </c>
    </row>
    <row r="103" spans="1:17" x14ac:dyDescent="0.35">
      <c r="A103" s="2">
        <v>102</v>
      </c>
      <c r="B103" s="8">
        <v>4</v>
      </c>
      <c r="C103" s="18" t="s">
        <v>2</v>
      </c>
      <c r="D103" s="18">
        <v>58</v>
      </c>
      <c r="E103" s="2">
        <v>1167419501</v>
      </c>
      <c r="F103" s="2">
        <v>6721</v>
      </c>
      <c r="G103" s="2">
        <f>Tabelle3[[#This Row],[ Durchsatz]]/120</f>
        <v>56.008333333333333</v>
      </c>
      <c r="H103" s="2">
        <v>1.72</v>
      </c>
      <c r="I103" s="2">
        <v>0</v>
      </c>
      <c r="J103" s="2">
        <f>100-5.56</f>
        <v>94.44</v>
      </c>
      <c r="K103" s="2">
        <f>100-9.06</f>
        <v>90.94</v>
      </c>
      <c r="L103" s="2">
        <f t="shared" si="6"/>
        <v>92.72</v>
      </c>
      <c r="M103" s="2">
        <f t="shared" si="7"/>
        <v>90.94</v>
      </c>
      <c r="N103" s="21">
        <v>0.40150000000000002</v>
      </c>
      <c r="O103" s="21">
        <v>0.31730000000000003</v>
      </c>
      <c r="P103" s="21">
        <v>0.28120000000000001</v>
      </c>
      <c r="Q103" s="3" t="s">
        <v>6</v>
      </c>
    </row>
    <row r="104" spans="1:17" x14ac:dyDescent="0.35">
      <c r="A104" s="2">
        <v>103</v>
      </c>
      <c r="B104" s="8">
        <v>6</v>
      </c>
      <c r="C104" s="18" t="s">
        <v>2</v>
      </c>
      <c r="D104" s="18">
        <v>58</v>
      </c>
      <c r="E104" s="2">
        <v>1728013019</v>
      </c>
      <c r="F104" s="2">
        <v>6806</v>
      </c>
      <c r="G104" s="2">
        <f>Tabelle3[[#This Row],[ Durchsatz]]/120</f>
        <v>56.716666666666669</v>
      </c>
      <c r="H104" s="2">
        <v>1.47</v>
      </c>
      <c r="I104" s="2">
        <v>7.0000000000000007E-2</v>
      </c>
      <c r="J104" s="2">
        <f>100-5.4</f>
        <v>94.6</v>
      </c>
      <c r="K104" s="2">
        <f>100-8.65</f>
        <v>91.35</v>
      </c>
      <c r="L104" s="2">
        <f t="shared" si="6"/>
        <v>93.13</v>
      </c>
      <c r="M104" s="2">
        <f t="shared" si="7"/>
        <v>91.28</v>
      </c>
      <c r="N104" s="21">
        <v>0.37740000000000001</v>
      </c>
      <c r="O104" s="21">
        <v>0.32050000000000001</v>
      </c>
      <c r="P104" s="21">
        <v>0.30209999999999998</v>
      </c>
      <c r="Q104" s="3" t="s">
        <v>6</v>
      </c>
    </row>
    <row r="105" spans="1:17" x14ac:dyDescent="0.35">
      <c r="A105" s="2">
        <v>104</v>
      </c>
      <c r="B105" s="8">
        <v>6</v>
      </c>
      <c r="C105" s="18" t="s">
        <v>2</v>
      </c>
      <c r="D105" s="18">
        <v>58</v>
      </c>
      <c r="E105" s="2">
        <v>1557341591</v>
      </c>
      <c r="F105" s="2">
        <v>6815</v>
      </c>
      <c r="G105" s="2">
        <f>Tabelle3[[#This Row],[ Durchsatz]]/120</f>
        <v>56.791666666666664</v>
      </c>
      <c r="H105" s="2">
        <v>2.42</v>
      </c>
      <c r="I105" s="2">
        <v>0</v>
      </c>
      <c r="J105" s="2">
        <f>100-6.23</f>
        <v>93.77</v>
      </c>
      <c r="K105" s="2">
        <f>100-8.87</f>
        <v>91.13</v>
      </c>
      <c r="L105" s="2">
        <f t="shared" si="6"/>
        <v>91.35</v>
      </c>
      <c r="M105" s="2">
        <f t="shared" si="7"/>
        <v>91.13</v>
      </c>
      <c r="N105" s="21">
        <v>0.36370000000000002</v>
      </c>
      <c r="O105" s="21">
        <v>0.28799999999999998</v>
      </c>
      <c r="P105" s="21">
        <v>0.3483</v>
      </c>
      <c r="Q105" s="3" t="s">
        <v>6</v>
      </c>
    </row>
    <row r="106" spans="1:17" x14ac:dyDescent="0.35">
      <c r="A106" s="2">
        <v>105</v>
      </c>
      <c r="B106" s="8">
        <v>6</v>
      </c>
      <c r="C106" s="18" t="s">
        <v>2</v>
      </c>
      <c r="D106" s="18">
        <v>58</v>
      </c>
      <c r="E106" s="2">
        <v>799445764</v>
      </c>
      <c r="F106" s="2">
        <v>6855</v>
      </c>
      <c r="G106" s="2">
        <f>Tabelle3[[#This Row],[ Durchsatz]]/120</f>
        <v>57.125</v>
      </c>
      <c r="H106" s="2">
        <v>2.04</v>
      </c>
      <c r="I106" s="2">
        <v>0.01</v>
      </c>
      <c r="J106" s="2">
        <f>100-6.17</f>
        <v>93.83</v>
      </c>
      <c r="K106" s="2">
        <f>100-10.74</f>
        <v>89.26</v>
      </c>
      <c r="L106" s="2">
        <f t="shared" si="6"/>
        <v>91.789999999999992</v>
      </c>
      <c r="M106" s="2">
        <f t="shared" si="7"/>
        <v>89.25</v>
      </c>
      <c r="N106" s="21">
        <v>0.36620000000000003</v>
      </c>
      <c r="O106" s="21">
        <v>0.30859999999999999</v>
      </c>
      <c r="P106" s="21">
        <v>0.32519999999999999</v>
      </c>
      <c r="Q106" s="3" t="s">
        <v>6</v>
      </c>
    </row>
    <row r="107" spans="1:17" x14ac:dyDescent="0.35">
      <c r="A107" s="2">
        <v>106</v>
      </c>
      <c r="B107" s="8">
        <v>8</v>
      </c>
      <c r="C107" s="18" t="s">
        <v>2</v>
      </c>
      <c r="D107" s="18">
        <v>58</v>
      </c>
      <c r="E107" s="2">
        <v>1132889898</v>
      </c>
      <c r="F107" s="2">
        <v>6792</v>
      </c>
      <c r="G107" s="2">
        <f>Tabelle3[[#This Row],[ Durchsatz]]/120</f>
        <v>56.6</v>
      </c>
      <c r="H107" s="2">
        <v>2.41</v>
      </c>
      <c r="I107" s="2">
        <v>0.02</v>
      </c>
      <c r="J107" s="2">
        <f>100-5.03</f>
        <v>94.97</v>
      </c>
      <c r="K107" s="2">
        <f>100-8.78</f>
        <v>91.22</v>
      </c>
      <c r="L107" s="2">
        <f t="shared" si="6"/>
        <v>92.56</v>
      </c>
      <c r="M107" s="2">
        <f t="shared" si="7"/>
        <v>91.2</v>
      </c>
      <c r="N107" s="21">
        <v>0.3569</v>
      </c>
      <c r="O107" s="21">
        <v>0.2853</v>
      </c>
      <c r="P107" s="21">
        <v>0.35780000000000001</v>
      </c>
      <c r="Q107" s="3" t="s">
        <v>6</v>
      </c>
    </row>
    <row r="108" spans="1:17" x14ac:dyDescent="0.35">
      <c r="A108" s="2">
        <v>107</v>
      </c>
      <c r="B108" s="8">
        <v>8</v>
      </c>
      <c r="C108" s="18" t="s">
        <v>2</v>
      </c>
      <c r="D108" s="18">
        <v>58</v>
      </c>
      <c r="E108" s="2">
        <v>1528356966</v>
      </c>
      <c r="F108" s="2">
        <v>4451</v>
      </c>
      <c r="G108" s="2">
        <f>Tabelle3[[#This Row],[ Durchsatz]]/120</f>
        <v>37.091666666666669</v>
      </c>
      <c r="H108" s="2">
        <v>36.07</v>
      </c>
      <c r="I108" s="2">
        <v>0.01</v>
      </c>
      <c r="J108" s="2">
        <f>100-5.25</f>
        <v>94.75</v>
      </c>
      <c r="K108" s="2">
        <f>100-38.73</f>
        <v>61.27</v>
      </c>
      <c r="L108" s="2">
        <f t="shared" si="6"/>
        <v>58.68</v>
      </c>
      <c r="M108" s="2">
        <f t="shared" si="7"/>
        <v>61.260000000000005</v>
      </c>
      <c r="N108" s="21">
        <v>0.57840000000000003</v>
      </c>
      <c r="O108" s="21">
        <v>0.18740000000000001</v>
      </c>
      <c r="P108" s="21">
        <v>0.23419999999999999</v>
      </c>
      <c r="Q108" s="3">
        <v>3.5</v>
      </c>
    </row>
    <row r="109" spans="1:17" x14ac:dyDescent="0.35">
      <c r="A109" s="2">
        <v>108</v>
      </c>
      <c r="B109" s="8">
        <v>8</v>
      </c>
      <c r="C109" s="18" t="s">
        <v>2</v>
      </c>
      <c r="D109" s="18">
        <v>58</v>
      </c>
      <c r="E109" s="2">
        <v>1254564224</v>
      </c>
      <c r="F109" s="2">
        <v>5784</v>
      </c>
      <c r="G109" s="2">
        <f>Tabelle3[[#This Row],[ Durchsatz]]/120</f>
        <v>48.2</v>
      </c>
      <c r="H109" s="2">
        <v>18.079999999999998</v>
      </c>
      <c r="I109" s="2">
        <v>0</v>
      </c>
      <c r="J109" s="2">
        <f>100-7.04</f>
        <v>92.96</v>
      </c>
      <c r="K109" s="2">
        <f>100-22.62</f>
        <v>77.38</v>
      </c>
      <c r="L109" s="2">
        <f t="shared" si="6"/>
        <v>74.88</v>
      </c>
      <c r="M109" s="2">
        <f t="shared" si="7"/>
        <v>77.38</v>
      </c>
      <c r="N109" s="21">
        <v>0.44400000000000001</v>
      </c>
      <c r="O109" s="21">
        <v>0.25600000000000001</v>
      </c>
      <c r="P109" s="21">
        <v>0.2999</v>
      </c>
      <c r="Q109" s="3">
        <v>4.4000000000000004</v>
      </c>
    </row>
    <row r="110" spans="1:17" x14ac:dyDescent="0.35">
      <c r="A110" s="2">
        <v>109</v>
      </c>
      <c r="B110" s="8">
        <v>2</v>
      </c>
      <c r="C110" s="18" t="s">
        <v>3</v>
      </c>
      <c r="D110" s="18">
        <v>58</v>
      </c>
      <c r="E110" s="2">
        <v>266257044</v>
      </c>
      <c r="F110" s="2">
        <v>6908</v>
      </c>
      <c r="G110" s="2">
        <f>Tabelle3[[#This Row],[ Durchsatz]]/120</f>
        <v>57.56666666666667</v>
      </c>
      <c r="H110" s="2">
        <v>1.26</v>
      </c>
      <c r="I110" s="2">
        <v>0</v>
      </c>
      <c r="J110" s="2">
        <f>100-6.2</f>
        <v>93.8</v>
      </c>
      <c r="K110" s="2">
        <f>100-7.18</f>
        <v>92.82</v>
      </c>
      <c r="L110" s="2">
        <f t="shared" si="6"/>
        <v>92.539999999999992</v>
      </c>
      <c r="M110" s="2">
        <f t="shared" si="7"/>
        <v>92.82</v>
      </c>
      <c r="N110" s="21">
        <v>0.36580000000000001</v>
      </c>
      <c r="O110" s="21">
        <v>0.33739999999999998</v>
      </c>
      <c r="P110" s="21">
        <v>0.29680000000000001</v>
      </c>
      <c r="Q110" s="3" t="s">
        <v>6</v>
      </c>
    </row>
    <row r="111" spans="1:17" x14ac:dyDescent="0.35">
      <c r="A111" s="2">
        <v>110</v>
      </c>
      <c r="B111" s="8">
        <v>2</v>
      </c>
      <c r="C111" s="18" t="s">
        <v>3</v>
      </c>
      <c r="D111" s="18">
        <v>58</v>
      </c>
      <c r="E111" s="2">
        <v>755234620</v>
      </c>
      <c r="F111" s="2">
        <v>6919</v>
      </c>
      <c r="G111" s="2">
        <f>Tabelle3[[#This Row],[ Durchsatz]]/120</f>
        <v>57.658333333333331</v>
      </c>
      <c r="H111" s="2">
        <v>1.51</v>
      </c>
      <c r="I111" s="2">
        <v>0</v>
      </c>
      <c r="J111" s="2">
        <f>100-6.26</f>
        <v>93.74</v>
      </c>
      <c r="K111" s="2">
        <f>100-7.76</f>
        <v>92.24</v>
      </c>
      <c r="L111" s="2">
        <f t="shared" si="6"/>
        <v>92.22999999999999</v>
      </c>
      <c r="M111" s="2">
        <f t="shared" si="7"/>
        <v>92.24</v>
      </c>
      <c r="N111" s="21">
        <v>0.35460000000000003</v>
      </c>
      <c r="O111" s="21">
        <v>0.33119999999999999</v>
      </c>
      <c r="P111" s="21">
        <v>0.31419999999999998</v>
      </c>
      <c r="Q111" s="3" t="s">
        <v>6</v>
      </c>
    </row>
    <row r="112" spans="1:17" x14ac:dyDescent="0.35">
      <c r="A112" s="2">
        <v>111</v>
      </c>
      <c r="B112" s="8">
        <v>2</v>
      </c>
      <c r="C112" s="18" t="s">
        <v>3</v>
      </c>
      <c r="D112" s="18">
        <v>58</v>
      </c>
      <c r="E112" s="2">
        <v>1136343920</v>
      </c>
      <c r="F112" s="2">
        <v>6938</v>
      </c>
      <c r="G112" s="2">
        <f>Tabelle3[[#This Row],[ Durchsatz]]/120</f>
        <v>57.81666666666667</v>
      </c>
      <c r="H112" s="2">
        <v>1.66</v>
      </c>
      <c r="I112" s="2">
        <v>0.01</v>
      </c>
      <c r="J112" s="2">
        <f>100-6.1</f>
        <v>93.9</v>
      </c>
      <c r="K112" s="2">
        <f>100-6.44</f>
        <v>93.56</v>
      </c>
      <c r="L112" s="2">
        <f t="shared" si="6"/>
        <v>92.240000000000009</v>
      </c>
      <c r="M112" s="2">
        <f t="shared" si="7"/>
        <v>93.55</v>
      </c>
      <c r="N112" s="21">
        <v>0.35549999999999998</v>
      </c>
      <c r="O112" s="21">
        <v>0.33660000000000001</v>
      </c>
      <c r="P112" s="21">
        <v>0.308</v>
      </c>
      <c r="Q112" s="3" t="s">
        <v>6</v>
      </c>
    </row>
    <row r="113" spans="1:17" x14ac:dyDescent="0.35">
      <c r="A113" s="2">
        <v>112</v>
      </c>
      <c r="B113" s="8">
        <v>4</v>
      </c>
      <c r="C113" s="18" t="s">
        <v>3</v>
      </c>
      <c r="D113" s="18">
        <v>58</v>
      </c>
      <c r="E113" s="2">
        <v>227325099</v>
      </c>
      <c r="F113" s="2">
        <v>6938</v>
      </c>
      <c r="G113" s="2">
        <f>Tabelle3[[#This Row],[ Durchsatz]]/120</f>
        <v>57.81666666666667</v>
      </c>
      <c r="H113" s="2">
        <v>0.25</v>
      </c>
      <c r="I113" s="2">
        <v>0</v>
      </c>
      <c r="J113" s="2">
        <f>100-12.08</f>
        <v>87.92</v>
      </c>
      <c r="K113" s="2">
        <f>100-11.67</f>
        <v>88.33</v>
      </c>
      <c r="L113" s="2">
        <f t="shared" si="6"/>
        <v>87.67</v>
      </c>
      <c r="M113" s="2">
        <f t="shared" si="7"/>
        <v>88.33</v>
      </c>
      <c r="N113" s="21">
        <v>0.39190000000000003</v>
      </c>
      <c r="O113" s="21">
        <v>0.38950000000000001</v>
      </c>
      <c r="P113" s="21">
        <v>0.21859999999999999</v>
      </c>
      <c r="Q113" s="3" t="s">
        <v>6</v>
      </c>
    </row>
    <row r="114" spans="1:17" x14ac:dyDescent="0.35">
      <c r="A114" s="2">
        <v>113</v>
      </c>
      <c r="B114" s="8">
        <v>4</v>
      </c>
      <c r="C114" s="18" t="s">
        <v>3</v>
      </c>
      <c r="D114" s="18">
        <v>58</v>
      </c>
      <c r="E114" s="2">
        <v>879210544</v>
      </c>
      <c r="F114" s="2">
        <v>6955</v>
      </c>
      <c r="G114" s="2">
        <f>Tabelle3[[#This Row],[ Durchsatz]]/120</f>
        <v>57.958333333333336</v>
      </c>
      <c r="H114" s="2">
        <v>0.64</v>
      </c>
      <c r="I114" s="2">
        <v>0</v>
      </c>
      <c r="J114" s="2">
        <f>100-11.7</f>
        <v>88.3</v>
      </c>
      <c r="K114" s="2">
        <f>100-10.17</f>
        <v>89.83</v>
      </c>
      <c r="L114" s="2">
        <f t="shared" si="6"/>
        <v>87.66</v>
      </c>
      <c r="M114" s="2">
        <f t="shared" si="7"/>
        <v>89.83</v>
      </c>
      <c r="N114" s="21">
        <v>0.37780000000000002</v>
      </c>
      <c r="O114" s="21">
        <v>0.36680000000000001</v>
      </c>
      <c r="P114" s="21">
        <v>0.25540000000000002</v>
      </c>
      <c r="Q114" s="3" t="s">
        <v>6</v>
      </c>
    </row>
    <row r="115" spans="1:17" x14ac:dyDescent="0.35">
      <c r="A115" s="2">
        <v>114</v>
      </c>
      <c r="B115" s="8">
        <v>4</v>
      </c>
      <c r="C115" s="18" t="s">
        <v>3</v>
      </c>
      <c r="D115" s="18">
        <v>58</v>
      </c>
      <c r="E115" s="2">
        <v>1554580474</v>
      </c>
      <c r="F115" s="2">
        <v>6978</v>
      </c>
      <c r="G115" s="2">
        <f>Tabelle3[[#This Row],[ Durchsatz]]/120</f>
        <v>58.15</v>
      </c>
      <c r="H115" s="2">
        <v>0.77</v>
      </c>
      <c r="I115" s="2">
        <v>0</v>
      </c>
      <c r="J115" s="2">
        <f>100-8.18</f>
        <v>91.82</v>
      </c>
      <c r="K115" s="2">
        <f>100-12.78</f>
        <v>87.22</v>
      </c>
      <c r="L115" s="2">
        <f t="shared" si="6"/>
        <v>91.05</v>
      </c>
      <c r="M115" s="2">
        <f t="shared" si="7"/>
        <v>87.22</v>
      </c>
      <c r="N115" s="21">
        <v>0.36919999999999997</v>
      </c>
      <c r="O115" s="21">
        <v>0.37730000000000002</v>
      </c>
      <c r="P115" s="21">
        <v>0.2535</v>
      </c>
      <c r="Q115" s="3" t="s">
        <v>6</v>
      </c>
    </row>
    <row r="116" spans="1:17" x14ac:dyDescent="0.35">
      <c r="A116" s="2">
        <v>115</v>
      </c>
      <c r="B116" s="8">
        <v>6</v>
      </c>
      <c r="C116" s="18" t="s">
        <v>3</v>
      </c>
      <c r="D116" s="18">
        <v>58</v>
      </c>
      <c r="E116" s="2">
        <v>1263256083</v>
      </c>
      <c r="F116" s="2">
        <v>6978</v>
      </c>
      <c r="G116" s="2">
        <f>Tabelle3[[#This Row],[ Durchsatz]]/120</f>
        <v>58.15</v>
      </c>
      <c r="H116" s="2">
        <v>0.8</v>
      </c>
      <c r="I116" s="2">
        <v>0</v>
      </c>
      <c r="J116" s="2">
        <f>100-12.39</f>
        <v>87.61</v>
      </c>
      <c r="K116" s="2">
        <f>100-14.19</f>
        <v>85.81</v>
      </c>
      <c r="L116" s="2">
        <f t="shared" si="6"/>
        <v>86.81</v>
      </c>
      <c r="M116" s="2">
        <f t="shared" si="7"/>
        <v>85.81</v>
      </c>
      <c r="N116" s="21">
        <v>0.36680000000000001</v>
      </c>
      <c r="O116" s="21">
        <v>0.37140000000000001</v>
      </c>
      <c r="P116" s="21">
        <v>0.26179999999999998</v>
      </c>
      <c r="Q116" s="3" t="s">
        <v>6</v>
      </c>
    </row>
    <row r="117" spans="1:17" x14ac:dyDescent="0.35">
      <c r="A117" s="2">
        <v>116</v>
      </c>
      <c r="B117" s="8">
        <v>6</v>
      </c>
      <c r="C117" s="18" t="s">
        <v>3</v>
      </c>
      <c r="D117" s="18">
        <v>58</v>
      </c>
      <c r="E117" s="2">
        <v>1406968181</v>
      </c>
      <c r="F117" s="2">
        <v>6948</v>
      </c>
      <c r="G117" s="2">
        <f>Tabelle3[[#This Row],[ Durchsatz]]/120</f>
        <v>57.9</v>
      </c>
      <c r="H117" s="2">
        <v>0.53</v>
      </c>
      <c r="I117" s="2">
        <v>0</v>
      </c>
      <c r="J117" s="2">
        <f>100-13.86</f>
        <v>86.14</v>
      </c>
      <c r="K117" s="2">
        <f>100-13.18</f>
        <v>86.82</v>
      </c>
      <c r="L117" s="2">
        <f t="shared" si="6"/>
        <v>85.61</v>
      </c>
      <c r="M117" s="2">
        <f t="shared" si="7"/>
        <v>86.82</v>
      </c>
      <c r="N117" s="21">
        <v>0.38119999999999998</v>
      </c>
      <c r="O117" s="21">
        <v>0.37369999999999998</v>
      </c>
      <c r="P117" s="21">
        <v>0.24510000000000001</v>
      </c>
      <c r="Q117" s="3" t="s">
        <v>6</v>
      </c>
    </row>
    <row r="118" spans="1:17" x14ac:dyDescent="0.35">
      <c r="A118" s="2">
        <v>117</v>
      </c>
      <c r="B118" s="8">
        <v>6</v>
      </c>
      <c r="C118" s="18" t="s">
        <v>3</v>
      </c>
      <c r="D118" s="18">
        <v>58</v>
      </c>
      <c r="E118" s="2">
        <v>1283562460</v>
      </c>
      <c r="F118" s="2">
        <v>6953</v>
      </c>
      <c r="G118" s="2">
        <f>Tabelle3[[#This Row],[ Durchsatz]]/120</f>
        <v>57.94166666666667</v>
      </c>
      <c r="H118" s="2">
        <v>0.52</v>
      </c>
      <c r="I118" s="2">
        <v>0</v>
      </c>
      <c r="J118" s="2">
        <f>100-13.49</f>
        <v>86.51</v>
      </c>
      <c r="K118" s="2">
        <f>100-13.18</f>
        <v>86.82</v>
      </c>
      <c r="L118" s="2">
        <f t="shared" si="6"/>
        <v>85.990000000000009</v>
      </c>
      <c r="M118" s="2">
        <f t="shared" si="7"/>
        <v>86.82</v>
      </c>
      <c r="N118" s="21">
        <v>0.3679</v>
      </c>
      <c r="O118" s="21">
        <v>0.36520000000000002</v>
      </c>
      <c r="P118" s="21">
        <v>0.26690000000000003</v>
      </c>
      <c r="Q118" s="3" t="s">
        <v>6</v>
      </c>
    </row>
    <row r="119" spans="1:17" x14ac:dyDescent="0.35">
      <c r="A119" s="2">
        <v>118</v>
      </c>
      <c r="B119" s="8">
        <v>8</v>
      </c>
      <c r="C119" s="18" t="s">
        <v>3</v>
      </c>
      <c r="D119" s="18">
        <v>58</v>
      </c>
      <c r="E119" s="2">
        <v>1113950536</v>
      </c>
      <c r="F119" s="2">
        <v>6950</v>
      </c>
      <c r="G119" s="2">
        <f>Tabelle3[[#This Row],[ Durchsatz]]/120</f>
        <v>57.916666666666664</v>
      </c>
      <c r="H119" s="2">
        <v>0.54</v>
      </c>
      <c r="I119" s="2">
        <v>0</v>
      </c>
      <c r="J119" s="2">
        <f>100-12.94</f>
        <v>87.06</v>
      </c>
      <c r="K119" s="2">
        <f>100-16.58</f>
        <v>83.42</v>
      </c>
      <c r="L119" s="2">
        <f t="shared" si="6"/>
        <v>86.52</v>
      </c>
      <c r="M119" s="2">
        <f t="shared" si="7"/>
        <v>83.42</v>
      </c>
      <c r="N119" s="21">
        <v>0.38069999999999998</v>
      </c>
      <c r="O119" s="21">
        <v>0.35349999999999998</v>
      </c>
      <c r="P119" s="21">
        <v>0.26579999999999998</v>
      </c>
      <c r="Q119" s="3" t="s">
        <v>6</v>
      </c>
    </row>
    <row r="120" spans="1:17" x14ac:dyDescent="0.35">
      <c r="A120" s="2">
        <v>119</v>
      </c>
      <c r="B120" s="8">
        <v>8</v>
      </c>
      <c r="C120" s="18" t="s">
        <v>3</v>
      </c>
      <c r="D120" s="18">
        <v>58</v>
      </c>
      <c r="E120" s="2">
        <v>1780304867</v>
      </c>
      <c r="F120" s="2">
        <v>6959</v>
      </c>
      <c r="G120" s="2">
        <f>Tabelle3[[#This Row],[ Durchsatz]]/120</f>
        <v>57.991666666666667</v>
      </c>
      <c r="H120" s="2">
        <v>0.69</v>
      </c>
      <c r="I120" s="2">
        <v>0</v>
      </c>
      <c r="J120" s="2">
        <f>100-14.05</f>
        <v>85.95</v>
      </c>
      <c r="K120" s="2">
        <f>100-15.96</f>
        <v>84.039999999999992</v>
      </c>
      <c r="L120" s="2">
        <f t="shared" si="6"/>
        <v>85.26</v>
      </c>
      <c r="M120" s="2">
        <f t="shared" si="7"/>
        <v>84.039999999999992</v>
      </c>
      <c r="N120" s="21">
        <v>0.37769999999999998</v>
      </c>
      <c r="O120" s="21">
        <v>0.35260000000000002</v>
      </c>
      <c r="P120" s="21">
        <v>0.26960000000000001</v>
      </c>
      <c r="Q120" s="3" t="s">
        <v>6</v>
      </c>
    </row>
    <row r="121" spans="1:17" x14ac:dyDescent="0.35">
      <c r="A121" s="2">
        <v>120</v>
      </c>
      <c r="B121" s="8">
        <v>8</v>
      </c>
      <c r="C121" s="18" t="s">
        <v>3</v>
      </c>
      <c r="D121" s="18">
        <v>58</v>
      </c>
      <c r="E121" s="2">
        <v>334878691</v>
      </c>
      <c r="F121" s="2">
        <v>6959</v>
      </c>
      <c r="G121" s="2">
        <f>Tabelle3[[#This Row],[ Durchsatz]]/120</f>
        <v>57.991666666666667</v>
      </c>
      <c r="H121" s="2">
        <v>0.87</v>
      </c>
      <c r="I121" s="2">
        <v>0</v>
      </c>
      <c r="J121" s="2">
        <f>100-14.26</f>
        <v>85.74</v>
      </c>
      <c r="K121" s="2">
        <f>100-13.16</f>
        <v>86.84</v>
      </c>
      <c r="L121" s="2">
        <f t="shared" si="6"/>
        <v>84.86999999999999</v>
      </c>
      <c r="M121" s="2">
        <f t="shared" si="7"/>
        <v>86.84</v>
      </c>
      <c r="N121" s="21">
        <v>0.3594</v>
      </c>
      <c r="O121" s="21">
        <v>0.34179999999999999</v>
      </c>
      <c r="P121" s="21">
        <v>0.29880000000000001</v>
      </c>
      <c r="Q121" s="3" t="s">
        <v>6</v>
      </c>
    </row>
    <row r="122" spans="1:17" x14ac:dyDescent="0.35">
      <c r="A122" s="2">
        <v>121</v>
      </c>
      <c r="B122" s="8">
        <v>2</v>
      </c>
      <c r="C122" s="18" t="s">
        <v>2</v>
      </c>
      <c r="D122" s="18">
        <v>59</v>
      </c>
      <c r="E122" s="2">
        <v>1254573901</v>
      </c>
      <c r="F122" s="2">
        <v>6681</v>
      </c>
      <c r="G122" s="2">
        <f>Tabelle3[[#This Row],[ Durchsatz]]/120</f>
        <v>55.674999999999997</v>
      </c>
      <c r="H122" s="2">
        <v>1.38</v>
      </c>
      <c r="I122" s="2">
        <v>0</v>
      </c>
      <c r="J122" s="2">
        <f>100-9.94</f>
        <v>90.06</v>
      </c>
      <c r="K122" s="2">
        <f>100-6.45</f>
        <v>93.55</v>
      </c>
      <c r="L122" s="2">
        <f t="shared" si="6"/>
        <v>88.68</v>
      </c>
      <c r="M122" s="2">
        <f t="shared" si="7"/>
        <v>93.55</v>
      </c>
      <c r="N122" s="21">
        <v>0.40279999999999999</v>
      </c>
      <c r="O122" s="21">
        <v>0.3135</v>
      </c>
      <c r="P122" s="21">
        <v>0.28370000000000001</v>
      </c>
      <c r="Q122" s="3" t="s">
        <v>6</v>
      </c>
    </row>
    <row r="123" spans="1:17" x14ac:dyDescent="0.35">
      <c r="A123" s="2">
        <v>122</v>
      </c>
      <c r="B123" s="8">
        <v>2</v>
      </c>
      <c r="C123" s="18" t="s">
        <v>2</v>
      </c>
      <c r="D123" s="18">
        <v>59</v>
      </c>
      <c r="E123" s="2">
        <v>1831693722</v>
      </c>
      <c r="F123" s="2">
        <v>6719</v>
      </c>
      <c r="G123" s="2">
        <f>Tabelle3[[#This Row],[ Durchsatz]]/120</f>
        <v>55.991666666666667</v>
      </c>
      <c r="H123" s="2">
        <v>1.27</v>
      </c>
      <c r="I123" s="2">
        <v>0</v>
      </c>
      <c r="J123" s="2">
        <f>100-5.02</f>
        <v>94.98</v>
      </c>
      <c r="K123" s="2">
        <f>100-9.56</f>
        <v>90.44</v>
      </c>
      <c r="L123" s="2">
        <f t="shared" si="6"/>
        <v>93.710000000000008</v>
      </c>
      <c r="M123" s="2">
        <f t="shared" si="7"/>
        <v>90.44</v>
      </c>
      <c r="N123" s="21">
        <v>0.35170000000000001</v>
      </c>
      <c r="O123" s="21">
        <v>0.57830000000000004</v>
      </c>
      <c r="P123" s="21">
        <v>6.9900000000000004E-2</v>
      </c>
      <c r="Q123" s="3" t="s">
        <v>6</v>
      </c>
    </row>
    <row r="124" spans="1:17" x14ac:dyDescent="0.35">
      <c r="A124" s="2">
        <v>123</v>
      </c>
      <c r="B124" s="8">
        <v>2</v>
      </c>
      <c r="C124" s="18" t="s">
        <v>2</v>
      </c>
      <c r="D124" s="18">
        <v>59</v>
      </c>
      <c r="E124" s="2">
        <v>516456146</v>
      </c>
      <c r="F124" s="2">
        <v>6714</v>
      </c>
      <c r="G124" s="2">
        <f>Tabelle3[[#This Row],[ Durchsatz]]/120</f>
        <v>55.95</v>
      </c>
      <c r="H124" s="2">
        <v>1.26</v>
      </c>
      <c r="I124" s="2">
        <v>0</v>
      </c>
      <c r="J124" s="2">
        <f>100-7.75</f>
        <v>92.25</v>
      </c>
      <c r="K124" s="2">
        <f>100-8.36</f>
        <v>91.64</v>
      </c>
      <c r="L124" s="2">
        <f t="shared" si="6"/>
        <v>90.99</v>
      </c>
      <c r="M124" s="2">
        <f t="shared" si="7"/>
        <v>91.64</v>
      </c>
      <c r="N124" s="21">
        <v>0.40089999999999998</v>
      </c>
      <c r="O124" s="21">
        <v>0.3175</v>
      </c>
      <c r="P124" s="21">
        <v>0.28160000000000002</v>
      </c>
      <c r="Q124" s="3" t="s">
        <v>6</v>
      </c>
    </row>
    <row r="125" spans="1:17" x14ac:dyDescent="0.35">
      <c r="A125" s="2">
        <v>124</v>
      </c>
      <c r="B125" s="8">
        <v>4</v>
      </c>
      <c r="C125" s="18" t="s">
        <v>2</v>
      </c>
      <c r="D125" s="18">
        <v>59</v>
      </c>
      <c r="E125" s="2">
        <v>727390801</v>
      </c>
      <c r="F125" s="2">
        <v>6759</v>
      </c>
      <c r="G125" s="2">
        <f>Tabelle3[[#This Row],[ Durchsatz]]/120</f>
        <v>56.325000000000003</v>
      </c>
      <c r="H125" s="2">
        <v>1.54</v>
      </c>
      <c r="I125" s="2">
        <v>0</v>
      </c>
      <c r="J125" s="2">
        <f>100-8.02</f>
        <v>91.98</v>
      </c>
      <c r="K125" s="2">
        <f>100-7.42</f>
        <v>92.58</v>
      </c>
      <c r="L125" s="2">
        <f t="shared" si="6"/>
        <v>90.44</v>
      </c>
      <c r="M125" s="2">
        <f t="shared" si="7"/>
        <v>92.58</v>
      </c>
      <c r="N125" s="21">
        <v>0.37709999999999999</v>
      </c>
      <c r="O125" s="21">
        <v>0.30919999999999997</v>
      </c>
      <c r="P125" s="21">
        <v>0.31369999999999998</v>
      </c>
      <c r="Q125" s="3" t="s">
        <v>6</v>
      </c>
    </row>
    <row r="126" spans="1:17" x14ac:dyDescent="0.35">
      <c r="A126" s="2">
        <v>125</v>
      </c>
      <c r="B126" s="8">
        <v>4</v>
      </c>
      <c r="C126" s="18" t="s">
        <v>2</v>
      </c>
      <c r="D126" s="18">
        <v>59</v>
      </c>
      <c r="E126" s="2">
        <v>1862824065</v>
      </c>
      <c r="F126" s="2">
        <v>6819</v>
      </c>
      <c r="G126" s="2">
        <f>Tabelle3[[#This Row],[ Durchsatz]]/120</f>
        <v>56.825000000000003</v>
      </c>
      <c r="H126" s="2">
        <v>1.54</v>
      </c>
      <c r="I126" s="2">
        <v>0.01</v>
      </c>
      <c r="J126" s="2">
        <f>100-6.43</f>
        <v>93.57</v>
      </c>
      <c r="K126" s="2">
        <f>100-8.07</f>
        <v>91.93</v>
      </c>
      <c r="L126" s="2">
        <f t="shared" si="6"/>
        <v>92.029999999999987</v>
      </c>
      <c r="M126" s="2">
        <f t="shared" si="7"/>
        <v>91.92</v>
      </c>
      <c r="N126" s="21">
        <v>0.37769999999999998</v>
      </c>
      <c r="O126" s="21">
        <v>0.3236</v>
      </c>
      <c r="P126" s="21">
        <v>0.29870000000000002</v>
      </c>
      <c r="Q126" s="3" t="s">
        <v>6</v>
      </c>
    </row>
    <row r="127" spans="1:17" x14ac:dyDescent="0.35">
      <c r="A127" s="2">
        <v>126</v>
      </c>
      <c r="B127" s="8">
        <v>4</v>
      </c>
      <c r="C127" s="18" t="s">
        <v>2</v>
      </c>
      <c r="D127" s="18">
        <v>59</v>
      </c>
      <c r="E127" s="2">
        <v>1656403654</v>
      </c>
      <c r="F127" s="2">
        <v>6930</v>
      </c>
      <c r="G127" s="2">
        <f>Tabelle3[[#This Row],[ Durchsatz]]/120</f>
        <v>57.75</v>
      </c>
      <c r="H127" s="2">
        <v>1.35</v>
      </c>
      <c r="I127" s="2">
        <v>0</v>
      </c>
      <c r="J127" s="2">
        <f>100-5.39</f>
        <v>94.61</v>
      </c>
      <c r="K127" s="2">
        <f>100-7.68</f>
        <v>92.32</v>
      </c>
      <c r="L127" s="2">
        <f t="shared" si="6"/>
        <v>93.26</v>
      </c>
      <c r="M127" s="2">
        <f t="shared" si="7"/>
        <v>92.32</v>
      </c>
      <c r="N127" s="21">
        <v>0.34410000000000002</v>
      </c>
      <c r="O127" s="21">
        <v>0.33300000000000002</v>
      </c>
      <c r="P127" s="21">
        <v>0.32279999999999998</v>
      </c>
      <c r="Q127" s="3" t="s">
        <v>6</v>
      </c>
    </row>
    <row r="128" spans="1:17" x14ac:dyDescent="0.35">
      <c r="A128" s="2">
        <v>127</v>
      </c>
      <c r="B128" s="8">
        <v>6</v>
      </c>
      <c r="C128" s="18" t="s">
        <v>2</v>
      </c>
      <c r="D128" s="18">
        <v>59</v>
      </c>
      <c r="E128" s="2">
        <v>1597010064</v>
      </c>
      <c r="F128" s="2">
        <v>6668</v>
      </c>
      <c r="G128" s="2">
        <f>Tabelle3[[#This Row],[ Durchsatz]]/120</f>
        <v>55.56666666666667</v>
      </c>
      <c r="H128" s="2">
        <v>1.35</v>
      </c>
      <c r="I128" s="2">
        <v>0</v>
      </c>
      <c r="J128" s="2">
        <f>100-4.65</f>
        <v>95.35</v>
      </c>
      <c r="K128" s="2">
        <f>100-11.76</f>
        <v>88.24</v>
      </c>
      <c r="L128" s="2">
        <f t="shared" si="6"/>
        <v>94</v>
      </c>
      <c r="M128" s="2">
        <f t="shared" si="7"/>
        <v>88.24</v>
      </c>
      <c r="N128" s="21">
        <v>0.41099999999999998</v>
      </c>
      <c r="O128" s="21">
        <v>0.3236</v>
      </c>
      <c r="P128" s="21">
        <v>0.26529999999999998</v>
      </c>
      <c r="Q128" s="3" t="s">
        <v>6</v>
      </c>
    </row>
    <row r="129" spans="1:17" x14ac:dyDescent="0.35">
      <c r="A129" s="2">
        <v>128</v>
      </c>
      <c r="B129" s="8">
        <v>6</v>
      </c>
      <c r="C129" s="18" t="s">
        <v>2</v>
      </c>
      <c r="D129" s="18">
        <v>59</v>
      </c>
      <c r="E129" s="2">
        <v>1061894450</v>
      </c>
      <c r="F129" s="2">
        <v>6917</v>
      </c>
      <c r="G129" s="2">
        <f>Tabelle3[[#This Row],[ Durchsatz]]/120</f>
        <v>57.641666666666666</v>
      </c>
      <c r="H129" s="2">
        <v>1.64</v>
      </c>
      <c r="I129" s="2">
        <v>0</v>
      </c>
      <c r="J129" s="2">
        <f>100-8.3</f>
        <v>91.7</v>
      </c>
      <c r="K129" s="2">
        <f>100-4.68</f>
        <v>95.32</v>
      </c>
      <c r="L129" s="2">
        <f t="shared" si="6"/>
        <v>90.06</v>
      </c>
      <c r="M129" s="2">
        <f t="shared" si="7"/>
        <v>95.32</v>
      </c>
      <c r="N129" s="21">
        <v>0.35289999999999999</v>
      </c>
      <c r="O129" s="21">
        <v>0.32269999999999999</v>
      </c>
      <c r="P129" s="21">
        <v>0.32440000000000002</v>
      </c>
      <c r="Q129" s="3" t="s">
        <v>6</v>
      </c>
    </row>
    <row r="130" spans="1:17" x14ac:dyDescent="0.35">
      <c r="A130" s="2">
        <v>129</v>
      </c>
      <c r="B130" s="8">
        <v>6</v>
      </c>
      <c r="C130" s="18" t="s">
        <v>2</v>
      </c>
      <c r="D130" s="18">
        <v>59</v>
      </c>
      <c r="E130" s="2">
        <v>1427829852</v>
      </c>
      <c r="F130" s="2">
        <v>6883</v>
      </c>
      <c r="G130" s="2">
        <f>Tabelle3[[#This Row],[ Durchsatz]]/120</f>
        <v>57.358333333333334</v>
      </c>
      <c r="H130" s="2">
        <v>2.14</v>
      </c>
      <c r="I130" s="2">
        <v>0</v>
      </c>
      <c r="J130" s="2">
        <f>100-4.17</f>
        <v>95.83</v>
      </c>
      <c r="K130" s="2">
        <f>100-11.03</f>
        <v>88.97</v>
      </c>
      <c r="L130" s="2">
        <f t="shared" ref="L130:L161" si="8">J130-H130</f>
        <v>93.69</v>
      </c>
      <c r="M130" s="2">
        <f t="shared" ref="M130:M161" si="9">K130-I130</f>
        <v>88.97</v>
      </c>
      <c r="N130" s="21">
        <v>0.35580000000000001</v>
      </c>
      <c r="O130" s="21">
        <v>0.30830000000000002</v>
      </c>
      <c r="P130" s="21">
        <v>0.33589999999999998</v>
      </c>
      <c r="Q130" s="3" t="s">
        <v>6</v>
      </c>
    </row>
    <row r="131" spans="1:17" x14ac:dyDescent="0.35">
      <c r="A131" s="2">
        <v>130</v>
      </c>
      <c r="B131" s="8">
        <v>8</v>
      </c>
      <c r="C131" s="18" t="s">
        <v>2</v>
      </c>
      <c r="D131" s="18">
        <v>59</v>
      </c>
      <c r="E131" s="2">
        <v>629973085</v>
      </c>
      <c r="F131" s="2">
        <v>6943</v>
      </c>
      <c r="G131" s="2">
        <f>Tabelle3[[#This Row],[ Durchsatz]]/120</f>
        <v>57.858333333333334</v>
      </c>
      <c r="H131" s="2">
        <v>2.16</v>
      </c>
      <c r="I131" s="2">
        <v>0.01</v>
      </c>
      <c r="J131" s="2">
        <f>100-6.5</f>
        <v>93.5</v>
      </c>
      <c r="K131" s="2">
        <f>100-8.37</f>
        <v>91.63</v>
      </c>
      <c r="L131" s="2">
        <f t="shared" si="8"/>
        <v>91.34</v>
      </c>
      <c r="M131" s="2">
        <f t="shared" si="9"/>
        <v>91.61999999999999</v>
      </c>
      <c r="N131" s="21">
        <v>0.33150000000000002</v>
      </c>
      <c r="O131" s="21">
        <v>0.30320000000000003</v>
      </c>
      <c r="P131" s="21">
        <v>0.36530000000000001</v>
      </c>
      <c r="Q131" s="3" t="s">
        <v>6</v>
      </c>
    </row>
    <row r="132" spans="1:17" x14ac:dyDescent="0.35">
      <c r="A132" s="2">
        <v>131</v>
      </c>
      <c r="B132" s="8">
        <v>8</v>
      </c>
      <c r="C132" s="18" t="s">
        <v>2</v>
      </c>
      <c r="D132" s="18">
        <v>59</v>
      </c>
      <c r="E132" s="2">
        <v>990810282</v>
      </c>
      <c r="F132" s="2">
        <v>6822</v>
      </c>
      <c r="G132" s="2">
        <f>Tabelle3[[#This Row],[ Durchsatz]]/120</f>
        <v>56.85</v>
      </c>
      <c r="H132" s="2">
        <v>2.0299999999999998</v>
      </c>
      <c r="I132" s="2">
        <v>0</v>
      </c>
      <c r="J132" s="2">
        <f>100-6.22</f>
        <v>93.78</v>
      </c>
      <c r="K132" s="2">
        <f>100-8.84</f>
        <v>91.16</v>
      </c>
      <c r="L132" s="2">
        <f t="shared" si="8"/>
        <v>91.75</v>
      </c>
      <c r="M132" s="2">
        <f t="shared" si="9"/>
        <v>91.16</v>
      </c>
      <c r="N132" s="21">
        <v>0.35759999999999997</v>
      </c>
      <c r="O132" s="21">
        <v>0.29409999999999997</v>
      </c>
      <c r="P132" s="21">
        <v>0.3483</v>
      </c>
      <c r="Q132" s="3" t="s">
        <v>6</v>
      </c>
    </row>
    <row r="133" spans="1:17" x14ac:dyDescent="0.35">
      <c r="A133" s="2">
        <v>132</v>
      </c>
      <c r="B133" s="8">
        <v>8</v>
      </c>
      <c r="C133" s="18" t="s">
        <v>2</v>
      </c>
      <c r="D133" s="18">
        <v>59</v>
      </c>
      <c r="E133" s="2">
        <v>1713163683</v>
      </c>
      <c r="F133" s="2">
        <v>6999</v>
      </c>
      <c r="G133" s="2">
        <f>Tabelle3[[#This Row],[ Durchsatz]]/120</f>
        <v>58.325000000000003</v>
      </c>
      <c r="H133" s="2">
        <v>2.58</v>
      </c>
      <c r="I133" s="2">
        <v>0</v>
      </c>
      <c r="J133" s="2">
        <f>100-4.97</f>
        <v>95.03</v>
      </c>
      <c r="K133" s="2">
        <f>100-9.16</f>
        <v>90.84</v>
      </c>
      <c r="L133" s="2">
        <f t="shared" si="8"/>
        <v>92.45</v>
      </c>
      <c r="M133" s="2">
        <f t="shared" si="9"/>
        <v>90.84</v>
      </c>
      <c r="N133" s="21">
        <v>0.31919999999999998</v>
      </c>
      <c r="O133" s="21">
        <v>0.28749999999999998</v>
      </c>
      <c r="P133" s="21">
        <v>0.39329999999999998</v>
      </c>
      <c r="Q133" s="3" t="s">
        <v>6</v>
      </c>
    </row>
    <row r="134" spans="1:17" x14ac:dyDescent="0.35">
      <c r="A134" s="2">
        <v>133</v>
      </c>
      <c r="B134" s="8">
        <v>2</v>
      </c>
      <c r="C134" s="18" t="s">
        <v>3</v>
      </c>
      <c r="D134" s="18">
        <v>59</v>
      </c>
      <c r="E134" s="2">
        <v>396939489</v>
      </c>
      <c r="F134" s="2">
        <v>6999</v>
      </c>
      <c r="G134" s="2">
        <f>Tabelle3[[#This Row],[ Durchsatz]]/120</f>
        <v>58.325000000000003</v>
      </c>
      <c r="H134" s="2">
        <v>1.54</v>
      </c>
      <c r="I134" s="2">
        <v>0</v>
      </c>
      <c r="J134" s="2">
        <f>100-4.3</f>
        <v>95.7</v>
      </c>
      <c r="K134" s="2">
        <f>100-7.67</f>
        <v>92.33</v>
      </c>
      <c r="L134" s="2">
        <f t="shared" si="8"/>
        <v>94.16</v>
      </c>
      <c r="M134" s="2">
        <f t="shared" si="9"/>
        <v>92.33</v>
      </c>
      <c r="N134" s="21">
        <v>0.33160000000000001</v>
      </c>
      <c r="O134" s="21">
        <v>0.3226</v>
      </c>
      <c r="P134" s="21">
        <v>0.34589999999999999</v>
      </c>
      <c r="Q134" s="3" t="s">
        <v>6</v>
      </c>
    </row>
    <row r="135" spans="1:17" x14ac:dyDescent="0.35">
      <c r="A135" s="2">
        <v>134</v>
      </c>
      <c r="B135" s="8">
        <v>2</v>
      </c>
      <c r="C135" s="18" t="s">
        <v>3</v>
      </c>
      <c r="D135" s="18">
        <v>59</v>
      </c>
      <c r="E135" s="2">
        <v>1591449147</v>
      </c>
      <c r="F135" s="2">
        <v>6922</v>
      </c>
      <c r="G135" s="2">
        <f>Tabelle3[[#This Row],[ Durchsatz]]/120</f>
        <v>57.68333333333333</v>
      </c>
      <c r="H135" s="2">
        <v>1.04</v>
      </c>
      <c r="I135" s="2">
        <v>0</v>
      </c>
      <c r="J135" s="2">
        <f>100-6.29</f>
        <v>93.71</v>
      </c>
      <c r="K135" s="2">
        <f>100-5.82</f>
        <v>94.18</v>
      </c>
      <c r="L135" s="2">
        <f t="shared" si="8"/>
        <v>92.669999999999987</v>
      </c>
      <c r="M135" s="2">
        <f t="shared" si="9"/>
        <v>94.18</v>
      </c>
      <c r="N135" s="21">
        <v>0.36299999999999999</v>
      </c>
      <c r="O135" s="21">
        <v>0.33460000000000001</v>
      </c>
      <c r="P135" s="21">
        <v>0.3024</v>
      </c>
      <c r="Q135" s="3" t="s">
        <v>6</v>
      </c>
    </row>
    <row r="136" spans="1:17" x14ac:dyDescent="0.35">
      <c r="A136" s="2">
        <v>135</v>
      </c>
      <c r="B136" s="8">
        <v>2</v>
      </c>
      <c r="C136" s="18" t="s">
        <v>3</v>
      </c>
      <c r="D136" s="18">
        <v>59</v>
      </c>
      <c r="E136" s="2">
        <v>735567437</v>
      </c>
      <c r="F136" s="2">
        <v>7011</v>
      </c>
      <c r="G136" s="2">
        <f>Tabelle3[[#This Row],[ Durchsatz]]/120</f>
        <v>58.424999999999997</v>
      </c>
      <c r="H136" s="2">
        <v>1.43</v>
      </c>
      <c r="I136" s="2">
        <v>0</v>
      </c>
      <c r="J136" s="2">
        <f>100-3.48</f>
        <v>96.52</v>
      </c>
      <c r="K136" s="2">
        <f>100-7.54</f>
        <v>92.46</v>
      </c>
      <c r="L136" s="2">
        <f t="shared" si="8"/>
        <v>95.089999999999989</v>
      </c>
      <c r="M136" s="2">
        <f t="shared" si="9"/>
        <v>92.46</v>
      </c>
      <c r="N136" s="21">
        <v>0.34029999999999999</v>
      </c>
      <c r="O136" s="21">
        <v>0.34379999999999999</v>
      </c>
      <c r="P136" s="21">
        <v>0.31590000000000001</v>
      </c>
      <c r="Q136" s="3" t="s">
        <v>6</v>
      </c>
    </row>
    <row r="137" spans="1:17" x14ac:dyDescent="0.35">
      <c r="A137" s="2">
        <v>136</v>
      </c>
      <c r="B137" s="8">
        <v>4</v>
      </c>
      <c r="C137" s="18" t="s">
        <v>3</v>
      </c>
      <c r="D137" s="18">
        <v>59</v>
      </c>
      <c r="E137" s="2">
        <v>1307542891</v>
      </c>
      <c r="F137" s="2">
        <v>7087</v>
      </c>
      <c r="G137" s="2">
        <f>Tabelle3[[#This Row],[ Durchsatz]]/120</f>
        <v>59.05833333333333</v>
      </c>
      <c r="H137" s="2">
        <v>1.27</v>
      </c>
      <c r="I137" s="2">
        <v>0</v>
      </c>
      <c r="J137" s="2">
        <f>100-8.3</f>
        <v>91.7</v>
      </c>
      <c r="K137" s="2">
        <f>100-8.59</f>
        <v>91.41</v>
      </c>
      <c r="L137" s="2">
        <f t="shared" si="8"/>
        <v>90.43</v>
      </c>
      <c r="M137" s="2">
        <f t="shared" si="9"/>
        <v>91.41</v>
      </c>
      <c r="N137" s="21">
        <v>0.33289999999999997</v>
      </c>
      <c r="O137" s="21">
        <v>0.35599999999999998</v>
      </c>
      <c r="P137" s="21">
        <v>0.31109999999999999</v>
      </c>
      <c r="Q137" s="3" t="s">
        <v>6</v>
      </c>
    </row>
    <row r="138" spans="1:17" x14ac:dyDescent="0.35">
      <c r="A138" s="2">
        <v>137</v>
      </c>
      <c r="B138" s="8">
        <v>4</v>
      </c>
      <c r="C138" s="18" t="s">
        <v>3</v>
      </c>
      <c r="D138" s="18">
        <v>59</v>
      </c>
      <c r="E138" s="2">
        <v>386725480</v>
      </c>
      <c r="F138" s="2">
        <v>7081</v>
      </c>
      <c r="G138" s="2">
        <f>Tabelle3[[#This Row],[ Durchsatz]]/120</f>
        <v>59.008333333333333</v>
      </c>
      <c r="H138" s="2">
        <v>1.65</v>
      </c>
      <c r="I138" s="2">
        <v>0</v>
      </c>
      <c r="J138" s="2">
        <f>100-7.96</f>
        <v>92.04</v>
      </c>
      <c r="K138" s="2">
        <f>100-8.97</f>
        <v>91.03</v>
      </c>
      <c r="L138" s="2">
        <f t="shared" si="8"/>
        <v>90.39</v>
      </c>
      <c r="M138" s="2">
        <f t="shared" si="9"/>
        <v>91.03</v>
      </c>
      <c r="N138" s="21">
        <v>0.32279999999999998</v>
      </c>
      <c r="O138" s="21">
        <v>0.34110000000000001</v>
      </c>
      <c r="P138" s="21">
        <v>0.33610000000000001</v>
      </c>
      <c r="Q138" s="3" t="s">
        <v>6</v>
      </c>
    </row>
    <row r="139" spans="1:17" x14ac:dyDescent="0.35">
      <c r="A139" s="2">
        <v>138</v>
      </c>
      <c r="B139" s="8">
        <v>4</v>
      </c>
      <c r="C139" s="18" t="s">
        <v>3</v>
      </c>
      <c r="D139" s="18">
        <v>59</v>
      </c>
      <c r="E139" s="2">
        <v>1690072215</v>
      </c>
      <c r="F139" s="2">
        <v>7078</v>
      </c>
      <c r="G139" s="2">
        <f>Tabelle3[[#This Row],[ Durchsatz]]/120</f>
        <v>58.983333333333334</v>
      </c>
      <c r="H139" s="2">
        <v>0.84</v>
      </c>
      <c r="I139" s="2">
        <v>0</v>
      </c>
      <c r="J139" s="2">
        <f>100-8.64</f>
        <v>91.36</v>
      </c>
      <c r="K139" s="2">
        <f>100-10.92</f>
        <v>89.08</v>
      </c>
      <c r="L139" s="2">
        <f t="shared" si="8"/>
        <v>90.52</v>
      </c>
      <c r="M139" s="2">
        <f t="shared" si="9"/>
        <v>89.08</v>
      </c>
      <c r="N139" s="21">
        <v>0.33529999999999999</v>
      </c>
      <c r="O139" s="21">
        <v>0.36220000000000002</v>
      </c>
      <c r="P139" s="21">
        <v>0.30259999999999998</v>
      </c>
      <c r="Q139" s="3" t="s">
        <v>6</v>
      </c>
    </row>
    <row r="140" spans="1:17" x14ac:dyDescent="0.35">
      <c r="A140" s="2">
        <v>139</v>
      </c>
      <c r="B140" s="8">
        <v>6</v>
      </c>
      <c r="C140" s="18" t="s">
        <v>3</v>
      </c>
      <c r="D140" s="18">
        <v>59</v>
      </c>
      <c r="E140" s="2">
        <v>319077111</v>
      </c>
      <c r="F140" s="2">
        <v>7079</v>
      </c>
      <c r="G140" s="2">
        <f>Tabelle3[[#This Row],[ Durchsatz]]/120</f>
        <v>58.991666666666667</v>
      </c>
      <c r="H140" s="2">
        <v>0.82</v>
      </c>
      <c r="I140" s="2">
        <v>0.02</v>
      </c>
      <c r="J140" s="2">
        <f>100-12.66</f>
        <v>87.34</v>
      </c>
      <c r="K140" s="2">
        <f>100-11.16</f>
        <v>88.84</v>
      </c>
      <c r="L140" s="2">
        <f t="shared" si="8"/>
        <v>86.52000000000001</v>
      </c>
      <c r="M140" s="2">
        <f t="shared" si="9"/>
        <v>88.820000000000007</v>
      </c>
      <c r="N140" s="21">
        <v>0.33389999999999997</v>
      </c>
      <c r="O140" s="21">
        <v>0.36270000000000002</v>
      </c>
      <c r="P140" s="21">
        <v>0.3034</v>
      </c>
      <c r="Q140" s="3" t="s">
        <v>6</v>
      </c>
    </row>
    <row r="141" spans="1:17" x14ac:dyDescent="0.35">
      <c r="A141" s="2">
        <v>140</v>
      </c>
      <c r="B141" s="8">
        <v>6</v>
      </c>
      <c r="C141" s="18" t="s">
        <v>3</v>
      </c>
      <c r="D141" s="18">
        <v>59</v>
      </c>
      <c r="E141" s="2">
        <v>988406472</v>
      </c>
      <c r="F141" s="2">
        <v>7082</v>
      </c>
      <c r="G141" s="2">
        <f>Tabelle3[[#This Row],[ Durchsatz]]/120</f>
        <v>59.016666666666666</v>
      </c>
      <c r="H141" s="2">
        <v>0.73</v>
      </c>
      <c r="I141" s="2">
        <v>0</v>
      </c>
      <c r="J141" s="2">
        <f>100-11.19</f>
        <v>88.81</v>
      </c>
      <c r="K141" s="2">
        <f>100-13.01</f>
        <v>86.99</v>
      </c>
      <c r="L141" s="2">
        <f t="shared" si="8"/>
        <v>88.08</v>
      </c>
      <c r="M141" s="2">
        <f t="shared" si="9"/>
        <v>86.99</v>
      </c>
      <c r="N141" s="21">
        <v>0.33179999999999998</v>
      </c>
      <c r="O141" s="21">
        <v>0.36480000000000001</v>
      </c>
      <c r="P141" s="21">
        <v>0.30330000000000001</v>
      </c>
      <c r="Q141" s="3" t="s">
        <v>6</v>
      </c>
    </row>
    <row r="142" spans="1:17" x14ac:dyDescent="0.35">
      <c r="A142" s="2">
        <v>141</v>
      </c>
      <c r="B142" s="8">
        <v>6</v>
      </c>
      <c r="C142" s="18" t="s">
        <v>3</v>
      </c>
      <c r="D142" s="18">
        <v>59</v>
      </c>
      <c r="E142" s="2">
        <v>609068083</v>
      </c>
      <c r="F142" s="2">
        <v>7090</v>
      </c>
      <c r="G142" s="2">
        <f>Tabelle3[[#This Row],[ Durchsatz]]/120</f>
        <v>59.083333333333336</v>
      </c>
      <c r="H142" s="2">
        <v>1.42</v>
      </c>
      <c r="I142" s="2">
        <v>0</v>
      </c>
      <c r="J142" s="2">
        <f>100-10.9</f>
        <v>89.1</v>
      </c>
      <c r="K142" s="2">
        <f>100-11.85</f>
        <v>88.15</v>
      </c>
      <c r="L142" s="2">
        <f t="shared" si="8"/>
        <v>87.679999999999993</v>
      </c>
      <c r="M142" s="2">
        <f t="shared" si="9"/>
        <v>88.15</v>
      </c>
      <c r="N142" s="21">
        <v>0.32319999999999999</v>
      </c>
      <c r="O142" s="21">
        <v>0.34250000000000003</v>
      </c>
      <c r="P142" s="21">
        <v>0.33429999999999999</v>
      </c>
      <c r="Q142" s="3" t="s">
        <v>6</v>
      </c>
    </row>
    <row r="143" spans="1:17" x14ac:dyDescent="0.35">
      <c r="A143" s="2">
        <v>142</v>
      </c>
      <c r="B143" s="8">
        <v>8</v>
      </c>
      <c r="C143" s="18" t="s">
        <v>3</v>
      </c>
      <c r="D143" s="18">
        <v>59</v>
      </c>
      <c r="E143" s="2">
        <v>1764335072</v>
      </c>
      <c r="F143" s="2">
        <v>7068</v>
      </c>
      <c r="G143" s="2">
        <f>Tabelle3[[#This Row],[ Durchsatz]]/120</f>
        <v>58.9</v>
      </c>
      <c r="H143" s="2">
        <v>1.04</v>
      </c>
      <c r="I143" s="2">
        <v>0</v>
      </c>
      <c r="J143" s="2">
        <f>100-12.68</f>
        <v>87.32</v>
      </c>
      <c r="K143" s="2">
        <f>100-14.12</f>
        <v>85.88</v>
      </c>
      <c r="L143" s="2">
        <f t="shared" si="8"/>
        <v>86.279999999999987</v>
      </c>
      <c r="M143" s="2">
        <f t="shared" si="9"/>
        <v>85.88</v>
      </c>
      <c r="N143" s="21">
        <v>0.33510000000000001</v>
      </c>
      <c r="O143" s="21">
        <v>0.34539999999999998</v>
      </c>
      <c r="P143" s="21">
        <v>0.3196</v>
      </c>
      <c r="Q143" s="3" t="s">
        <v>6</v>
      </c>
    </row>
    <row r="144" spans="1:17" x14ac:dyDescent="0.35">
      <c r="A144" s="2">
        <v>143</v>
      </c>
      <c r="B144" s="8">
        <v>8</v>
      </c>
      <c r="C144" s="18" t="s">
        <v>3</v>
      </c>
      <c r="D144" s="18">
        <v>59</v>
      </c>
      <c r="E144" s="2">
        <v>648567214</v>
      </c>
      <c r="F144" s="2">
        <v>7085</v>
      </c>
      <c r="G144" s="2">
        <f>Tabelle3[[#This Row],[ Durchsatz]]/120</f>
        <v>59.041666666666664</v>
      </c>
      <c r="H144" s="2">
        <v>1.1499999999999999</v>
      </c>
      <c r="I144" s="2">
        <v>0.02</v>
      </c>
      <c r="J144" s="2">
        <f>100-12.18</f>
        <v>87.82</v>
      </c>
      <c r="K144" s="2">
        <f>100-14.97</f>
        <v>85.03</v>
      </c>
      <c r="L144" s="2">
        <f t="shared" si="8"/>
        <v>86.669999999999987</v>
      </c>
      <c r="M144" s="2">
        <f t="shared" si="9"/>
        <v>85.01</v>
      </c>
      <c r="N144" s="21">
        <v>0.32590000000000002</v>
      </c>
      <c r="O144" s="21">
        <v>0.33100000000000002</v>
      </c>
      <c r="P144" s="21">
        <v>0.34310000000000002</v>
      </c>
      <c r="Q144" s="3" t="s">
        <v>6</v>
      </c>
    </row>
    <row r="145" spans="1:17" x14ac:dyDescent="0.35">
      <c r="A145" s="2">
        <v>144</v>
      </c>
      <c r="B145" s="8">
        <v>8</v>
      </c>
      <c r="C145" s="18" t="s">
        <v>3</v>
      </c>
      <c r="D145" s="18">
        <v>59</v>
      </c>
      <c r="E145" s="2">
        <v>1218386618</v>
      </c>
      <c r="F145" s="2">
        <v>7065</v>
      </c>
      <c r="G145" s="2">
        <f>Tabelle3[[#This Row],[ Durchsatz]]/120</f>
        <v>58.875</v>
      </c>
      <c r="H145" s="2">
        <v>0.91</v>
      </c>
      <c r="I145" s="2">
        <v>0</v>
      </c>
      <c r="J145" s="2">
        <f>100-13.85</f>
        <v>86.15</v>
      </c>
      <c r="K145" s="2">
        <f>100-12.65</f>
        <v>87.35</v>
      </c>
      <c r="L145" s="2">
        <f t="shared" si="8"/>
        <v>85.240000000000009</v>
      </c>
      <c r="M145" s="2">
        <f t="shared" si="9"/>
        <v>87.35</v>
      </c>
      <c r="N145" s="21">
        <v>0.3372</v>
      </c>
      <c r="O145" s="21">
        <v>0.35449999999999998</v>
      </c>
      <c r="P145" s="21">
        <v>0.30830000000000002</v>
      </c>
      <c r="Q145" s="3" t="s">
        <v>6</v>
      </c>
    </row>
    <row r="146" spans="1:17" x14ac:dyDescent="0.35">
      <c r="A146" s="2">
        <v>145</v>
      </c>
      <c r="B146" s="8">
        <v>2</v>
      </c>
      <c r="C146" s="18" t="s">
        <v>2</v>
      </c>
      <c r="D146" s="18">
        <v>60</v>
      </c>
      <c r="E146" s="2">
        <v>899365796</v>
      </c>
      <c r="F146" s="2">
        <v>6686</v>
      </c>
      <c r="G146" s="2">
        <f>Tabelle3[[#This Row],[ Durchsatz]]/120</f>
        <v>55.716666666666669</v>
      </c>
      <c r="H146" s="2">
        <v>0.8</v>
      </c>
      <c r="I146" s="2">
        <v>0</v>
      </c>
      <c r="J146" s="2">
        <f>100-6.07</f>
        <v>93.93</v>
      </c>
      <c r="K146" s="2">
        <f>100-9.15</f>
        <v>90.85</v>
      </c>
      <c r="L146" s="2">
        <f t="shared" si="8"/>
        <v>93.13000000000001</v>
      </c>
      <c r="M146" s="2">
        <f t="shared" si="9"/>
        <v>90.85</v>
      </c>
      <c r="N146" s="21">
        <v>0.42380000000000001</v>
      </c>
      <c r="O146" s="21">
        <v>0.33700000000000002</v>
      </c>
      <c r="P146" s="21">
        <v>0.2392</v>
      </c>
      <c r="Q146" s="3" t="s">
        <v>6</v>
      </c>
    </row>
    <row r="147" spans="1:17" x14ac:dyDescent="0.35">
      <c r="A147" s="2">
        <v>146</v>
      </c>
      <c r="B147" s="8">
        <v>2</v>
      </c>
      <c r="C147" s="18" t="s">
        <v>2</v>
      </c>
      <c r="D147" s="18">
        <v>60</v>
      </c>
      <c r="E147" s="2">
        <v>385652586</v>
      </c>
      <c r="F147" s="2">
        <v>6663</v>
      </c>
      <c r="G147" s="2">
        <f>Tabelle3[[#This Row],[ Durchsatz]]/120</f>
        <v>55.524999999999999</v>
      </c>
      <c r="H147" s="2">
        <v>0.97</v>
      </c>
      <c r="I147" s="2">
        <v>0</v>
      </c>
      <c r="J147" s="2">
        <f>100-6.4</f>
        <v>93.6</v>
      </c>
      <c r="K147" s="2">
        <f>100-8.45</f>
        <v>91.55</v>
      </c>
      <c r="L147" s="2">
        <f t="shared" si="8"/>
        <v>92.63</v>
      </c>
      <c r="M147" s="2">
        <f t="shared" si="9"/>
        <v>91.55</v>
      </c>
      <c r="N147" s="21">
        <v>0.42230000000000001</v>
      </c>
      <c r="O147" s="21">
        <v>0.32750000000000001</v>
      </c>
      <c r="P147" s="21">
        <v>0.25019999999999998</v>
      </c>
      <c r="Q147" s="3" t="s">
        <v>6</v>
      </c>
    </row>
    <row r="148" spans="1:17" x14ac:dyDescent="0.35">
      <c r="A148" s="2">
        <v>147</v>
      </c>
      <c r="B148" s="8">
        <v>2</v>
      </c>
      <c r="C148" s="18" t="s">
        <v>2</v>
      </c>
      <c r="D148" s="18">
        <v>60</v>
      </c>
      <c r="E148" s="2">
        <v>1254288768</v>
      </c>
      <c r="F148" s="2">
        <v>6716</v>
      </c>
      <c r="G148" s="2">
        <f>Tabelle3[[#This Row],[ Durchsatz]]/120</f>
        <v>55.966666666666669</v>
      </c>
      <c r="H148" s="2">
        <v>0.87</v>
      </c>
      <c r="I148" s="2">
        <v>0</v>
      </c>
      <c r="J148" s="2">
        <f>100-5.23</f>
        <v>94.77</v>
      </c>
      <c r="K148" s="2">
        <f>100-7.82</f>
        <v>92.18</v>
      </c>
      <c r="L148" s="2">
        <f t="shared" si="8"/>
        <v>93.899999999999991</v>
      </c>
      <c r="M148" s="2">
        <f t="shared" si="9"/>
        <v>92.18</v>
      </c>
      <c r="N148" s="21">
        <v>0.41039999999999999</v>
      </c>
      <c r="O148" s="21">
        <v>0.34439999999999998</v>
      </c>
      <c r="P148" s="21">
        <v>0.2452</v>
      </c>
      <c r="Q148" s="3" t="s">
        <v>6</v>
      </c>
    </row>
    <row r="149" spans="1:17" x14ac:dyDescent="0.35">
      <c r="A149" s="2">
        <v>148</v>
      </c>
      <c r="B149" s="8">
        <v>4</v>
      </c>
      <c r="C149" s="18" t="s">
        <v>2</v>
      </c>
      <c r="D149" s="18">
        <v>60</v>
      </c>
      <c r="E149" s="2">
        <v>1380602444</v>
      </c>
      <c r="F149" s="2">
        <v>6760</v>
      </c>
      <c r="G149" s="2">
        <f>Tabelle3[[#This Row],[ Durchsatz]]/120</f>
        <v>56.333333333333336</v>
      </c>
      <c r="H149" s="2">
        <v>1.6</v>
      </c>
      <c r="I149" s="2">
        <v>0</v>
      </c>
      <c r="J149" s="2">
        <f>100-7.48</f>
        <v>92.52</v>
      </c>
      <c r="K149" s="2">
        <f>100-8.56</f>
        <v>91.44</v>
      </c>
      <c r="L149" s="2">
        <f t="shared" si="8"/>
        <v>90.92</v>
      </c>
      <c r="M149" s="2">
        <f t="shared" si="9"/>
        <v>91.44</v>
      </c>
      <c r="N149" s="21">
        <v>0.39</v>
      </c>
      <c r="O149" s="21">
        <v>0.31530000000000002</v>
      </c>
      <c r="P149" s="21">
        <v>0.29470000000000002</v>
      </c>
      <c r="Q149" s="3" t="s">
        <v>6</v>
      </c>
    </row>
    <row r="150" spans="1:17" x14ac:dyDescent="0.35">
      <c r="A150" s="2">
        <v>149</v>
      </c>
      <c r="B150" s="8">
        <v>4</v>
      </c>
      <c r="C150" s="18" t="s">
        <v>2</v>
      </c>
      <c r="D150" s="18">
        <v>60</v>
      </c>
      <c r="E150" s="2">
        <v>143746400</v>
      </c>
      <c r="F150" s="2">
        <v>6793</v>
      </c>
      <c r="G150" s="2">
        <f>Tabelle3[[#This Row],[ Durchsatz]]/120</f>
        <v>56.608333333333334</v>
      </c>
      <c r="H150" s="2">
        <v>1.1000000000000001</v>
      </c>
      <c r="I150" s="2">
        <v>0</v>
      </c>
      <c r="J150" s="2">
        <f>100-4.92</f>
        <v>95.08</v>
      </c>
      <c r="K150" s="2">
        <f>100-10.02</f>
        <v>89.98</v>
      </c>
      <c r="L150" s="2">
        <f t="shared" si="8"/>
        <v>93.98</v>
      </c>
      <c r="M150" s="2">
        <f t="shared" si="9"/>
        <v>89.98</v>
      </c>
      <c r="N150" s="21">
        <v>0.3851</v>
      </c>
      <c r="O150" s="21">
        <v>0.32969999999999999</v>
      </c>
      <c r="P150" s="21">
        <v>0.28520000000000001</v>
      </c>
      <c r="Q150" s="3" t="s">
        <v>6</v>
      </c>
    </row>
    <row r="151" spans="1:17" x14ac:dyDescent="0.35">
      <c r="A151" s="2">
        <v>150</v>
      </c>
      <c r="B151" s="8">
        <v>4</v>
      </c>
      <c r="C151" s="18" t="s">
        <v>2</v>
      </c>
      <c r="D151" s="18">
        <v>60</v>
      </c>
      <c r="E151" s="2">
        <v>1829548316</v>
      </c>
      <c r="F151" s="2">
        <v>6841</v>
      </c>
      <c r="G151" s="2">
        <f>Tabelle3[[#This Row],[ Durchsatz]]/120</f>
        <v>57.008333333333333</v>
      </c>
      <c r="H151" s="2">
        <v>1.64</v>
      </c>
      <c r="I151" s="2">
        <v>0</v>
      </c>
      <c r="J151" s="2">
        <f>100-4.78</f>
        <v>95.22</v>
      </c>
      <c r="K151" s="2">
        <f>100-9.61</f>
        <v>90.39</v>
      </c>
      <c r="L151" s="2">
        <f t="shared" si="8"/>
        <v>93.58</v>
      </c>
      <c r="M151" s="2">
        <f t="shared" si="9"/>
        <v>90.39</v>
      </c>
      <c r="N151" s="21">
        <v>0.37109999999999999</v>
      </c>
      <c r="O151" s="21">
        <v>0.3196</v>
      </c>
      <c r="P151" s="21">
        <v>0.30940000000000001</v>
      </c>
      <c r="Q151" s="3" t="s">
        <v>6</v>
      </c>
    </row>
    <row r="152" spans="1:17" x14ac:dyDescent="0.35">
      <c r="A152" s="2">
        <v>151</v>
      </c>
      <c r="B152" s="8">
        <v>6</v>
      </c>
      <c r="C152" s="18" t="s">
        <v>2</v>
      </c>
      <c r="D152" s="18">
        <v>60</v>
      </c>
      <c r="E152" s="2">
        <v>1917602497</v>
      </c>
      <c r="F152" s="2">
        <v>3922</v>
      </c>
      <c r="G152" s="2">
        <f>Tabelle3[[#This Row],[ Durchsatz]]/120</f>
        <v>32.68333333333333</v>
      </c>
      <c r="H152" s="2">
        <v>41.53</v>
      </c>
      <c r="I152" s="2">
        <v>0</v>
      </c>
      <c r="J152" s="2">
        <f>100-3.99</f>
        <v>96.01</v>
      </c>
      <c r="K152" s="2">
        <f>100-47.51</f>
        <v>52.49</v>
      </c>
      <c r="L152" s="2">
        <f t="shared" si="8"/>
        <v>54.480000000000004</v>
      </c>
      <c r="M152" s="2">
        <f t="shared" si="9"/>
        <v>52.49</v>
      </c>
      <c r="N152" s="21">
        <v>0.65810000000000002</v>
      </c>
      <c r="O152" s="21">
        <v>0.183</v>
      </c>
      <c r="P152" s="21">
        <v>0.15890000000000001</v>
      </c>
      <c r="Q152" s="3">
        <v>3.1</v>
      </c>
    </row>
    <row r="153" spans="1:17" x14ac:dyDescent="0.35">
      <c r="A153" s="2">
        <v>152</v>
      </c>
      <c r="B153" s="8">
        <v>6</v>
      </c>
      <c r="C153" s="18" t="s">
        <v>2</v>
      </c>
      <c r="D153" s="18">
        <v>60</v>
      </c>
      <c r="E153" s="2">
        <v>432460401</v>
      </c>
      <c r="F153" s="2">
        <v>6838</v>
      </c>
      <c r="G153" s="2">
        <f>Tabelle3[[#This Row],[ Durchsatz]]/120</f>
        <v>56.983333333333334</v>
      </c>
      <c r="H153" s="2">
        <v>2.0099999999999998</v>
      </c>
      <c r="I153" s="2">
        <v>0.02</v>
      </c>
      <c r="J153" s="2">
        <f>100-7.49</f>
        <v>92.51</v>
      </c>
      <c r="K153" s="2">
        <f>100-6.46</f>
        <v>93.54</v>
      </c>
      <c r="L153" s="2">
        <f t="shared" si="8"/>
        <v>90.5</v>
      </c>
      <c r="M153" s="2">
        <f t="shared" si="9"/>
        <v>93.52000000000001</v>
      </c>
      <c r="N153" s="21">
        <v>0.35949999999999999</v>
      </c>
      <c r="O153" s="21">
        <v>0.30719999999999997</v>
      </c>
      <c r="P153" s="21">
        <v>0.3332</v>
      </c>
      <c r="Q153" s="3" t="s">
        <v>6</v>
      </c>
    </row>
    <row r="154" spans="1:17" x14ac:dyDescent="0.35">
      <c r="A154" s="2">
        <v>153</v>
      </c>
      <c r="B154" s="8">
        <v>6</v>
      </c>
      <c r="C154" s="18" t="s">
        <v>2</v>
      </c>
      <c r="D154" s="18">
        <v>60</v>
      </c>
      <c r="E154" s="2">
        <v>1269372705</v>
      </c>
      <c r="F154" s="2">
        <v>6722</v>
      </c>
      <c r="G154" s="2">
        <f>Tabelle3[[#This Row],[ Durchsatz]]/120</f>
        <v>56.016666666666666</v>
      </c>
      <c r="H154" s="2">
        <v>1</v>
      </c>
      <c r="I154" s="2">
        <v>0</v>
      </c>
      <c r="J154" s="2">
        <f>100-7.64</f>
        <v>92.36</v>
      </c>
      <c r="K154" s="2">
        <f>100-9.35</f>
        <v>90.65</v>
      </c>
      <c r="L154" s="2">
        <f t="shared" si="8"/>
        <v>91.36</v>
      </c>
      <c r="M154" s="2">
        <f t="shared" si="9"/>
        <v>90.65</v>
      </c>
      <c r="N154" s="21">
        <v>0.39119999999999999</v>
      </c>
      <c r="O154" s="21">
        <v>0.3231</v>
      </c>
      <c r="P154" s="21">
        <v>0.28570000000000001</v>
      </c>
      <c r="Q154" s="3" t="s">
        <v>6</v>
      </c>
    </row>
    <row r="155" spans="1:17" x14ac:dyDescent="0.35">
      <c r="A155" s="2">
        <v>154</v>
      </c>
      <c r="B155" s="8">
        <v>8</v>
      </c>
      <c r="C155" s="18" t="s">
        <v>2</v>
      </c>
      <c r="D155" s="18">
        <v>60</v>
      </c>
      <c r="E155" s="2">
        <v>743714995</v>
      </c>
      <c r="F155" s="2">
        <v>6855</v>
      </c>
      <c r="G155" s="2">
        <f>Tabelle3[[#This Row],[ Durchsatz]]/120</f>
        <v>57.125</v>
      </c>
      <c r="H155" s="2">
        <v>2</v>
      </c>
      <c r="I155" s="2">
        <v>0</v>
      </c>
      <c r="J155" s="2">
        <f>100-4.97</f>
        <v>95.03</v>
      </c>
      <c r="K155" s="2">
        <f>100-9.53</f>
        <v>90.47</v>
      </c>
      <c r="L155" s="2">
        <f t="shared" si="8"/>
        <v>93.03</v>
      </c>
      <c r="M155" s="2">
        <f t="shared" si="9"/>
        <v>90.47</v>
      </c>
      <c r="N155" s="21">
        <v>0.35580000000000001</v>
      </c>
      <c r="O155" s="21">
        <v>0.30499999999999999</v>
      </c>
      <c r="P155" s="21">
        <v>0.33929999999999999</v>
      </c>
      <c r="Q155" s="3" t="s">
        <v>6</v>
      </c>
    </row>
    <row r="156" spans="1:17" x14ac:dyDescent="0.35">
      <c r="A156" s="2">
        <v>155</v>
      </c>
      <c r="B156" s="8">
        <v>8</v>
      </c>
      <c r="C156" s="18" t="s">
        <v>2</v>
      </c>
      <c r="D156" s="18">
        <v>60</v>
      </c>
      <c r="E156" s="2">
        <v>730135397</v>
      </c>
      <c r="F156" s="2">
        <v>5208</v>
      </c>
      <c r="G156" s="2">
        <f>Tabelle3[[#This Row],[ Durchsatz]]/120</f>
        <v>43.4</v>
      </c>
      <c r="H156" s="2">
        <v>24.92</v>
      </c>
      <c r="I156" s="2">
        <v>23.36</v>
      </c>
      <c r="J156" s="2">
        <f>100-5.36</f>
        <v>94.64</v>
      </c>
      <c r="K156" s="2">
        <f>100-5.05</f>
        <v>94.95</v>
      </c>
      <c r="L156" s="2">
        <f t="shared" si="8"/>
        <v>69.72</v>
      </c>
      <c r="M156" s="2">
        <f t="shared" si="9"/>
        <v>71.59</v>
      </c>
      <c r="N156" s="21">
        <v>0.5212</v>
      </c>
      <c r="O156" s="21">
        <v>0.2369</v>
      </c>
      <c r="P156" s="21">
        <v>0.2419</v>
      </c>
      <c r="Q156" s="3">
        <v>4</v>
      </c>
    </row>
    <row r="157" spans="1:17" x14ac:dyDescent="0.35">
      <c r="A157" s="2">
        <v>156</v>
      </c>
      <c r="B157" s="8">
        <v>8</v>
      </c>
      <c r="C157" s="18" t="s">
        <v>2</v>
      </c>
      <c r="D157" s="18">
        <v>60</v>
      </c>
      <c r="E157" s="2">
        <v>1786771415</v>
      </c>
      <c r="F157" s="2">
        <v>4239</v>
      </c>
      <c r="G157" s="2">
        <f>Tabelle3[[#This Row],[ Durchsatz]]/120</f>
        <v>35.325000000000003</v>
      </c>
      <c r="H157" s="2">
        <v>41.92</v>
      </c>
      <c r="I157" s="2">
        <v>0.1</v>
      </c>
      <c r="J157" s="2">
        <f>100-2.89</f>
        <v>97.11</v>
      </c>
      <c r="K157" s="2">
        <f>100-46.31</f>
        <v>53.69</v>
      </c>
      <c r="L157" s="2">
        <f t="shared" si="8"/>
        <v>55.19</v>
      </c>
      <c r="M157" s="2">
        <f t="shared" si="9"/>
        <v>53.589999999999996</v>
      </c>
      <c r="N157" s="21">
        <v>0.58220000000000005</v>
      </c>
      <c r="O157" s="21">
        <v>0.16650000000000001</v>
      </c>
      <c r="P157" s="21">
        <v>0.25130000000000002</v>
      </c>
      <c r="Q157" s="3">
        <v>3.2</v>
      </c>
    </row>
    <row r="158" spans="1:17" x14ac:dyDescent="0.35">
      <c r="A158" s="2">
        <v>157</v>
      </c>
      <c r="B158" s="8">
        <v>2</v>
      </c>
      <c r="C158" s="18" t="s">
        <v>3</v>
      </c>
      <c r="D158" s="18">
        <v>60</v>
      </c>
      <c r="E158" s="2">
        <v>1573344392</v>
      </c>
      <c r="F158" s="2">
        <v>6938</v>
      </c>
      <c r="G158" s="2">
        <f>Tabelle3[[#This Row],[ Durchsatz]]/120</f>
        <v>57.81666666666667</v>
      </c>
      <c r="H158" s="2">
        <v>1.49</v>
      </c>
      <c r="I158" s="2">
        <v>0.04</v>
      </c>
      <c r="J158" s="2">
        <f>100-5.59</f>
        <v>94.41</v>
      </c>
      <c r="K158" s="2">
        <f>100-7.67</f>
        <v>92.33</v>
      </c>
      <c r="L158" s="2">
        <f t="shared" si="8"/>
        <v>92.92</v>
      </c>
      <c r="M158" s="2">
        <f t="shared" si="9"/>
        <v>92.289999999999992</v>
      </c>
      <c r="N158" s="21">
        <v>0.3609</v>
      </c>
      <c r="O158" s="21">
        <v>0.3332</v>
      </c>
      <c r="P158" s="21">
        <v>0.30599999999999999</v>
      </c>
      <c r="Q158" s="3" t="s">
        <v>6</v>
      </c>
    </row>
    <row r="159" spans="1:17" x14ac:dyDescent="0.35">
      <c r="A159" s="2">
        <v>158</v>
      </c>
      <c r="B159" s="8">
        <v>2</v>
      </c>
      <c r="C159" s="18" t="s">
        <v>3</v>
      </c>
      <c r="D159" s="18">
        <v>60</v>
      </c>
      <c r="E159" s="2">
        <v>2024004016</v>
      </c>
      <c r="F159" s="2">
        <v>6995</v>
      </c>
      <c r="G159" s="2">
        <f>Tabelle3[[#This Row],[ Durchsatz]]/120</f>
        <v>58.291666666666664</v>
      </c>
      <c r="H159" s="2">
        <v>1.91</v>
      </c>
      <c r="I159" s="2">
        <v>0</v>
      </c>
      <c r="J159" s="2">
        <f>100-8.22</f>
        <v>91.78</v>
      </c>
      <c r="K159" s="2">
        <f>100-4.67</f>
        <v>95.33</v>
      </c>
      <c r="L159" s="2">
        <f t="shared" si="8"/>
        <v>89.87</v>
      </c>
      <c r="M159" s="2">
        <f t="shared" si="9"/>
        <v>95.33</v>
      </c>
      <c r="N159" s="21">
        <v>0.3372</v>
      </c>
      <c r="O159" s="21">
        <v>0.32679999999999998</v>
      </c>
      <c r="P159" s="21">
        <v>0.33600000000000002</v>
      </c>
      <c r="Q159" s="3" t="s">
        <v>6</v>
      </c>
    </row>
    <row r="160" spans="1:17" x14ac:dyDescent="0.35">
      <c r="A160" s="2">
        <v>159</v>
      </c>
      <c r="B160" s="8">
        <v>2</v>
      </c>
      <c r="C160" s="18" t="s">
        <v>3</v>
      </c>
      <c r="D160" s="18">
        <v>60</v>
      </c>
      <c r="E160" s="2">
        <v>1039053136</v>
      </c>
      <c r="F160" s="2">
        <v>6992</v>
      </c>
      <c r="G160" s="2">
        <f>Tabelle3[[#This Row],[ Durchsatz]]/120</f>
        <v>58.266666666666666</v>
      </c>
      <c r="H160" s="2">
        <v>1.77</v>
      </c>
      <c r="I160" s="2">
        <v>0.02</v>
      </c>
      <c r="J160" s="2">
        <f>100-5.88</f>
        <v>94.12</v>
      </c>
      <c r="K160" s="2">
        <f>100-7.05</f>
        <v>92.95</v>
      </c>
      <c r="L160" s="2">
        <f t="shared" si="8"/>
        <v>92.350000000000009</v>
      </c>
      <c r="M160" s="2">
        <f t="shared" si="9"/>
        <v>92.93</v>
      </c>
      <c r="N160" s="21">
        <v>0.33040000000000003</v>
      </c>
      <c r="O160" s="21">
        <v>0.32179999999999997</v>
      </c>
      <c r="P160" s="21">
        <v>0.3478</v>
      </c>
      <c r="Q160" s="3" t="s">
        <v>6</v>
      </c>
    </row>
    <row r="161" spans="1:17" x14ac:dyDescent="0.35">
      <c r="A161" s="2">
        <v>160</v>
      </c>
      <c r="B161" s="8">
        <v>4</v>
      </c>
      <c r="C161" s="18" t="s">
        <v>3</v>
      </c>
      <c r="D161" s="18">
        <v>60</v>
      </c>
      <c r="E161" s="2">
        <v>1641158161</v>
      </c>
      <c r="F161" s="2">
        <v>7192</v>
      </c>
      <c r="G161" s="2">
        <f>Tabelle3[[#This Row],[ Durchsatz]]/120</f>
        <v>59.93333333333333</v>
      </c>
      <c r="H161" s="2">
        <v>1.57</v>
      </c>
      <c r="I161" s="2">
        <v>0</v>
      </c>
      <c r="J161" s="2">
        <f>100-4.72</f>
        <v>95.28</v>
      </c>
      <c r="K161" s="2">
        <f>100-9.45</f>
        <v>90.55</v>
      </c>
      <c r="L161" s="2">
        <f t="shared" si="8"/>
        <v>93.710000000000008</v>
      </c>
      <c r="M161" s="2">
        <f t="shared" si="9"/>
        <v>90.55</v>
      </c>
      <c r="N161" s="21">
        <v>0.28789999999999999</v>
      </c>
      <c r="O161" s="21">
        <v>0.33710000000000001</v>
      </c>
      <c r="P161" s="21">
        <v>0.375</v>
      </c>
      <c r="Q161" s="3" t="s">
        <v>6</v>
      </c>
    </row>
    <row r="162" spans="1:17" x14ac:dyDescent="0.35">
      <c r="A162" s="2">
        <v>161</v>
      </c>
      <c r="B162" s="8">
        <v>4</v>
      </c>
      <c r="C162" s="18" t="s">
        <v>3</v>
      </c>
      <c r="D162" s="18">
        <v>60</v>
      </c>
      <c r="E162" s="2">
        <v>394557388</v>
      </c>
      <c r="F162" s="2">
        <v>7197</v>
      </c>
      <c r="G162" s="2">
        <f>Tabelle3[[#This Row],[ Durchsatz]]/120</f>
        <v>59.975000000000001</v>
      </c>
      <c r="H162" s="2">
        <v>1.46</v>
      </c>
      <c r="I162" s="2">
        <v>0</v>
      </c>
      <c r="J162" s="2">
        <f>100-5.08</f>
        <v>94.92</v>
      </c>
      <c r="K162" s="2">
        <f>100-9.69</f>
        <v>90.31</v>
      </c>
      <c r="L162" s="2">
        <f t="shared" ref="L162:L209" si="10">J162-H162</f>
        <v>93.460000000000008</v>
      </c>
      <c r="M162" s="2">
        <f t="shared" ref="M162:M209" si="11">K162-I162</f>
        <v>90.31</v>
      </c>
      <c r="N162" s="21">
        <v>0.28089999999999998</v>
      </c>
      <c r="O162" s="21">
        <v>0.32129999999999997</v>
      </c>
      <c r="P162" s="21">
        <v>0.3977</v>
      </c>
      <c r="Q162" s="3" t="s">
        <v>6</v>
      </c>
    </row>
    <row r="163" spans="1:17" x14ac:dyDescent="0.35">
      <c r="A163" s="2">
        <v>162</v>
      </c>
      <c r="B163" s="8">
        <v>4</v>
      </c>
      <c r="C163" s="18" t="s">
        <v>3</v>
      </c>
      <c r="D163" s="18">
        <v>60</v>
      </c>
      <c r="E163" s="2">
        <v>1178529351</v>
      </c>
      <c r="F163" s="2">
        <v>7092</v>
      </c>
      <c r="G163" s="2">
        <f>Tabelle3[[#This Row],[ Durchsatz]]/120</f>
        <v>59.1</v>
      </c>
      <c r="H163" s="2">
        <v>1.56</v>
      </c>
      <c r="I163" s="2">
        <v>0</v>
      </c>
      <c r="J163" s="2">
        <f>100-6.24</f>
        <v>93.76</v>
      </c>
      <c r="K163" s="2">
        <f>100-8.26</f>
        <v>91.74</v>
      </c>
      <c r="L163" s="2">
        <f t="shared" si="10"/>
        <v>92.2</v>
      </c>
      <c r="M163" s="2">
        <f t="shared" si="11"/>
        <v>91.74</v>
      </c>
      <c r="N163" s="21">
        <v>0.31240000000000001</v>
      </c>
      <c r="O163" s="21">
        <v>0.33600000000000002</v>
      </c>
      <c r="P163" s="21">
        <v>0.35160000000000002</v>
      </c>
      <c r="Q163" s="3" t="s">
        <v>6</v>
      </c>
    </row>
    <row r="164" spans="1:17" x14ac:dyDescent="0.35">
      <c r="A164" s="2">
        <v>163</v>
      </c>
      <c r="B164" s="8">
        <v>6</v>
      </c>
      <c r="C164" s="18" t="s">
        <v>3</v>
      </c>
      <c r="D164" s="18">
        <v>60</v>
      </c>
      <c r="E164" s="2">
        <v>237994023</v>
      </c>
      <c r="F164" s="2">
        <v>7202</v>
      </c>
      <c r="G164" s="2">
        <f>Tabelle3[[#This Row],[ Durchsatz]]/120</f>
        <v>60.016666666666666</v>
      </c>
      <c r="H164" s="2">
        <v>1.91</v>
      </c>
      <c r="I164" s="2">
        <v>0</v>
      </c>
      <c r="J164" s="2">
        <f>100-7.95</f>
        <v>92.05</v>
      </c>
      <c r="K164" s="2">
        <f>100-10.07</f>
        <v>89.93</v>
      </c>
      <c r="L164" s="2">
        <f t="shared" si="10"/>
        <v>90.14</v>
      </c>
      <c r="M164" s="2">
        <f t="shared" si="11"/>
        <v>89.93</v>
      </c>
      <c r="N164" s="21">
        <v>0.2712</v>
      </c>
      <c r="O164" s="21">
        <v>0.31530000000000002</v>
      </c>
      <c r="P164" s="21">
        <v>0.41360000000000002</v>
      </c>
      <c r="Q164" s="3" t="s">
        <v>6</v>
      </c>
    </row>
    <row r="165" spans="1:17" x14ac:dyDescent="0.35">
      <c r="A165" s="2">
        <v>164</v>
      </c>
      <c r="B165" s="8">
        <v>6</v>
      </c>
      <c r="C165" s="18" t="s">
        <v>3</v>
      </c>
      <c r="D165" s="18">
        <v>60</v>
      </c>
      <c r="E165" s="2">
        <v>1574745340</v>
      </c>
      <c r="F165" s="2">
        <v>7193</v>
      </c>
      <c r="G165" s="2">
        <f>Tabelle3[[#This Row],[ Durchsatz]]/120</f>
        <v>59.94166666666667</v>
      </c>
      <c r="H165" s="2">
        <v>1.17</v>
      </c>
      <c r="I165" s="2">
        <v>0</v>
      </c>
      <c r="J165" s="2">
        <f>100-11.27</f>
        <v>88.73</v>
      </c>
      <c r="K165" s="2">
        <f>100-10.92</f>
        <v>89.08</v>
      </c>
      <c r="L165" s="2">
        <f t="shared" si="10"/>
        <v>87.56</v>
      </c>
      <c r="M165" s="2">
        <f t="shared" si="11"/>
        <v>89.08</v>
      </c>
      <c r="N165" s="21">
        <v>0.28760000000000002</v>
      </c>
      <c r="O165" s="21">
        <v>0.33510000000000001</v>
      </c>
      <c r="P165" s="21">
        <v>0.37730000000000002</v>
      </c>
      <c r="Q165" s="3" t="s">
        <v>6</v>
      </c>
    </row>
    <row r="166" spans="1:17" x14ac:dyDescent="0.35">
      <c r="A166" s="2">
        <v>165</v>
      </c>
      <c r="B166" s="8">
        <v>6</v>
      </c>
      <c r="C166" s="18" t="s">
        <v>3</v>
      </c>
      <c r="D166" s="18">
        <v>60</v>
      </c>
      <c r="E166" s="2">
        <v>2130197720</v>
      </c>
      <c r="F166" s="2">
        <v>7177</v>
      </c>
      <c r="G166" s="2">
        <f>Tabelle3[[#This Row],[ Durchsatz]]/120</f>
        <v>59.80833333333333</v>
      </c>
      <c r="H166" s="2">
        <v>1.18</v>
      </c>
      <c r="I166" s="2">
        <v>0</v>
      </c>
      <c r="J166" s="2">
        <f>100-12.37</f>
        <v>87.63</v>
      </c>
      <c r="K166" s="2">
        <f>100-10.71</f>
        <v>89.289999999999992</v>
      </c>
      <c r="L166" s="2">
        <f t="shared" si="10"/>
        <v>86.449999999999989</v>
      </c>
      <c r="M166" s="2">
        <f t="shared" si="11"/>
        <v>89.289999999999992</v>
      </c>
      <c r="N166" s="21">
        <v>0.29649999999999999</v>
      </c>
      <c r="O166" s="21">
        <v>0.34339999999999998</v>
      </c>
      <c r="P166" s="21">
        <v>0.36020000000000002</v>
      </c>
      <c r="Q166" s="3" t="s">
        <v>6</v>
      </c>
    </row>
    <row r="167" spans="1:17" x14ac:dyDescent="0.35">
      <c r="A167" s="2">
        <v>166</v>
      </c>
      <c r="B167" s="8">
        <v>8</v>
      </c>
      <c r="C167" s="18" t="s">
        <v>3</v>
      </c>
      <c r="D167" s="18">
        <v>60</v>
      </c>
      <c r="E167" s="2">
        <v>1655446656</v>
      </c>
      <c r="F167" s="2">
        <v>7215</v>
      </c>
      <c r="G167" s="2">
        <f>Tabelle3[[#This Row],[ Durchsatz]]/120</f>
        <v>60.125</v>
      </c>
      <c r="H167" s="2">
        <v>2.57</v>
      </c>
      <c r="I167" s="2">
        <v>0.01</v>
      </c>
      <c r="J167" s="2">
        <f>100-10.06</f>
        <v>89.94</v>
      </c>
      <c r="K167" s="2">
        <f>100-11.28</f>
        <v>88.72</v>
      </c>
      <c r="L167" s="2">
        <f t="shared" si="10"/>
        <v>87.37</v>
      </c>
      <c r="M167" s="2">
        <f t="shared" si="11"/>
        <v>88.71</v>
      </c>
      <c r="N167" s="21">
        <v>0.26490000000000002</v>
      </c>
      <c r="O167" s="21">
        <v>0.28789999999999999</v>
      </c>
      <c r="P167" s="21">
        <v>0.4471</v>
      </c>
      <c r="Q167" s="3" t="s">
        <v>6</v>
      </c>
    </row>
    <row r="168" spans="1:17" x14ac:dyDescent="0.35">
      <c r="A168" s="2">
        <v>167</v>
      </c>
      <c r="B168" s="8">
        <v>8</v>
      </c>
      <c r="C168" s="18" t="s">
        <v>3</v>
      </c>
      <c r="D168" s="18">
        <v>60</v>
      </c>
      <c r="E168" s="2">
        <v>1346796045</v>
      </c>
      <c r="F168" s="2">
        <v>7200</v>
      </c>
      <c r="G168" s="2">
        <f>Tabelle3[[#This Row],[ Durchsatz]]/120</f>
        <v>60</v>
      </c>
      <c r="H168" s="2">
        <v>1.35</v>
      </c>
      <c r="I168" s="2">
        <v>0</v>
      </c>
      <c r="J168" s="2">
        <f>100-13.24</f>
        <v>86.76</v>
      </c>
      <c r="K168" s="2">
        <f>100-10.52</f>
        <v>89.48</v>
      </c>
      <c r="L168" s="2">
        <f t="shared" si="10"/>
        <v>85.410000000000011</v>
      </c>
      <c r="M168" s="2">
        <f t="shared" si="11"/>
        <v>89.48</v>
      </c>
      <c r="N168" s="21">
        <v>0.29699999999999999</v>
      </c>
      <c r="O168" s="21">
        <v>0.35049999999999998</v>
      </c>
      <c r="P168" s="21">
        <v>0.35249999999999998</v>
      </c>
      <c r="Q168" s="3" t="s">
        <v>6</v>
      </c>
    </row>
    <row r="169" spans="1:17" x14ac:dyDescent="0.35">
      <c r="A169" s="2">
        <v>168</v>
      </c>
      <c r="B169" s="8">
        <v>8</v>
      </c>
      <c r="C169" s="18" t="s">
        <v>3</v>
      </c>
      <c r="D169" s="18">
        <v>60</v>
      </c>
      <c r="E169" s="2">
        <v>1503626751</v>
      </c>
      <c r="F169" s="2">
        <v>7200</v>
      </c>
      <c r="G169" s="2">
        <f>Tabelle3[[#This Row],[ Durchsatz]]/120</f>
        <v>60</v>
      </c>
      <c r="H169" s="2">
        <v>1.26</v>
      </c>
      <c r="I169" s="2">
        <v>0</v>
      </c>
      <c r="J169" s="2">
        <f>100-11.44</f>
        <v>88.56</v>
      </c>
      <c r="K169" s="2">
        <f>100-11.44</f>
        <v>88.56</v>
      </c>
      <c r="L169" s="2">
        <f t="shared" si="10"/>
        <v>87.3</v>
      </c>
      <c r="M169" s="2">
        <f t="shared" si="11"/>
        <v>88.56</v>
      </c>
      <c r="N169" s="21">
        <v>0.28720000000000001</v>
      </c>
      <c r="O169" s="21">
        <v>0.33739999999999998</v>
      </c>
      <c r="P169" s="21">
        <v>0.37540000000000001</v>
      </c>
      <c r="Q169" s="3" t="s">
        <v>6</v>
      </c>
    </row>
    <row r="170" spans="1:17" x14ac:dyDescent="0.35">
      <c r="A170" s="2">
        <v>169</v>
      </c>
      <c r="B170" s="8">
        <v>2</v>
      </c>
      <c r="C170" s="18" t="s">
        <v>2</v>
      </c>
      <c r="D170" s="18">
        <v>61</v>
      </c>
      <c r="E170" s="2">
        <v>1698919285</v>
      </c>
      <c r="F170" s="2">
        <v>6686</v>
      </c>
      <c r="G170" s="2">
        <f>Tabelle3[[#This Row],[ Durchsatz]]/120</f>
        <v>55.716666666666669</v>
      </c>
      <c r="H170" s="2">
        <v>1.48</v>
      </c>
      <c r="I170" s="2">
        <v>0.01</v>
      </c>
      <c r="J170" s="2">
        <f>100-5.34</f>
        <v>94.66</v>
      </c>
      <c r="K170" s="2">
        <f>100-10.69</f>
        <v>89.31</v>
      </c>
      <c r="L170" s="2">
        <f t="shared" si="10"/>
        <v>93.179999999999993</v>
      </c>
      <c r="M170" s="2">
        <f t="shared" si="11"/>
        <v>89.3</v>
      </c>
      <c r="N170" s="21">
        <v>0.40689999999999998</v>
      </c>
      <c r="O170" s="21">
        <v>0.3206</v>
      </c>
      <c r="P170" s="21">
        <v>0.27260000000000001</v>
      </c>
      <c r="Q170" s="3" t="s">
        <v>6</v>
      </c>
    </row>
    <row r="171" spans="1:17" x14ac:dyDescent="0.35">
      <c r="A171" s="2">
        <v>170</v>
      </c>
      <c r="B171" s="8">
        <v>2</v>
      </c>
      <c r="C171" s="18" t="s">
        <v>2</v>
      </c>
      <c r="D171" s="18">
        <v>61</v>
      </c>
      <c r="E171" s="2">
        <v>1036737179</v>
      </c>
      <c r="F171" s="2">
        <v>6674</v>
      </c>
      <c r="G171" s="2">
        <f>Tabelle3[[#This Row],[ Durchsatz]]/120</f>
        <v>55.616666666666667</v>
      </c>
      <c r="H171" s="2">
        <v>0.97</v>
      </c>
      <c r="I171" s="2">
        <v>0</v>
      </c>
      <c r="J171" s="2">
        <f>100-8.92</f>
        <v>91.08</v>
      </c>
      <c r="K171" s="2">
        <f>100-6.94</f>
        <v>93.06</v>
      </c>
      <c r="L171" s="2">
        <f t="shared" si="10"/>
        <v>90.11</v>
      </c>
      <c r="M171" s="2">
        <f t="shared" si="11"/>
        <v>93.06</v>
      </c>
      <c r="N171" s="21">
        <v>0.40939999999999999</v>
      </c>
      <c r="O171" s="21">
        <v>0.33129999999999998</v>
      </c>
      <c r="P171" s="21">
        <v>0.25929999999999997</v>
      </c>
      <c r="Q171" s="3" t="s">
        <v>6</v>
      </c>
    </row>
    <row r="172" spans="1:17" x14ac:dyDescent="0.35">
      <c r="A172" s="2">
        <v>171</v>
      </c>
      <c r="B172" s="8">
        <v>2</v>
      </c>
      <c r="C172" s="18" t="s">
        <v>2</v>
      </c>
      <c r="D172" s="18">
        <v>61</v>
      </c>
      <c r="E172" s="2">
        <v>1545519620</v>
      </c>
      <c r="F172" s="2">
        <v>6703</v>
      </c>
      <c r="G172" s="2">
        <f>Tabelle3[[#This Row],[ Durchsatz]]/120</f>
        <v>55.858333333333334</v>
      </c>
      <c r="H172" s="2">
        <v>0.82</v>
      </c>
      <c r="I172" s="2">
        <v>0</v>
      </c>
      <c r="J172" s="2">
        <f>100-4.14</f>
        <v>95.86</v>
      </c>
      <c r="K172" s="2">
        <f>100-10</f>
        <v>90</v>
      </c>
      <c r="L172" s="2">
        <f t="shared" si="10"/>
        <v>95.04</v>
      </c>
      <c r="M172" s="2">
        <f t="shared" si="11"/>
        <v>90</v>
      </c>
      <c r="N172" s="21">
        <v>0.35310000000000002</v>
      </c>
      <c r="O172" s="21">
        <v>0.57909999999999995</v>
      </c>
      <c r="P172" s="21">
        <v>6.7900000000000002E-2</v>
      </c>
      <c r="Q172" s="3" t="s">
        <v>6</v>
      </c>
    </row>
    <row r="173" spans="1:17" x14ac:dyDescent="0.35">
      <c r="A173" s="2">
        <v>172</v>
      </c>
      <c r="B173" s="8">
        <v>4</v>
      </c>
      <c r="C173" s="18" t="s">
        <v>2</v>
      </c>
      <c r="D173" s="18">
        <v>61</v>
      </c>
      <c r="E173" s="2">
        <v>1125181029</v>
      </c>
      <c r="F173" s="2">
        <v>6806</v>
      </c>
      <c r="G173" s="2">
        <f>Tabelle3[[#This Row],[ Durchsatz]]/120</f>
        <v>56.716666666666669</v>
      </c>
      <c r="H173" s="2">
        <v>1.47</v>
      </c>
      <c r="I173" s="2">
        <v>0</v>
      </c>
      <c r="J173" s="2">
        <f>100-8.42</f>
        <v>91.58</v>
      </c>
      <c r="K173" s="2">
        <f>100-6.36</f>
        <v>93.64</v>
      </c>
      <c r="L173" s="2">
        <f t="shared" si="10"/>
        <v>90.11</v>
      </c>
      <c r="M173" s="2">
        <f t="shared" si="11"/>
        <v>93.64</v>
      </c>
      <c r="N173" s="21">
        <v>0.36699999999999999</v>
      </c>
      <c r="O173" s="21">
        <v>0.30649999999999999</v>
      </c>
      <c r="P173" s="21">
        <v>0.3266</v>
      </c>
      <c r="Q173" s="3" t="s">
        <v>6</v>
      </c>
    </row>
    <row r="174" spans="1:17" x14ac:dyDescent="0.35">
      <c r="A174" s="2">
        <v>173</v>
      </c>
      <c r="B174" s="8">
        <v>4</v>
      </c>
      <c r="C174" s="18" t="s">
        <v>2</v>
      </c>
      <c r="D174" s="18">
        <v>61</v>
      </c>
      <c r="E174" s="2">
        <v>1781039308</v>
      </c>
      <c r="F174" s="2">
        <v>6894</v>
      </c>
      <c r="G174" s="2">
        <f>Tabelle3[[#This Row],[ Durchsatz]]/120</f>
        <v>57.45</v>
      </c>
      <c r="H174" s="2">
        <v>1.45</v>
      </c>
      <c r="I174" s="2">
        <v>0</v>
      </c>
      <c r="J174" s="2">
        <f>100-7.01</f>
        <v>92.99</v>
      </c>
      <c r="K174" s="2">
        <f>100-6.68</f>
        <v>93.32</v>
      </c>
      <c r="L174" s="2">
        <f t="shared" si="10"/>
        <v>91.539999999999992</v>
      </c>
      <c r="M174" s="2">
        <f t="shared" si="11"/>
        <v>93.32</v>
      </c>
      <c r="N174" s="21">
        <v>0.3584</v>
      </c>
      <c r="O174" s="21">
        <v>0.31480000000000002</v>
      </c>
      <c r="P174" s="21">
        <v>0.32679999999999998</v>
      </c>
      <c r="Q174" s="3" t="s">
        <v>6</v>
      </c>
    </row>
    <row r="175" spans="1:17" x14ac:dyDescent="0.35">
      <c r="A175" s="2">
        <v>174</v>
      </c>
      <c r="B175" s="8">
        <v>4</v>
      </c>
      <c r="C175" s="18" t="s">
        <v>2</v>
      </c>
      <c r="D175" s="18">
        <v>61</v>
      </c>
      <c r="E175" s="2">
        <v>1559540233</v>
      </c>
      <c r="F175" s="2">
        <v>6632</v>
      </c>
      <c r="G175" s="2">
        <f>Tabelle3[[#This Row],[ Durchsatz]]/120</f>
        <v>55.266666666666666</v>
      </c>
      <c r="H175" s="2">
        <v>1.02</v>
      </c>
      <c r="I175" s="2">
        <v>0</v>
      </c>
      <c r="J175" s="2">
        <f>100-9.89</f>
        <v>90.11</v>
      </c>
      <c r="K175" s="2">
        <f>100-6.88</f>
        <v>93.12</v>
      </c>
      <c r="L175" s="2">
        <f t="shared" si="10"/>
        <v>89.09</v>
      </c>
      <c r="M175" s="2">
        <f t="shared" si="11"/>
        <v>93.12</v>
      </c>
      <c r="N175" s="21">
        <v>0.41760000000000003</v>
      </c>
      <c r="O175" s="21">
        <v>0.32890000000000003</v>
      </c>
      <c r="P175" s="21">
        <v>0.2535</v>
      </c>
      <c r="Q175" s="3" t="s">
        <v>6</v>
      </c>
    </row>
    <row r="176" spans="1:17" x14ac:dyDescent="0.35">
      <c r="A176" s="2">
        <v>175</v>
      </c>
      <c r="B176" s="8">
        <v>6</v>
      </c>
      <c r="C176" s="18" t="s">
        <v>2</v>
      </c>
      <c r="D176" s="18">
        <v>61</v>
      </c>
      <c r="E176" s="2">
        <v>403238963</v>
      </c>
      <c r="F176" s="2">
        <v>6616</v>
      </c>
      <c r="G176" s="2">
        <f>Tabelle3[[#This Row],[ Durchsatz]]/120</f>
        <v>55.133333333333333</v>
      </c>
      <c r="H176" s="2">
        <v>5.85</v>
      </c>
      <c r="I176" s="2">
        <v>3.97</v>
      </c>
      <c r="J176" s="2">
        <f>100-5.09</f>
        <v>94.91</v>
      </c>
      <c r="K176" s="2">
        <f>100-6.58</f>
        <v>93.42</v>
      </c>
      <c r="L176" s="2">
        <f t="shared" si="10"/>
        <v>89.06</v>
      </c>
      <c r="M176" s="2">
        <f t="shared" si="11"/>
        <v>89.45</v>
      </c>
      <c r="N176" s="21">
        <v>0.37130000000000002</v>
      </c>
      <c r="O176" s="21">
        <v>0.29870000000000002</v>
      </c>
      <c r="P176" s="21">
        <v>0.33</v>
      </c>
      <c r="Q176" s="3" t="s">
        <v>6</v>
      </c>
    </row>
    <row r="177" spans="1:17" x14ac:dyDescent="0.35">
      <c r="A177" s="2">
        <v>176</v>
      </c>
      <c r="B177" s="8">
        <v>6</v>
      </c>
      <c r="C177" s="18" t="s">
        <v>2</v>
      </c>
      <c r="D177" s="18">
        <v>61</v>
      </c>
      <c r="E177" s="2">
        <v>1311289713</v>
      </c>
      <c r="F177" s="2">
        <v>6912</v>
      </c>
      <c r="G177" s="2">
        <f>Tabelle3[[#This Row],[ Durchsatz]]/120</f>
        <v>57.6</v>
      </c>
      <c r="H177" s="2">
        <v>1.68</v>
      </c>
      <c r="I177" s="2">
        <v>0</v>
      </c>
      <c r="J177" s="2">
        <f>100-3.1</f>
        <v>96.9</v>
      </c>
      <c r="K177" s="2">
        <f>100-11.13</f>
        <v>88.87</v>
      </c>
      <c r="L177" s="2">
        <f t="shared" si="10"/>
        <v>95.22</v>
      </c>
      <c r="M177" s="2">
        <f t="shared" si="11"/>
        <v>88.87</v>
      </c>
      <c r="N177" s="21">
        <v>0.35610000000000003</v>
      </c>
      <c r="O177" s="21">
        <v>0.30909999999999999</v>
      </c>
      <c r="P177" s="21">
        <v>0.33479999999999999</v>
      </c>
      <c r="Q177" s="3" t="s">
        <v>6</v>
      </c>
    </row>
    <row r="178" spans="1:17" x14ac:dyDescent="0.35">
      <c r="A178" s="2">
        <v>177</v>
      </c>
      <c r="B178" s="8">
        <v>6</v>
      </c>
      <c r="C178" s="18" t="s">
        <v>2</v>
      </c>
      <c r="D178" s="18">
        <v>61</v>
      </c>
      <c r="E178" s="2">
        <v>1596417370</v>
      </c>
      <c r="F178" s="2">
        <v>6999</v>
      </c>
      <c r="G178" s="2">
        <f>Tabelle3[[#This Row],[ Durchsatz]]/120</f>
        <v>58.325000000000003</v>
      </c>
      <c r="H178" s="2">
        <v>1.96</v>
      </c>
      <c r="I178" s="2">
        <v>0.01</v>
      </c>
      <c r="J178" s="2">
        <f>100-8.11</f>
        <v>91.89</v>
      </c>
      <c r="K178" s="2">
        <f>100-5.55</f>
        <v>94.45</v>
      </c>
      <c r="L178" s="2">
        <f t="shared" si="10"/>
        <v>89.93</v>
      </c>
      <c r="M178" s="2">
        <f t="shared" si="11"/>
        <v>94.44</v>
      </c>
      <c r="N178" s="21">
        <v>0.3296</v>
      </c>
      <c r="O178" s="21">
        <v>0.31030000000000002</v>
      </c>
      <c r="P178" s="21">
        <v>0.36020000000000002</v>
      </c>
      <c r="Q178" s="3" t="s">
        <v>6</v>
      </c>
    </row>
    <row r="179" spans="1:17" x14ac:dyDescent="0.35">
      <c r="A179" s="2">
        <v>178</v>
      </c>
      <c r="B179" s="8">
        <v>8</v>
      </c>
      <c r="C179" s="18" t="s">
        <v>2</v>
      </c>
      <c r="D179" s="18">
        <v>61</v>
      </c>
      <c r="E179" s="2">
        <v>533038580</v>
      </c>
      <c r="F179" s="2">
        <v>4258</v>
      </c>
      <c r="G179" s="2">
        <f>Tabelle3[[#This Row],[ Durchsatz]]/120</f>
        <v>35.483333333333334</v>
      </c>
      <c r="H179" s="2">
        <v>36.549999999999997</v>
      </c>
      <c r="I179" s="2">
        <v>0.01</v>
      </c>
      <c r="J179" s="2">
        <f>100-6.85</f>
        <v>93.15</v>
      </c>
      <c r="K179" s="2">
        <f>100-42.37</f>
        <v>57.63</v>
      </c>
      <c r="L179" s="2">
        <f t="shared" si="10"/>
        <v>56.600000000000009</v>
      </c>
      <c r="M179" s="2">
        <f t="shared" si="11"/>
        <v>57.620000000000005</v>
      </c>
      <c r="N179" s="21">
        <v>0.61850000000000005</v>
      </c>
      <c r="O179" s="21">
        <v>0.18640000000000001</v>
      </c>
      <c r="P179" s="21">
        <v>0.1951</v>
      </c>
      <c r="Q179" s="3">
        <v>3.4</v>
      </c>
    </row>
    <row r="180" spans="1:17" x14ac:dyDescent="0.35">
      <c r="A180" s="2">
        <v>179</v>
      </c>
      <c r="B180" s="8">
        <v>8</v>
      </c>
      <c r="C180" s="18" t="s">
        <v>2</v>
      </c>
      <c r="D180" s="18">
        <v>61</v>
      </c>
      <c r="E180" s="2">
        <v>735673323</v>
      </c>
      <c r="F180" s="2">
        <v>6858</v>
      </c>
      <c r="G180" s="2">
        <f>Tabelle3[[#This Row],[ Durchsatz]]/120</f>
        <v>57.15</v>
      </c>
      <c r="H180" s="2">
        <v>2.44</v>
      </c>
      <c r="I180" s="2">
        <v>0</v>
      </c>
      <c r="J180" s="2">
        <f>100-7.26</f>
        <v>92.74</v>
      </c>
      <c r="K180" s="2">
        <f>100-7.23</f>
        <v>92.77</v>
      </c>
      <c r="L180" s="2">
        <f t="shared" si="10"/>
        <v>90.3</v>
      </c>
      <c r="M180" s="2">
        <f t="shared" si="11"/>
        <v>92.77</v>
      </c>
      <c r="N180" s="21">
        <v>0.34289999999999998</v>
      </c>
      <c r="O180" s="21">
        <v>0.27829999999999999</v>
      </c>
      <c r="P180" s="21">
        <v>0.37890000000000001</v>
      </c>
      <c r="Q180" s="3" t="s">
        <v>6</v>
      </c>
    </row>
    <row r="181" spans="1:17" x14ac:dyDescent="0.35">
      <c r="A181" s="2">
        <v>180</v>
      </c>
      <c r="B181" s="8">
        <v>8</v>
      </c>
      <c r="C181" s="18" t="s">
        <v>2</v>
      </c>
      <c r="D181" s="18">
        <v>61</v>
      </c>
      <c r="E181" s="2">
        <v>977866010</v>
      </c>
      <c r="F181" s="2">
        <v>6690</v>
      </c>
      <c r="G181" s="2">
        <f>Tabelle3[[#This Row],[ Durchsatz]]/120</f>
        <v>55.75</v>
      </c>
      <c r="H181" s="2">
        <v>2.4900000000000002</v>
      </c>
      <c r="I181" s="2">
        <v>0.1</v>
      </c>
      <c r="J181" s="2">
        <f>100-9.43</f>
        <v>90.57</v>
      </c>
      <c r="K181" s="2">
        <f>100-9.15</f>
        <v>90.85</v>
      </c>
      <c r="L181" s="2">
        <f t="shared" si="10"/>
        <v>88.08</v>
      </c>
      <c r="M181" s="2">
        <f t="shared" si="11"/>
        <v>90.75</v>
      </c>
      <c r="N181" s="21">
        <v>0.38379999999999997</v>
      </c>
      <c r="O181" s="21">
        <v>0.27279999999999999</v>
      </c>
      <c r="P181" s="21">
        <v>0.34339999999999998</v>
      </c>
      <c r="Q181" s="3" t="s">
        <v>6</v>
      </c>
    </row>
    <row r="182" spans="1:17" x14ac:dyDescent="0.35">
      <c r="A182" s="2">
        <v>181</v>
      </c>
      <c r="B182" s="8">
        <v>2</v>
      </c>
      <c r="C182" s="18" t="s">
        <v>3</v>
      </c>
      <c r="D182" s="18">
        <v>61</v>
      </c>
      <c r="E182" s="2">
        <v>1563149806</v>
      </c>
      <c r="F182" s="2">
        <v>6972</v>
      </c>
      <c r="G182" s="2">
        <f>Tabelle3[[#This Row],[ Durchsatz]]/120</f>
        <v>58.1</v>
      </c>
      <c r="H182" s="2">
        <v>1.35</v>
      </c>
      <c r="I182" s="2">
        <v>0</v>
      </c>
      <c r="J182" s="2">
        <f>100-6.16</f>
        <v>93.84</v>
      </c>
      <c r="K182" s="2">
        <f>100-7.75</f>
        <v>92.25</v>
      </c>
      <c r="L182" s="2">
        <f t="shared" si="10"/>
        <v>92.490000000000009</v>
      </c>
      <c r="M182" s="2">
        <f t="shared" si="11"/>
        <v>92.25</v>
      </c>
      <c r="N182" s="21">
        <v>0.34870000000000001</v>
      </c>
      <c r="O182" s="21">
        <v>0.33400000000000002</v>
      </c>
      <c r="P182" s="21">
        <v>0.31730000000000003</v>
      </c>
      <c r="Q182" s="3" t="s">
        <v>6</v>
      </c>
    </row>
    <row r="183" spans="1:17" x14ac:dyDescent="0.35">
      <c r="A183" s="2">
        <v>182</v>
      </c>
      <c r="B183" s="8">
        <v>2</v>
      </c>
      <c r="C183" s="18" t="s">
        <v>3</v>
      </c>
      <c r="D183" s="18">
        <v>61</v>
      </c>
      <c r="E183" s="2">
        <v>1003507545</v>
      </c>
      <c r="F183" s="2">
        <v>6932</v>
      </c>
      <c r="G183" s="2">
        <f>Tabelle3[[#This Row],[ Durchsatz]]/120</f>
        <v>57.766666666666666</v>
      </c>
      <c r="H183" s="2">
        <v>1.4</v>
      </c>
      <c r="I183" s="2">
        <v>0</v>
      </c>
      <c r="J183" s="2">
        <f>100-3.03</f>
        <v>96.97</v>
      </c>
      <c r="K183" s="2">
        <f>100-9.32</f>
        <v>90.68</v>
      </c>
      <c r="L183" s="2">
        <f t="shared" si="10"/>
        <v>95.57</v>
      </c>
      <c r="M183" s="2">
        <f t="shared" si="11"/>
        <v>90.68</v>
      </c>
      <c r="N183" s="21">
        <v>0.35799999999999998</v>
      </c>
      <c r="O183" s="21">
        <v>0.3427</v>
      </c>
      <c r="P183" s="21">
        <v>0.29930000000000001</v>
      </c>
      <c r="Q183" s="3" t="s">
        <v>6</v>
      </c>
    </row>
    <row r="184" spans="1:17" x14ac:dyDescent="0.35">
      <c r="A184" s="2">
        <v>183</v>
      </c>
      <c r="B184" s="8">
        <v>2</v>
      </c>
      <c r="C184" s="18" t="s">
        <v>3</v>
      </c>
      <c r="D184" s="18">
        <v>61</v>
      </c>
      <c r="E184" s="2">
        <v>815061995</v>
      </c>
      <c r="F184" s="2">
        <v>6919</v>
      </c>
      <c r="G184" s="2">
        <f>Tabelle3[[#This Row],[ Durchsatz]]/120</f>
        <v>57.658333333333331</v>
      </c>
      <c r="H184" s="2">
        <v>1</v>
      </c>
      <c r="I184" s="2">
        <v>0</v>
      </c>
      <c r="J184" s="2">
        <f>100-7.18</f>
        <v>92.82</v>
      </c>
      <c r="K184" s="2">
        <f>100-5.62</f>
        <v>94.38</v>
      </c>
      <c r="L184" s="2">
        <f t="shared" si="10"/>
        <v>91.82</v>
      </c>
      <c r="M184" s="2">
        <f t="shared" si="11"/>
        <v>94.38</v>
      </c>
      <c r="N184" s="21">
        <v>0.36409999999999998</v>
      </c>
      <c r="O184" s="21">
        <v>0.34279999999999999</v>
      </c>
      <c r="P184" s="21">
        <v>0.29310000000000003</v>
      </c>
      <c r="Q184" s="3" t="s">
        <v>6</v>
      </c>
    </row>
    <row r="185" spans="1:17" x14ac:dyDescent="0.35">
      <c r="A185" s="2">
        <v>184</v>
      </c>
      <c r="B185" s="8">
        <v>4</v>
      </c>
      <c r="C185" s="18" t="s">
        <v>3</v>
      </c>
      <c r="D185" s="18">
        <v>61</v>
      </c>
      <c r="E185" s="2">
        <v>1564248093</v>
      </c>
      <c r="F185" s="2">
        <v>7290</v>
      </c>
      <c r="G185" s="2">
        <f>Tabelle3[[#This Row],[ Durchsatz]]/120</f>
        <v>60.75</v>
      </c>
      <c r="H185" s="2">
        <v>2.31</v>
      </c>
      <c r="I185" s="2">
        <v>0</v>
      </c>
      <c r="J185" s="2">
        <f>100-4.29</f>
        <v>95.71</v>
      </c>
      <c r="K185" s="2">
        <f>100-7.19</f>
        <v>92.81</v>
      </c>
      <c r="L185" s="2">
        <f t="shared" si="10"/>
        <v>93.399999999999991</v>
      </c>
      <c r="M185" s="2">
        <f t="shared" si="11"/>
        <v>92.81</v>
      </c>
      <c r="N185" s="21">
        <v>0.249</v>
      </c>
      <c r="O185" s="21">
        <v>0.30480000000000002</v>
      </c>
      <c r="P185" s="21">
        <v>0.44629999999999997</v>
      </c>
      <c r="Q185" s="3" t="s">
        <v>6</v>
      </c>
    </row>
    <row r="186" spans="1:17" x14ac:dyDescent="0.35">
      <c r="A186" s="2">
        <v>185</v>
      </c>
      <c r="B186" s="8">
        <v>4</v>
      </c>
      <c r="C186" s="18" t="s">
        <v>3</v>
      </c>
      <c r="D186" s="18">
        <v>61</v>
      </c>
      <c r="E186" s="2">
        <v>726167650</v>
      </c>
      <c r="F186" s="2">
        <v>7270</v>
      </c>
      <c r="G186" s="2">
        <f>Tabelle3[[#This Row],[ Durchsatz]]/120</f>
        <v>60.583333333333336</v>
      </c>
      <c r="H186" s="2">
        <v>2.75</v>
      </c>
      <c r="I186" s="2">
        <v>0</v>
      </c>
      <c r="J186" s="2">
        <f>100-2.83</f>
        <v>97.17</v>
      </c>
      <c r="K186" s="2">
        <f>100-8.53</f>
        <v>91.47</v>
      </c>
      <c r="L186" s="2">
        <f t="shared" si="10"/>
        <v>94.42</v>
      </c>
      <c r="M186" s="2">
        <f t="shared" si="11"/>
        <v>91.47</v>
      </c>
      <c r="N186" s="21">
        <v>0.25009999999999999</v>
      </c>
      <c r="O186" s="21">
        <v>0.29110000000000003</v>
      </c>
      <c r="P186" s="21">
        <v>0.45889999999999997</v>
      </c>
      <c r="Q186" s="3" t="s">
        <v>6</v>
      </c>
    </row>
    <row r="187" spans="1:17" x14ac:dyDescent="0.35">
      <c r="A187" s="2">
        <v>186</v>
      </c>
      <c r="B187" s="8">
        <v>4</v>
      </c>
      <c r="C187" s="18" t="s">
        <v>3</v>
      </c>
      <c r="D187" s="18">
        <v>61</v>
      </c>
      <c r="E187" s="2">
        <v>504866625</v>
      </c>
      <c r="F187" s="2">
        <v>7284</v>
      </c>
      <c r="G187" s="2">
        <f>Tabelle3[[#This Row],[ Durchsatz]]/120</f>
        <v>60.7</v>
      </c>
      <c r="H187" s="2">
        <v>2.2599999999999998</v>
      </c>
      <c r="I187" s="2">
        <v>0</v>
      </c>
      <c r="J187" s="2">
        <f>100-5.61</f>
        <v>94.39</v>
      </c>
      <c r="K187" s="2">
        <f>100-5.6</f>
        <v>94.4</v>
      </c>
      <c r="L187" s="2">
        <f t="shared" si="10"/>
        <v>92.13</v>
      </c>
      <c r="M187" s="2">
        <f t="shared" si="11"/>
        <v>94.4</v>
      </c>
      <c r="N187" s="21">
        <v>0.25590000000000002</v>
      </c>
      <c r="O187" s="21">
        <v>0.31240000000000001</v>
      </c>
      <c r="P187" s="21">
        <v>0.43169999999999997</v>
      </c>
      <c r="Q187" s="3" t="s">
        <v>6</v>
      </c>
    </row>
    <row r="188" spans="1:17" x14ac:dyDescent="0.35">
      <c r="A188" s="2">
        <v>187</v>
      </c>
      <c r="B188" s="8">
        <v>6</v>
      </c>
      <c r="C188" s="18" t="s">
        <v>3</v>
      </c>
      <c r="D188" s="18">
        <v>61</v>
      </c>
      <c r="E188" s="2">
        <v>1741108054</v>
      </c>
      <c r="F188" s="2">
        <v>7311</v>
      </c>
      <c r="G188" s="2">
        <f>Tabelle3[[#This Row],[ Durchsatz]]/120</f>
        <v>60.924999999999997</v>
      </c>
      <c r="H188" s="2">
        <v>2.0299999999999998</v>
      </c>
      <c r="I188" s="2">
        <v>0</v>
      </c>
      <c r="J188" s="2">
        <f>100-6.99</f>
        <v>93.01</v>
      </c>
      <c r="K188" s="2">
        <f>100-9.54</f>
        <v>90.460000000000008</v>
      </c>
      <c r="L188" s="2">
        <f t="shared" si="10"/>
        <v>90.98</v>
      </c>
      <c r="M188" s="2">
        <f t="shared" si="11"/>
        <v>90.460000000000008</v>
      </c>
      <c r="N188" s="21">
        <v>0.24610000000000001</v>
      </c>
      <c r="O188" s="21">
        <v>0.30990000000000001</v>
      </c>
      <c r="P188" s="21">
        <v>0.44400000000000001</v>
      </c>
      <c r="Q188" s="3" t="s">
        <v>6</v>
      </c>
    </row>
    <row r="189" spans="1:17" x14ac:dyDescent="0.35">
      <c r="A189" s="2">
        <v>188</v>
      </c>
      <c r="B189" s="8">
        <v>6</v>
      </c>
      <c r="C189" s="18" t="s">
        <v>3</v>
      </c>
      <c r="D189" s="18">
        <v>61</v>
      </c>
      <c r="E189" s="2">
        <v>1586368417</v>
      </c>
      <c r="F189" s="2">
        <v>7310</v>
      </c>
      <c r="G189" s="2">
        <f>Tabelle3[[#This Row],[ Durchsatz]]/120</f>
        <v>60.916666666666664</v>
      </c>
      <c r="H189" s="2">
        <v>2.59</v>
      </c>
      <c r="I189" s="2">
        <v>0.02</v>
      </c>
      <c r="J189" s="2">
        <f>100-7.2</f>
        <v>92.8</v>
      </c>
      <c r="K189" s="2">
        <f>100-8.63</f>
        <v>91.37</v>
      </c>
      <c r="L189" s="2">
        <f t="shared" si="10"/>
        <v>90.21</v>
      </c>
      <c r="M189" s="2">
        <f t="shared" si="11"/>
        <v>91.350000000000009</v>
      </c>
      <c r="N189" s="21">
        <v>0.2424</v>
      </c>
      <c r="O189" s="21">
        <v>0.3105</v>
      </c>
      <c r="P189" s="21">
        <v>0.4471</v>
      </c>
      <c r="Q189" s="3" t="s">
        <v>6</v>
      </c>
    </row>
    <row r="190" spans="1:17" x14ac:dyDescent="0.35">
      <c r="A190" s="2">
        <v>189</v>
      </c>
      <c r="B190" s="8">
        <v>6</v>
      </c>
      <c r="C190" s="18" t="s">
        <v>3</v>
      </c>
      <c r="D190" s="18">
        <v>61</v>
      </c>
      <c r="E190" s="2">
        <v>994933184</v>
      </c>
      <c r="F190" s="2">
        <v>7311</v>
      </c>
      <c r="G190" s="2">
        <f>Tabelle3[[#This Row],[ Durchsatz]]/120</f>
        <v>60.924999999999997</v>
      </c>
      <c r="H190" s="2">
        <v>1.87</v>
      </c>
      <c r="I190" s="2">
        <v>0</v>
      </c>
      <c r="J190" s="2">
        <f>100-7.17</f>
        <v>92.83</v>
      </c>
      <c r="K190" s="2">
        <f>100-6.77</f>
        <v>93.23</v>
      </c>
      <c r="L190" s="2">
        <f t="shared" si="10"/>
        <v>90.96</v>
      </c>
      <c r="M190" s="2">
        <f t="shared" si="11"/>
        <v>93.23</v>
      </c>
      <c r="N190" s="21">
        <v>0.24660000000000001</v>
      </c>
      <c r="O190" s="21">
        <v>0.32600000000000001</v>
      </c>
      <c r="P190" s="21">
        <v>0.4274</v>
      </c>
      <c r="Q190" s="3" t="s">
        <v>6</v>
      </c>
    </row>
    <row r="191" spans="1:17" x14ac:dyDescent="0.35">
      <c r="A191" s="2">
        <v>190</v>
      </c>
      <c r="B191" s="8">
        <v>8</v>
      </c>
      <c r="C191" s="18" t="s">
        <v>3</v>
      </c>
      <c r="D191" s="18">
        <v>61</v>
      </c>
      <c r="E191" s="2">
        <v>727970613</v>
      </c>
      <c r="F191" s="2">
        <v>7320</v>
      </c>
      <c r="G191" s="2">
        <f>Tabelle3[[#This Row],[ Durchsatz]]/120</f>
        <v>61</v>
      </c>
      <c r="H191" s="2">
        <v>1.93</v>
      </c>
      <c r="I191" s="2">
        <v>0</v>
      </c>
      <c r="J191" s="2">
        <f>100-8.03</f>
        <v>91.97</v>
      </c>
      <c r="K191" s="2">
        <f>100-10.08</f>
        <v>89.92</v>
      </c>
      <c r="L191" s="2">
        <f t="shared" si="10"/>
        <v>90.039999999999992</v>
      </c>
      <c r="M191" s="2">
        <f t="shared" si="11"/>
        <v>89.92</v>
      </c>
      <c r="N191" s="21">
        <v>0.24740000000000001</v>
      </c>
      <c r="O191" s="21">
        <v>0.3211</v>
      </c>
      <c r="P191" s="21">
        <v>0.43159999999999998</v>
      </c>
      <c r="Q191" s="3" t="s">
        <v>6</v>
      </c>
    </row>
    <row r="192" spans="1:17" x14ac:dyDescent="0.35">
      <c r="A192" s="2">
        <v>191</v>
      </c>
      <c r="B192" s="8">
        <v>8</v>
      </c>
      <c r="C192" s="18" t="s">
        <v>3</v>
      </c>
      <c r="D192" s="18">
        <v>61</v>
      </c>
      <c r="E192" s="2">
        <v>1279046471</v>
      </c>
      <c r="F192" s="2">
        <v>7310</v>
      </c>
      <c r="G192" s="2">
        <f>Tabelle3[[#This Row],[ Durchsatz]]/120</f>
        <v>60.916666666666664</v>
      </c>
      <c r="H192" s="2">
        <v>2.11</v>
      </c>
      <c r="I192" s="2">
        <v>0</v>
      </c>
      <c r="J192" s="2">
        <f>100-8.94</f>
        <v>91.06</v>
      </c>
      <c r="K192" s="2">
        <f>100-12.65</f>
        <v>87.35</v>
      </c>
      <c r="L192" s="2">
        <f t="shared" si="10"/>
        <v>88.95</v>
      </c>
      <c r="M192" s="2">
        <f t="shared" si="11"/>
        <v>87.35</v>
      </c>
      <c r="N192" s="21">
        <v>0.25629999999999997</v>
      </c>
      <c r="O192" s="21">
        <v>0.31979999999999997</v>
      </c>
      <c r="P192" s="21">
        <v>0.4239</v>
      </c>
      <c r="Q192" s="3" t="s">
        <v>6</v>
      </c>
    </row>
    <row r="193" spans="1:17" x14ac:dyDescent="0.35">
      <c r="A193" s="2">
        <v>192</v>
      </c>
      <c r="B193" s="8">
        <v>8</v>
      </c>
      <c r="C193" s="18" t="s">
        <v>3</v>
      </c>
      <c r="D193" s="18">
        <v>61</v>
      </c>
      <c r="E193" s="2">
        <v>940561417</v>
      </c>
      <c r="F193" s="2">
        <v>7321</v>
      </c>
      <c r="G193" s="2">
        <f>Tabelle3[[#This Row],[ Durchsatz]]/120</f>
        <v>61.008333333333333</v>
      </c>
      <c r="H193" s="2">
        <v>2.44</v>
      </c>
      <c r="I193" s="2">
        <v>0</v>
      </c>
      <c r="J193" s="2">
        <f>100-7.93</f>
        <v>92.07</v>
      </c>
      <c r="K193" s="2">
        <f>100-10.39</f>
        <v>89.61</v>
      </c>
      <c r="L193" s="2">
        <f t="shared" si="10"/>
        <v>89.63</v>
      </c>
      <c r="M193" s="2">
        <f t="shared" si="11"/>
        <v>89.61</v>
      </c>
      <c r="N193" s="21">
        <v>0.23730000000000001</v>
      </c>
      <c r="O193" s="21">
        <v>0.29959999999999998</v>
      </c>
      <c r="P193" s="21">
        <v>0.46310000000000001</v>
      </c>
      <c r="Q193" s="3" t="s">
        <v>6</v>
      </c>
    </row>
    <row r="194" spans="1:17" x14ac:dyDescent="0.35">
      <c r="A194" s="2">
        <v>193</v>
      </c>
      <c r="B194" s="8">
        <v>2</v>
      </c>
      <c r="C194" s="18" t="s">
        <v>2</v>
      </c>
      <c r="D194" s="18">
        <v>62</v>
      </c>
      <c r="E194" s="2">
        <v>325641803</v>
      </c>
      <c r="F194" s="2">
        <v>6655</v>
      </c>
      <c r="G194" s="2">
        <f>Tabelle3[[#This Row],[ Durchsatz]]/120</f>
        <v>55.458333333333336</v>
      </c>
      <c r="H194" s="2">
        <v>1.36</v>
      </c>
      <c r="I194" s="2">
        <v>0</v>
      </c>
      <c r="J194" s="2">
        <f>100-6.55</f>
        <v>93.45</v>
      </c>
      <c r="K194" s="2">
        <f>100-8.52</f>
        <v>91.48</v>
      </c>
      <c r="L194" s="2">
        <f t="shared" si="10"/>
        <v>92.09</v>
      </c>
      <c r="M194" s="2">
        <f t="shared" si="11"/>
        <v>91.48</v>
      </c>
      <c r="N194" s="21">
        <v>0.41909999999999997</v>
      </c>
      <c r="O194" s="21">
        <v>0.31730000000000003</v>
      </c>
      <c r="P194" s="21">
        <v>0.2636</v>
      </c>
      <c r="Q194" s="3" t="s">
        <v>6</v>
      </c>
    </row>
    <row r="195" spans="1:17" x14ac:dyDescent="0.35">
      <c r="A195" s="2">
        <v>194</v>
      </c>
      <c r="B195" s="8">
        <v>2</v>
      </c>
      <c r="C195" s="18" t="s">
        <v>2</v>
      </c>
      <c r="D195" s="18">
        <v>62</v>
      </c>
      <c r="E195" s="2">
        <v>2014689826</v>
      </c>
      <c r="F195" s="2">
        <v>6649</v>
      </c>
      <c r="G195" s="2">
        <f>Tabelle3[[#This Row],[ Durchsatz]]/120</f>
        <v>55.408333333333331</v>
      </c>
      <c r="H195" s="2">
        <v>1.47</v>
      </c>
      <c r="I195" s="2">
        <v>0</v>
      </c>
      <c r="J195" s="2">
        <f>100-12.19</f>
        <v>87.81</v>
      </c>
      <c r="K195" s="2">
        <f>100-4.13</f>
        <v>95.87</v>
      </c>
      <c r="L195" s="2">
        <f t="shared" si="10"/>
        <v>86.34</v>
      </c>
      <c r="M195" s="2">
        <f t="shared" si="11"/>
        <v>95.87</v>
      </c>
      <c r="N195" s="21">
        <v>0.4204</v>
      </c>
      <c r="O195" s="21">
        <v>0.31059999999999999</v>
      </c>
      <c r="P195" s="21">
        <v>0.26900000000000002</v>
      </c>
      <c r="Q195" s="3" t="s">
        <v>6</v>
      </c>
    </row>
    <row r="196" spans="1:17" x14ac:dyDescent="0.35">
      <c r="A196" s="2">
        <v>195</v>
      </c>
      <c r="B196" s="8">
        <v>2</v>
      </c>
      <c r="C196" s="18" t="s">
        <v>2</v>
      </c>
      <c r="D196" s="18">
        <v>62</v>
      </c>
      <c r="E196" s="2">
        <v>649946470</v>
      </c>
      <c r="F196" s="2">
        <v>6667</v>
      </c>
      <c r="G196" s="2">
        <f>Tabelle3[[#This Row],[ Durchsatz]]/120</f>
        <v>55.55833333333333</v>
      </c>
      <c r="H196" s="2">
        <v>0.87</v>
      </c>
      <c r="I196" s="2">
        <v>0</v>
      </c>
      <c r="J196" s="2">
        <f>100-8.31</f>
        <v>91.69</v>
      </c>
      <c r="K196" s="2">
        <f>100-7.67</f>
        <v>92.33</v>
      </c>
      <c r="L196" s="2">
        <f t="shared" si="10"/>
        <v>90.82</v>
      </c>
      <c r="M196" s="2">
        <f t="shared" si="11"/>
        <v>92.33</v>
      </c>
      <c r="N196" s="21">
        <v>0.4219</v>
      </c>
      <c r="O196" s="21">
        <v>0.3387</v>
      </c>
      <c r="P196" s="21">
        <v>0.2394</v>
      </c>
      <c r="Q196" s="3" t="s">
        <v>6</v>
      </c>
    </row>
    <row r="197" spans="1:17" x14ac:dyDescent="0.35">
      <c r="A197" s="2">
        <v>196</v>
      </c>
      <c r="B197" s="8">
        <v>4</v>
      </c>
      <c r="C197" s="18" t="s">
        <v>2</v>
      </c>
      <c r="D197" s="18">
        <v>62</v>
      </c>
      <c r="E197" s="2">
        <v>1644329329</v>
      </c>
      <c r="F197" s="2">
        <v>6780</v>
      </c>
      <c r="G197" s="2">
        <f>Tabelle3[[#This Row],[ Durchsatz]]/120</f>
        <v>56.5</v>
      </c>
      <c r="H197" s="2">
        <v>1.38</v>
      </c>
      <c r="I197" s="2">
        <v>0</v>
      </c>
      <c r="J197" s="2">
        <f>100-5.79</f>
        <v>94.21</v>
      </c>
      <c r="K197" s="2">
        <f>100-9.1</f>
        <v>90.9</v>
      </c>
      <c r="L197" s="2">
        <f t="shared" si="10"/>
        <v>92.83</v>
      </c>
      <c r="M197" s="2">
        <f t="shared" si="11"/>
        <v>90.9</v>
      </c>
      <c r="N197" s="21">
        <v>0.38640000000000002</v>
      </c>
      <c r="O197" s="21">
        <v>0.31119999999999998</v>
      </c>
      <c r="P197" s="21">
        <v>0.3024</v>
      </c>
      <c r="Q197" s="3" t="s">
        <v>6</v>
      </c>
    </row>
    <row r="198" spans="1:17" x14ac:dyDescent="0.35">
      <c r="A198" s="2">
        <v>197</v>
      </c>
      <c r="B198" s="8">
        <v>4</v>
      </c>
      <c r="C198" s="18" t="s">
        <v>2</v>
      </c>
      <c r="D198" s="18">
        <v>62</v>
      </c>
      <c r="E198" s="2">
        <v>1760775581</v>
      </c>
      <c r="F198" s="2">
        <v>6855</v>
      </c>
      <c r="G198" s="2">
        <f>Tabelle3[[#This Row],[ Durchsatz]]/120</f>
        <v>57.125</v>
      </c>
      <c r="H198" s="2">
        <v>1.51</v>
      </c>
      <c r="I198" s="2">
        <v>0</v>
      </c>
      <c r="J198" s="2">
        <f>100-6.54</f>
        <v>93.46</v>
      </c>
      <c r="K198" s="2">
        <f>100-7.52</f>
        <v>92.48</v>
      </c>
      <c r="L198" s="2">
        <f t="shared" si="10"/>
        <v>91.949999999999989</v>
      </c>
      <c r="M198" s="2">
        <f t="shared" si="11"/>
        <v>92.48</v>
      </c>
      <c r="N198" s="21">
        <v>0.36880000000000002</v>
      </c>
      <c r="O198" s="21">
        <v>0.31669999999999998</v>
      </c>
      <c r="P198" s="21">
        <v>0.3145</v>
      </c>
      <c r="Q198" s="3" t="s">
        <v>6</v>
      </c>
    </row>
    <row r="199" spans="1:17" x14ac:dyDescent="0.35">
      <c r="A199" s="2">
        <v>198</v>
      </c>
      <c r="B199" s="8">
        <v>4</v>
      </c>
      <c r="C199" s="18" t="s">
        <v>2</v>
      </c>
      <c r="D199" s="18">
        <v>62</v>
      </c>
      <c r="E199" s="2">
        <v>324388457</v>
      </c>
      <c r="F199" s="2">
        <v>6812</v>
      </c>
      <c r="G199" s="2">
        <f>Tabelle3[[#This Row],[ Durchsatz]]/120</f>
        <v>56.766666666666666</v>
      </c>
      <c r="H199" s="2">
        <v>1.56</v>
      </c>
      <c r="I199" s="2">
        <v>0</v>
      </c>
      <c r="J199" s="2">
        <f>100-8.26</f>
        <v>91.74</v>
      </c>
      <c r="K199" s="2">
        <f>100-7.16</f>
        <v>92.84</v>
      </c>
      <c r="L199" s="2">
        <f t="shared" si="10"/>
        <v>90.179999999999993</v>
      </c>
      <c r="M199" s="2">
        <f t="shared" si="11"/>
        <v>92.84</v>
      </c>
      <c r="N199" s="21">
        <v>0.37809999999999999</v>
      </c>
      <c r="O199" s="21">
        <v>0.313</v>
      </c>
      <c r="P199" s="21">
        <v>0.30890000000000001</v>
      </c>
      <c r="Q199" s="3" t="s">
        <v>6</v>
      </c>
    </row>
    <row r="200" spans="1:17" x14ac:dyDescent="0.35">
      <c r="A200" s="2">
        <v>199</v>
      </c>
      <c r="B200" s="8">
        <v>6</v>
      </c>
      <c r="C200" s="18" t="s">
        <v>2</v>
      </c>
      <c r="D200" s="18">
        <v>62</v>
      </c>
      <c r="E200" s="2">
        <v>1798869160</v>
      </c>
      <c r="F200" s="2">
        <v>952</v>
      </c>
      <c r="G200" s="2">
        <f>Tabelle3[[#This Row],[ Durchsatz]]/120</f>
        <v>7.9333333333333336</v>
      </c>
      <c r="H200" s="2">
        <v>86.15</v>
      </c>
      <c r="I200" s="2">
        <v>0</v>
      </c>
      <c r="J200" s="2">
        <f>100-1.14</f>
        <v>98.86</v>
      </c>
      <c r="K200" s="2">
        <f>100-87.36</f>
        <v>12.64</v>
      </c>
      <c r="L200" s="2">
        <f t="shared" si="10"/>
        <v>12.709999999999994</v>
      </c>
      <c r="M200" s="2">
        <f t="shared" si="11"/>
        <v>12.64</v>
      </c>
      <c r="N200" s="21">
        <v>0.91479999999999995</v>
      </c>
      <c r="O200" s="21">
        <v>4.3299999999999998E-2</v>
      </c>
      <c r="P200" s="21">
        <v>4.19E-2</v>
      </c>
      <c r="Q200" s="3">
        <v>0.9</v>
      </c>
    </row>
    <row r="201" spans="1:17" x14ac:dyDescent="0.35">
      <c r="A201" s="2">
        <v>200</v>
      </c>
      <c r="B201" s="8">
        <v>6</v>
      </c>
      <c r="C201" s="18" t="s">
        <v>2</v>
      </c>
      <c r="D201" s="18">
        <v>62</v>
      </c>
      <c r="E201" s="2">
        <v>606564661</v>
      </c>
      <c r="F201" s="2">
        <v>6937</v>
      </c>
      <c r="G201" s="2">
        <f>Tabelle3[[#This Row],[ Durchsatz]]/120</f>
        <v>57.80833333333333</v>
      </c>
      <c r="H201" s="2">
        <v>2.08</v>
      </c>
      <c r="I201" s="2">
        <v>0</v>
      </c>
      <c r="J201" s="2">
        <f>100-4.06</f>
        <v>95.94</v>
      </c>
      <c r="K201" s="2">
        <f>100-8.63</f>
        <v>91.37</v>
      </c>
      <c r="L201" s="2">
        <f t="shared" si="10"/>
        <v>93.86</v>
      </c>
      <c r="M201" s="2">
        <f t="shared" si="11"/>
        <v>91.37</v>
      </c>
      <c r="N201" s="21">
        <v>0.34870000000000001</v>
      </c>
      <c r="O201" s="21">
        <v>0.31169999999999998</v>
      </c>
      <c r="P201" s="21">
        <v>0.33960000000000001</v>
      </c>
      <c r="Q201" s="3" t="s">
        <v>6</v>
      </c>
    </row>
    <row r="202" spans="1:17" x14ac:dyDescent="0.35">
      <c r="A202" s="2">
        <v>201</v>
      </c>
      <c r="B202" s="8">
        <v>6</v>
      </c>
      <c r="C202" s="18" t="s">
        <v>2</v>
      </c>
      <c r="D202" s="18">
        <v>62</v>
      </c>
      <c r="E202" s="2">
        <v>1979374100</v>
      </c>
      <c r="F202" s="2">
        <v>6885</v>
      </c>
      <c r="G202" s="2">
        <f>Tabelle3[[#This Row],[ Durchsatz]]/120</f>
        <v>57.375</v>
      </c>
      <c r="H202" s="2">
        <v>1.54</v>
      </c>
      <c r="I202" s="2">
        <v>0.09</v>
      </c>
      <c r="J202" s="2">
        <f>100-5.89</f>
        <v>94.11</v>
      </c>
      <c r="K202" s="2">
        <f>100-8.41</f>
        <v>91.59</v>
      </c>
      <c r="L202" s="2">
        <f t="shared" si="10"/>
        <v>92.57</v>
      </c>
      <c r="M202" s="2">
        <f t="shared" si="11"/>
        <v>91.5</v>
      </c>
      <c r="N202" s="21">
        <v>0.35639999999999999</v>
      </c>
      <c r="O202" s="21">
        <v>0.31219999999999998</v>
      </c>
      <c r="P202" s="21">
        <v>0.33150000000000002</v>
      </c>
      <c r="Q202" s="3" t="s">
        <v>6</v>
      </c>
    </row>
    <row r="203" spans="1:17" x14ac:dyDescent="0.35">
      <c r="A203" s="2">
        <v>202</v>
      </c>
      <c r="B203" s="8">
        <v>8</v>
      </c>
      <c r="C203" s="18" t="s">
        <v>2</v>
      </c>
      <c r="D203" s="18">
        <v>62</v>
      </c>
      <c r="E203" s="2">
        <v>1066574672</v>
      </c>
      <c r="F203" s="2">
        <v>6799</v>
      </c>
      <c r="G203" s="2">
        <f>Tabelle3[[#This Row],[ Durchsatz]]/120</f>
        <v>56.658333333333331</v>
      </c>
      <c r="H203" s="2">
        <v>2.0099999999999998</v>
      </c>
      <c r="I203" s="2">
        <v>0</v>
      </c>
      <c r="J203" s="2">
        <f>100-7.95</f>
        <v>92.05</v>
      </c>
      <c r="K203" s="2">
        <f>100-8.41</f>
        <v>91.59</v>
      </c>
      <c r="L203" s="2">
        <f t="shared" si="10"/>
        <v>90.039999999999992</v>
      </c>
      <c r="M203" s="2">
        <f t="shared" si="11"/>
        <v>91.59</v>
      </c>
      <c r="N203" s="21">
        <v>0.36870000000000003</v>
      </c>
      <c r="O203" s="21">
        <v>0.30530000000000002</v>
      </c>
      <c r="P203" s="21">
        <v>0.32600000000000001</v>
      </c>
      <c r="Q203" s="3" t="s">
        <v>6</v>
      </c>
    </row>
    <row r="204" spans="1:17" x14ac:dyDescent="0.35">
      <c r="A204" s="2">
        <v>203</v>
      </c>
      <c r="B204" s="8">
        <v>8</v>
      </c>
      <c r="C204" s="18" t="s">
        <v>2</v>
      </c>
      <c r="D204" s="18">
        <v>62</v>
      </c>
      <c r="E204" s="2">
        <v>836269667</v>
      </c>
      <c r="F204" s="2">
        <v>3841</v>
      </c>
      <c r="G204" s="2">
        <f>Tabelle3[[#This Row],[ Durchsatz]]/120</f>
        <v>32.008333333333333</v>
      </c>
      <c r="H204" s="2">
        <v>43.98</v>
      </c>
      <c r="I204" s="2">
        <v>42.75</v>
      </c>
      <c r="J204" s="2">
        <f>100-3.02</f>
        <v>96.98</v>
      </c>
      <c r="K204" s="2">
        <f>100-5.01</f>
        <v>94.99</v>
      </c>
      <c r="L204" s="2">
        <f t="shared" si="10"/>
        <v>53.000000000000007</v>
      </c>
      <c r="M204" s="2">
        <f t="shared" si="11"/>
        <v>52.239999999999995</v>
      </c>
      <c r="N204" s="21">
        <v>0.64680000000000004</v>
      </c>
      <c r="O204" s="21">
        <v>0.18</v>
      </c>
      <c r="P204" s="21">
        <v>0.17319999999999999</v>
      </c>
      <c r="Q204" s="3">
        <v>3</v>
      </c>
    </row>
    <row r="205" spans="1:17" x14ac:dyDescent="0.35">
      <c r="A205" s="2">
        <v>204</v>
      </c>
      <c r="B205" s="8">
        <v>8</v>
      </c>
      <c r="C205" s="18" t="s">
        <v>2</v>
      </c>
      <c r="D205" s="18">
        <v>62</v>
      </c>
      <c r="E205" s="2">
        <v>319439850</v>
      </c>
      <c r="F205" s="2">
        <v>285</v>
      </c>
      <c r="G205" s="2">
        <f>Tabelle3[[#This Row],[ Durchsatz]]/120</f>
        <v>2.375</v>
      </c>
      <c r="H205" s="2">
        <v>96.16</v>
      </c>
      <c r="I205" s="2">
        <v>0</v>
      </c>
      <c r="J205" s="2">
        <f>100-0.44</f>
        <v>99.56</v>
      </c>
      <c r="K205" s="2">
        <f>100-96.25</f>
        <v>3.75</v>
      </c>
      <c r="L205" s="2">
        <f t="shared" si="10"/>
        <v>3.4000000000000057</v>
      </c>
      <c r="M205" s="2">
        <f t="shared" si="11"/>
        <v>3.75</v>
      </c>
      <c r="N205" s="21">
        <v>0.9708</v>
      </c>
      <c r="O205" s="21">
        <v>8.6E-3</v>
      </c>
      <c r="P205" s="21">
        <v>2.06E-2</v>
      </c>
      <c r="Q205" s="3">
        <v>0.4</v>
      </c>
    </row>
    <row r="206" spans="1:17" x14ac:dyDescent="0.35">
      <c r="A206" s="2">
        <v>205</v>
      </c>
      <c r="B206" s="8">
        <v>2</v>
      </c>
      <c r="C206" s="18" t="s">
        <v>3</v>
      </c>
      <c r="D206" s="18">
        <v>62</v>
      </c>
      <c r="E206" s="2">
        <v>1197240038</v>
      </c>
      <c r="F206" s="2">
        <v>6973</v>
      </c>
      <c r="G206" s="2">
        <f>Tabelle3[[#This Row],[ Durchsatz]]/120</f>
        <v>58.108333333333334</v>
      </c>
      <c r="H206" s="2">
        <v>1.59</v>
      </c>
      <c r="I206" s="2">
        <v>0</v>
      </c>
      <c r="J206" s="2">
        <f>100-5.43</f>
        <v>94.57</v>
      </c>
      <c r="K206" s="2">
        <f>100-7.78</f>
        <v>92.22</v>
      </c>
      <c r="L206" s="2">
        <f t="shared" si="10"/>
        <v>92.97999999999999</v>
      </c>
      <c r="M206" s="2">
        <f t="shared" si="11"/>
        <v>92.22</v>
      </c>
      <c r="N206" s="21">
        <v>0.35949999999999999</v>
      </c>
      <c r="O206" s="21">
        <v>0.34289999999999998</v>
      </c>
      <c r="P206" s="21">
        <v>0.29770000000000002</v>
      </c>
      <c r="Q206" s="3" t="s">
        <v>6</v>
      </c>
    </row>
    <row r="207" spans="1:17" x14ac:dyDescent="0.35">
      <c r="A207" s="2">
        <v>206</v>
      </c>
      <c r="B207" s="8">
        <v>2</v>
      </c>
      <c r="C207" s="18" t="s">
        <v>3</v>
      </c>
      <c r="D207" s="18">
        <v>62</v>
      </c>
      <c r="E207" s="2">
        <v>764108921</v>
      </c>
      <c r="F207" s="2">
        <v>7024</v>
      </c>
      <c r="G207" s="2">
        <f>Tabelle3[[#This Row],[ Durchsatz]]/120</f>
        <v>58.533333333333331</v>
      </c>
      <c r="H207" s="2">
        <v>1.46</v>
      </c>
      <c r="I207" s="2">
        <v>0</v>
      </c>
      <c r="J207" s="2">
        <f>100-5.17</f>
        <v>94.83</v>
      </c>
      <c r="K207" s="2">
        <f>100-7.79</f>
        <v>92.21</v>
      </c>
      <c r="L207" s="2">
        <f t="shared" si="10"/>
        <v>93.37</v>
      </c>
      <c r="M207" s="2">
        <f t="shared" si="11"/>
        <v>92.21</v>
      </c>
      <c r="N207" s="21">
        <v>0.33279999999999998</v>
      </c>
      <c r="O207" s="21">
        <v>0.3301</v>
      </c>
      <c r="P207" s="21">
        <v>0.33710000000000001</v>
      </c>
      <c r="Q207" s="3" t="s">
        <v>6</v>
      </c>
    </row>
    <row r="208" spans="1:17" x14ac:dyDescent="0.35">
      <c r="A208" s="2">
        <v>207</v>
      </c>
      <c r="B208" s="8">
        <v>2</v>
      </c>
      <c r="C208" s="18" t="s">
        <v>3</v>
      </c>
      <c r="D208" s="18">
        <v>62</v>
      </c>
      <c r="E208" s="2">
        <v>1407099602</v>
      </c>
      <c r="F208" s="2">
        <v>7003</v>
      </c>
      <c r="G208" s="2">
        <f>Tabelle3[[#This Row],[ Durchsatz]]/120</f>
        <v>58.358333333333334</v>
      </c>
      <c r="H208" s="2">
        <v>1.5</v>
      </c>
      <c r="I208" s="2">
        <v>0</v>
      </c>
      <c r="J208" s="2">
        <f>100-6.47</f>
        <v>93.53</v>
      </c>
      <c r="K208" s="2">
        <f>100-4.52</f>
        <v>95.48</v>
      </c>
      <c r="L208" s="2">
        <f t="shared" si="10"/>
        <v>92.03</v>
      </c>
      <c r="M208" s="2">
        <f t="shared" si="11"/>
        <v>95.48</v>
      </c>
      <c r="N208" s="21">
        <v>0.3468</v>
      </c>
      <c r="O208" s="21">
        <v>0.34620000000000001</v>
      </c>
      <c r="P208" s="21">
        <v>0.30709999999999998</v>
      </c>
      <c r="Q208" s="3" t="s">
        <v>6</v>
      </c>
    </row>
    <row r="209" spans="1:17" x14ac:dyDescent="0.35">
      <c r="A209" s="2">
        <v>208</v>
      </c>
      <c r="B209" s="8">
        <v>4</v>
      </c>
      <c r="C209" s="18" t="s">
        <v>3</v>
      </c>
      <c r="D209" s="18">
        <v>62</v>
      </c>
      <c r="E209" s="2">
        <v>1547447035</v>
      </c>
      <c r="F209" s="2">
        <v>7330</v>
      </c>
      <c r="G209" s="2">
        <f>Tabelle3[[#This Row],[ Durchsatz]]/120</f>
        <v>61.083333333333336</v>
      </c>
      <c r="H209" s="2">
        <v>3.2</v>
      </c>
      <c r="I209" s="2">
        <v>0.04</v>
      </c>
      <c r="J209" s="2">
        <f>100-3.96</f>
        <v>96.04</v>
      </c>
      <c r="K209" s="2">
        <f>100-5.86</f>
        <v>94.14</v>
      </c>
      <c r="L209" s="2">
        <f t="shared" si="10"/>
        <v>92.84</v>
      </c>
      <c r="M209" s="2">
        <f t="shared" si="11"/>
        <v>94.1</v>
      </c>
      <c r="N209" s="21">
        <v>0.21659999999999999</v>
      </c>
      <c r="O209" s="21">
        <v>0.26040000000000002</v>
      </c>
      <c r="P209" s="21">
        <v>0.52300000000000002</v>
      </c>
      <c r="Q209" s="3" t="s">
        <v>6</v>
      </c>
    </row>
    <row r="210" spans="1:17" x14ac:dyDescent="0.35">
      <c r="A210" s="2">
        <v>209</v>
      </c>
      <c r="B210" s="8">
        <v>4</v>
      </c>
      <c r="C210" s="18" t="s">
        <v>3</v>
      </c>
      <c r="D210" s="18">
        <v>62</v>
      </c>
      <c r="E210" s="2">
        <v>1683352645</v>
      </c>
      <c r="F210" s="2">
        <v>7317</v>
      </c>
      <c r="G210" s="2">
        <f>Tabelle3[[#This Row],[ Durchsatz]]/120</f>
        <v>60.975000000000001</v>
      </c>
      <c r="H210" s="2">
        <v>2.72</v>
      </c>
      <c r="I210" s="2">
        <v>0.01</v>
      </c>
      <c r="J210" s="2">
        <f>100-4.12</f>
        <v>95.88</v>
      </c>
      <c r="K210" s="2">
        <f>100-6.8</f>
        <v>93.2</v>
      </c>
      <c r="L210" s="2">
        <f t="shared" ref="L210:L217" si="12">J210-H210</f>
        <v>93.16</v>
      </c>
      <c r="M210" s="2">
        <f t="shared" ref="M210:M217" si="13">K210-I210</f>
        <v>93.19</v>
      </c>
      <c r="N210" s="21">
        <v>0.23039999999999999</v>
      </c>
      <c r="O210" s="21">
        <v>0.2868</v>
      </c>
      <c r="P210" s="21">
        <v>0.48280000000000001</v>
      </c>
      <c r="Q210" s="3" t="s">
        <v>6</v>
      </c>
    </row>
    <row r="211" spans="1:17" x14ac:dyDescent="0.35">
      <c r="A211" s="2">
        <v>210</v>
      </c>
      <c r="B211" s="8">
        <v>4</v>
      </c>
      <c r="C211" s="18" t="s">
        <v>3</v>
      </c>
      <c r="D211" s="18">
        <v>62</v>
      </c>
      <c r="E211" s="2">
        <v>593385888</v>
      </c>
      <c r="F211" s="2">
        <v>7193</v>
      </c>
      <c r="G211" s="2">
        <f>Tabelle3[[#This Row],[ Durchsatz]]/120</f>
        <v>59.94166666666667</v>
      </c>
      <c r="H211" s="2">
        <v>2.84</v>
      </c>
      <c r="I211" s="2">
        <v>0.01</v>
      </c>
      <c r="J211" s="2">
        <f>100-5.15</f>
        <v>94.85</v>
      </c>
      <c r="K211" s="2">
        <f>100-7.82</f>
        <v>92.18</v>
      </c>
      <c r="L211" s="2">
        <f t="shared" si="12"/>
        <v>92.009999999999991</v>
      </c>
      <c r="M211" s="2">
        <f t="shared" si="13"/>
        <v>92.17</v>
      </c>
      <c r="N211" s="21">
        <v>0.26900000000000002</v>
      </c>
      <c r="O211" s="21">
        <v>0.28139999999999998</v>
      </c>
      <c r="P211" s="21">
        <v>0.4496</v>
      </c>
      <c r="Q211" s="3" t="s">
        <v>6</v>
      </c>
    </row>
    <row r="212" spans="1:17" x14ac:dyDescent="0.35">
      <c r="A212" s="2">
        <v>211</v>
      </c>
      <c r="B212" s="8">
        <v>6</v>
      </c>
      <c r="C212" s="18" t="s">
        <v>3</v>
      </c>
      <c r="D212" s="18">
        <v>62</v>
      </c>
      <c r="E212" s="2">
        <v>1359774711</v>
      </c>
      <c r="F212" s="2">
        <v>7443</v>
      </c>
      <c r="G212" s="2">
        <f>Tabelle3[[#This Row],[ Durchsatz]]/120</f>
        <v>62.024999999999999</v>
      </c>
      <c r="H212" s="2">
        <v>3.71</v>
      </c>
      <c r="I212" s="2">
        <v>0</v>
      </c>
      <c r="J212" s="2">
        <f>100-5.34</f>
        <v>94.66</v>
      </c>
      <c r="K212" s="2">
        <f>100-7.9</f>
        <v>92.1</v>
      </c>
      <c r="L212" s="2">
        <f t="shared" si="12"/>
        <v>90.95</v>
      </c>
      <c r="M212" s="2">
        <f t="shared" si="13"/>
        <v>92.1</v>
      </c>
      <c r="N212" s="21">
        <v>0.185</v>
      </c>
      <c r="O212" s="21">
        <v>0.25430000000000003</v>
      </c>
      <c r="P212" s="21">
        <v>0.56059999999999999</v>
      </c>
      <c r="Q212" s="3" t="s">
        <v>6</v>
      </c>
    </row>
    <row r="213" spans="1:17" x14ac:dyDescent="0.35">
      <c r="A213" s="2">
        <v>212</v>
      </c>
      <c r="B213" s="8">
        <v>6</v>
      </c>
      <c r="C213" s="18" t="s">
        <v>3</v>
      </c>
      <c r="D213" s="18">
        <v>62</v>
      </c>
      <c r="E213" s="2">
        <v>1334975337</v>
      </c>
      <c r="F213" s="2">
        <v>7410</v>
      </c>
      <c r="G213" s="2">
        <f>Tabelle3[[#This Row],[ Durchsatz]]/120</f>
        <v>61.75</v>
      </c>
      <c r="H213" s="2">
        <v>2.83</v>
      </c>
      <c r="I213" s="2">
        <v>0</v>
      </c>
      <c r="J213" s="2">
        <f>100-4.51</f>
        <v>95.49</v>
      </c>
      <c r="K213" s="2">
        <f>100-7.23</f>
        <v>92.77</v>
      </c>
      <c r="L213" s="2">
        <f t="shared" si="12"/>
        <v>92.66</v>
      </c>
      <c r="M213" s="2">
        <f t="shared" si="13"/>
        <v>92.77</v>
      </c>
      <c r="N213" s="21">
        <v>0.2117</v>
      </c>
      <c r="O213" s="21">
        <v>0.29599999999999999</v>
      </c>
      <c r="P213" s="21">
        <v>0.49230000000000002</v>
      </c>
      <c r="Q213" s="3" t="s">
        <v>6</v>
      </c>
    </row>
    <row r="214" spans="1:17" x14ac:dyDescent="0.35">
      <c r="A214" s="2">
        <v>213</v>
      </c>
      <c r="B214" s="8">
        <v>6</v>
      </c>
      <c r="C214" s="18" t="s">
        <v>3</v>
      </c>
      <c r="D214" s="18">
        <v>62</v>
      </c>
      <c r="E214" s="2">
        <v>743210035</v>
      </c>
      <c r="F214" s="2">
        <v>7396</v>
      </c>
      <c r="G214" s="2">
        <f>Tabelle3[[#This Row],[ Durchsatz]]/120</f>
        <v>61.633333333333333</v>
      </c>
      <c r="H214" s="2">
        <v>3.12</v>
      </c>
      <c r="I214" s="2">
        <v>0.05</v>
      </c>
      <c r="J214" s="2">
        <f>100-2.86</f>
        <v>97.14</v>
      </c>
      <c r="K214" s="2">
        <f>100-9.1</f>
        <v>90.9</v>
      </c>
      <c r="L214" s="2">
        <f t="shared" si="12"/>
        <v>94.02</v>
      </c>
      <c r="M214" s="2">
        <f t="shared" si="13"/>
        <v>90.850000000000009</v>
      </c>
      <c r="N214" s="21">
        <v>0.2074</v>
      </c>
      <c r="O214" s="21">
        <v>0.2802</v>
      </c>
      <c r="P214" s="21">
        <v>0.51229999999999998</v>
      </c>
      <c r="Q214" s="3" t="s">
        <v>6</v>
      </c>
    </row>
    <row r="215" spans="1:17" x14ac:dyDescent="0.35">
      <c r="A215" s="2">
        <v>214</v>
      </c>
      <c r="B215" s="8">
        <v>8</v>
      </c>
      <c r="C215" s="18" t="s">
        <v>3</v>
      </c>
      <c r="D215" s="18">
        <v>62</v>
      </c>
      <c r="E215" s="2">
        <v>697650419</v>
      </c>
      <c r="F215" s="2">
        <v>7440</v>
      </c>
      <c r="G215" s="2">
        <f>Tabelle3[[#This Row],[ Durchsatz]]/120</f>
        <v>62</v>
      </c>
      <c r="H215" s="2">
        <v>3.65</v>
      </c>
      <c r="I215" s="2">
        <v>0.03</v>
      </c>
      <c r="J215" s="2">
        <f>100-5.48</f>
        <v>94.52</v>
      </c>
      <c r="K215" s="2">
        <f>100-10.49</f>
        <v>89.51</v>
      </c>
      <c r="L215" s="2">
        <f t="shared" si="12"/>
        <v>90.86999999999999</v>
      </c>
      <c r="M215" s="2">
        <f t="shared" si="13"/>
        <v>89.48</v>
      </c>
      <c r="N215" s="21">
        <v>0.18720000000000001</v>
      </c>
      <c r="O215" s="21">
        <v>0.25829999999999997</v>
      </c>
      <c r="P215" s="21">
        <v>0.55449999999999999</v>
      </c>
      <c r="Q215" s="3" t="s">
        <v>6</v>
      </c>
    </row>
    <row r="216" spans="1:17" x14ac:dyDescent="0.35">
      <c r="A216" s="2">
        <v>215</v>
      </c>
      <c r="B216" s="8">
        <v>8</v>
      </c>
      <c r="C216" s="18" t="s">
        <v>3</v>
      </c>
      <c r="D216" s="18">
        <v>62</v>
      </c>
      <c r="E216" s="2">
        <v>368039696</v>
      </c>
      <c r="F216" s="2">
        <v>7424</v>
      </c>
      <c r="G216" s="2">
        <f>Tabelle3[[#This Row],[ Durchsatz]]/120</f>
        <v>61.866666666666667</v>
      </c>
      <c r="H216" s="2">
        <v>4.09</v>
      </c>
      <c r="I216" s="2">
        <v>0.01</v>
      </c>
      <c r="J216" s="2">
        <f>100-4.66</f>
        <v>95.34</v>
      </c>
      <c r="K216" s="2">
        <f>100-8.19</f>
        <v>91.81</v>
      </c>
      <c r="L216" s="2">
        <f t="shared" si="12"/>
        <v>91.25</v>
      </c>
      <c r="M216" s="2">
        <f t="shared" si="13"/>
        <v>91.8</v>
      </c>
      <c r="N216" s="21">
        <v>0.19600000000000001</v>
      </c>
      <c r="O216" s="21">
        <v>0.25219999999999998</v>
      </c>
      <c r="P216" s="21">
        <v>0.55169999999999997</v>
      </c>
      <c r="Q216" s="3" t="s">
        <v>6</v>
      </c>
    </row>
    <row r="217" spans="1:17" x14ac:dyDescent="0.35">
      <c r="A217" s="2">
        <v>216</v>
      </c>
      <c r="B217" s="8">
        <v>8</v>
      </c>
      <c r="C217" s="18" t="s">
        <v>3</v>
      </c>
      <c r="D217" s="18">
        <v>62</v>
      </c>
      <c r="E217" s="2">
        <v>707394668</v>
      </c>
      <c r="F217" s="2">
        <v>7436</v>
      </c>
      <c r="G217" s="2">
        <f>Tabelle3[[#This Row],[ Durchsatz]]/120</f>
        <v>61.966666666666669</v>
      </c>
      <c r="H217" s="2">
        <v>3.64</v>
      </c>
      <c r="I217" s="2">
        <v>0.03</v>
      </c>
      <c r="J217" s="2">
        <f>100-5.15</f>
        <v>94.85</v>
      </c>
      <c r="K217" s="2">
        <f>100-11.24</f>
        <v>88.76</v>
      </c>
      <c r="L217" s="2">
        <f t="shared" si="12"/>
        <v>91.21</v>
      </c>
      <c r="M217" s="2">
        <f t="shared" si="13"/>
        <v>88.73</v>
      </c>
      <c r="N217" s="21">
        <v>0.1888</v>
      </c>
      <c r="O217" s="21">
        <v>0.25559999999999999</v>
      </c>
      <c r="P217" s="21">
        <v>0.55559999999999998</v>
      </c>
      <c r="Q217" s="3" t="s">
        <v>6</v>
      </c>
    </row>
    <row r="218" spans="1:17" x14ac:dyDescent="0.35">
      <c r="A218" s="2">
        <v>217</v>
      </c>
      <c r="B218" s="26">
        <v>1</v>
      </c>
      <c r="C218" s="18" t="s">
        <v>2</v>
      </c>
      <c r="D218" s="18">
        <v>54</v>
      </c>
      <c r="E218" s="2">
        <v>1605905212</v>
      </c>
      <c r="F218" s="2">
        <v>6454</v>
      </c>
      <c r="G218" s="2">
        <f>Tabelle3[[#This Row],[ Durchsatz]]/120</f>
        <v>53.783333333333331</v>
      </c>
      <c r="H218" s="2">
        <v>0.17</v>
      </c>
      <c r="I218" s="2">
        <v>0</v>
      </c>
      <c r="J218" s="2">
        <f>100-12.05</f>
        <v>87.95</v>
      </c>
      <c r="K218" s="2">
        <f>100-9.31</f>
        <v>90.69</v>
      </c>
      <c r="L218" s="22">
        <f t="shared" ref="L218:L228" si="14">J218-H218</f>
        <v>87.78</v>
      </c>
      <c r="M218" s="22">
        <f t="shared" ref="M218:M228" si="15">K218-I218</f>
        <v>90.69</v>
      </c>
      <c r="N218" s="20">
        <v>0.49909999999999999</v>
      </c>
      <c r="O218" s="21">
        <v>0.36620000000000003</v>
      </c>
      <c r="P218" s="20">
        <v>0.13469999999999999</v>
      </c>
      <c r="Q218" s="3" t="s">
        <v>6</v>
      </c>
    </row>
    <row r="219" spans="1:17" x14ac:dyDescent="0.35">
      <c r="A219" s="2">
        <v>218</v>
      </c>
      <c r="B219" s="26">
        <v>1</v>
      </c>
      <c r="C219" s="18" t="s">
        <v>2</v>
      </c>
      <c r="D219" s="18">
        <v>54</v>
      </c>
      <c r="E219" s="2">
        <v>1156412900</v>
      </c>
      <c r="F219" s="2">
        <v>6491</v>
      </c>
      <c r="G219" s="2">
        <f>Tabelle3[[#This Row],[ Durchsatz]]/120</f>
        <v>54.091666666666669</v>
      </c>
      <c r="H219" s="2">
        <v>0.19</v>
      </c>
      <c r="I219" s="2">
        <v>0</v>
      </c>
      <c r="J219" s="2">
        <f>100-11.19</f>
        <v>88.81</v>
      </c>
      <c r="K219" s="2">
        <f>100-11.43</f>
        <v>88.57</v>
      </c>
      <c r="L219" s="22">
        <f>J219-H219</f>
        <v>88.62</v>
      </c>
      <c r="M219" s="22">
        <f>K219-I219</f>
        <v>88.57</v>
      </c>
      <c r="N219" s="20">
        <v>0.51219999999999999</v>
      </c>
      <c r="O219" s="21">
        <v>0.37659999999999999</v>
      </c>
      <c r="P219" s="20">
        <v>0.11119999999999999</v>
      </c>
      <c r="Q219" s="3" t="s">
        <v>6</v>
      </c>
    </row>
    <row r="220" spans="1:17" x14ac:dyDescent="0.35">
      <c r="A220" s="2">
        <v>219</v>
      </c>
      <c r="B220" s="26">
        <v>1</v>
      </c>
      <c r="C220" s="18" t="s">
        <v>2</v>
      </c>
      <c r="D220" s="18">
        <v>54</v>
      </c>
      <c r="E220" s="2">
        <v>1717333254</v>
      </c>
      <c r="F220" s="2">
        <v>6457</v>
      </c>
      <c r="G220" s="2">
        <f>Tabelle3[[#This Row],[ Durchsatz]]/120</f>
        <v>53.80833333333333</v>
      </c>
      <c r="H220" s="2">
        <v>0.35</v>
      </c>
      <c r="I220" s="2">
        <v>0</v>
      </c>
      <c r="J220" s="2">
        <f>100-11.35</f>
        <v>88.65</v>
      </c>
      <c r="K220" s="2">
        <f>100-6.3</f>
        <v>93.7</v>
      </c>
      <c r="L220" s="22">
        <f t="shared" si="14"/>
        <v>88.300000000000011</v>
      </c>
      <c r="M220" s="22">
        <f t="shared" si="15"/>
        <v>93.7</v>
      </c>
      <c r="N220" s="20">
        <v>0.49619999999999997</v>
      </c>
      <c r="O220" s="21">
        <v>0.35620000000000002</v>
      </c>
      <c r="P220" s="20">
        <v>0.14749999999999999</v>
      </c>
      <c r="Q220" s="3" t="s">
        <v>6</v>
      </c>
    </row>
    <row r="221" spans="1:17" x14ac:dyDescent="0.35">
      <c r="A221" s="2">
        <v>220</v>
      </c>
      <c r="B221" s="26">
        <v>1</v>
      </c>
      <c r="C221" s="18" t="s">
        <v>3</v>
      </c>
      <c r="D221" s="18">
        <v>54</v>
      </c>
      <c r="E221" s="2">
        <v>1265991199</v>
      </c>
      <c r="F221" s="2">
        <v>6468</v>
      </c>
      <c r="G221" s="2">
        <f>Tabelle3[[#This Row],[ Durchsatz]]/120</f>
        <v>53.9</v>
      </c>
      <c r="H221" s="2">
        <v>0.35</v>
      </c>
      <c r="I221" s="2">
        <v>0</v>
      </c>
      <c r="J221" s="2">
        <f>100-10.86</f>
        <v>89.14</v>
      </c>
      <c r="K221" s="2">
        <f>100-10.18</f>
        <v>89.82</v>
      </c>
      <c r="L221" s="22">
        <f t="shared" si="14"/>
        <v>88.79</v>
      </c>
      <c r="M221" s="22">
        <f t="shared" si="15"/>
        <v>89.82</v>
      </c>
      <c r="N221" s="20">
        <v>0.49020000000000002</v>
      </c>
      <c r="O221" s="21">
        <v>0.35189999999999999</v>
      </c>
      <c r="P221" s="20">
        <v>0.15790000000000001</v>
      </c>
      <c r="Q221" s="3" t="s">
        <v>6</v>
      </c>
    </row>
    <row r="222" spans="1:17" x14ac:dyDescent="0.35">
      <c r="A222" s="2">
        <v>221</v>
      </c>
      <c r="B222" s="26">
        <v>1</v>
      </c>
      <c r="C222" s="18" t="s">
        <v>3</v>
      </c>
      <c r="D222" s="18">
        <v>54</v>
      </c>
      <c r="E222" s="2">
        <v>1725344799</v>
      </c>
      <c r="F222" s="2">
        <v>6467</v>
      </c>
      <c r="G222" s="2">
        <f>Tabelle3[[#This Row],[ Durchsatz]]/120</f>
        <v>53.891666666666666</v>
      </c>
      <c r="H222" s="2">
        <v>0.31</v>
      </c>
      <c r="I222" s="2">
        <v>0</v>
      </c>
      <c r="J222" s="2">
        <f>100-9.24</f>
        <v>90.76</v>
      </c>
      <c r="K222" s="2">
        <f>100-12.56</f>
        <v>87.44</v>
      </c>
      <c r="L222" s="22">
        <f t="shared" si="14"/>
        <v>90.45</v>
      </c>
      <c r="M222" s="22">
        <f t="shared" si="15"/>
        <v>87.44</v>
      </c>
      <c r="N222" s="20">
        <v>0.48820000000000002</v>
      </c>
      <c r="O222" s="21">
        <v>0.3538</v>
      </c>
      <c r="P222" s="20">
        <v>0.15790000000000001</v>
      </c>
      <c r="Q222" s="3" t="s">
        <v>6</v>
      </c>
    </row>
    <row r="223" spans="1:17" x14ac:dyDescent="0.35">
      <c r="A223" s="2">
        <v>222</v>
      </c>
      <c r="B223" s="26">
        <v>1</v>
      </c>
      <c r="C223" s="18" t="s">
        <v>3</v>
      </c>
      <c r="D223" s="18">
        <v>54</v>
      </c>
      <c r="E223" s="2">
        <v>1406757557</v>
      </c>
      <c r="F223" s="2">
        <v>6439</v>
      </c>
      <c r="G223" s="2">
        <f>Tabelle3[[#This Row],[ Durchsatz]]/120</f>
        <v>53.658333333333331</v>
      </c>
      <c r="H223" s="2">
        <v>0.39</v>
      </c>
      <c r="I223" s="2">
        <v>0</v>
      </c>
      <c r="J223" s="2">
        <f>100-10.45</f>
        <v>89.55</v>
      </c>
      <c r="K223" s="2">
        <f>100-11.26</f>
        <v>88.74</v>
      </c>
      <c r="L223" s="22">
        <f t="shared" si="14"/>
        <v>89.16</v>
      </c>
      <c r="M223" s="22">
        <f t="shared" si="15"/>
        <v>88.74</v>
      </c>
      <c r="N223" s="20">
        <v>0.50049999999999994</v>
      </c>
      <c r="O223" s="21">
        <v>0.3543</v>
      </c>
      <c r="P223" s="20">
        <v>0.1452</v>
      </c>
      <c r="Q223" s="3" t="s">
        <v>6</v>
      </c>
    </row>
    <row r="224" spans="1:17" x14ac:dyDescent="0.35">
      <c r="A224" s="2">
        <v>223</v>
      </c>
      <c r="B224" s="26">
        <v>1</v>
      </c>
      <c r="C224" s="18" t="s">
        <v>2</v>
      </c>
      <c r="D224" s="18">
        <v>55</v>
      </c>
      <c r="E224" s="2">
        <v>1262590186</v>
      </c>
      <c r="F224" s="2">
        <v>6597</v>
      </c>
      <c r="G224" s="2">
        <f>Tabelle3[[#This Row],[ Durchsatz]]/120</f>
        <v>54.975000000000001</v>
      </c>
      <c r="H224" s="2">
        <v>0.77</v>
      </c>
      <c r="I224" s="2">
        <v>0</v>
      </c>
      <c r="J224" s="2">
        <f>100-9.6</f>
        <v>90.4</v>
      </c>
      <c r="K224" s="2">
        <f>100-7.68</f>
        <v>92.32</v>
      </c>
      <c r="L224" s="22">
        <f t="shared" si="14"/>
        <v>89.63000000000001</v>
      </c>
      <c r="M224" s="22">
        <f t="shared" si="15"/>
        <v>92.32</v>
      </c>
      <c r="N224" s="20">
        <v>0.44890000000000002</v>
      </c>
      <c r="O224" s="21">
        <v>0.35110000000000002</v>
      </c>
      <c r="P224" s="20">
        <v>0.2</v>
      </c>
      <c r="Q224" s="3" t="s">
        <v>6</v>
      </c>
    </row>
    <row r="225" spans="1:17" x14ac:dyDescent="0.35">
      <c r="A225" s="2">
        <v>224</v>
      </c>
      <c r="B225" s="26">
        <v>1</v>
      </c>
      <c r="C225" s="18" t="s">
        <v>2</v>
      </c>
      <c r="D225" s="18">
        <v>55</v>
      </c>
      <c r="E225" s="2">
        <v>1748383124</v>
      </c>
      <c r="F225" s="2">
        <v>6576</v>
      </c>
      <c r="G225" s="2">
        <f>Tabelle3[[#This Row],[ Durchsatz]]/120</f>
        <v>54.8</v>
      </c>
      <c r="H225" s="2">
        <v>0.7</v>
      </c>
      <c r="I225" s="2">
        <v>0</v>
      </c>
      <c r="J225" s="2">
        <f>100-8.78</f>
        <v>91.22</v>
      </c>
      <c r="K225" s="2">
        <f>100-8.33</f>
        <v>91.67</v>
      </c>
      <c r="L225" s="22">
        <f t="shared" si="14"/>
        <v>90.52</v>
      </c>
      <c r="M225" s="22">
        <f t="shared" si="15"/>
        <v>91.67</v>
      </c>
      <c r="N225" s="20">
        <v>0.45040000000000002</v>
      </c>
      <c r="O225" s="21">
        <v>0.34499999999999997</v>
      </c>
      <c r="P225" s="20">
        <v>0.2046</v>
      </c>
      <c r="Q225" s="3" t="s">
        <v>6</v>
      </c>
    </row>
    <row r="226" spans="1:17" x14ac:dyDescent="0.35">
      <c r="A226" s="2">
        <v>225</v>
      </c>
      <c r="B226" s="26">
        <v>1</v>
      </c>
      <c r="C226" s="18" t="s">
        <v>2</v>
      </c>
      <c r="D226" s="18">
        <v>55</v>
      </c>
      <c r="E226" s="2">
        <v>744522810</v>
      </c>
      <c r="F226" s="2">
        <v>6603</v>
      </c>
      <c r="G226" s="2">
        <f>Tabelle3[[#This Row],[ Durchsatz]]/120</f>
        <v>55.024999999999999</v>
      </c>
      <c r="H226" s="2">
        <v>0.6</v>
      </c>
      <c r="I226" s="2">
        <v>0</v>
      </c>
      <c r="J226" s="2">
        <f>100-7.23</f>
        <v>92.77</v>
      </c>
      <c r="K226" s="2">
        <f>100-10.03</f>
        <v>89.97</v>
      </c>
      <c r="L226" s="22">
        <f t="shared" si="14"/>
        <v>92.17</v>
      </c>
      <c r="M226" s="22">
        <f t="shared" si="15"/>
        <v>89.97</v>
      </c>
      <c r="N226" s="20">
        <v>0.45350000000000001</v>
      </c>
      <c r="O226" s="21">
        <v>0.35560000000000003</v>
      </c>
      <c r="P226" s="20">
        <v>0.19089999999999999</v>
      </c>
      <c r="Q226" s="3" t="s">
        <v>6</v>
      </c>
    </row>
    <row r="227" spans="1:17" x14ac:dyDescent="0.35">
      <c r="A227" s="2">
        <v>226</v>
      </c>
      <c r="B227" s="26">
        <v>1</v>
      </c>
      <c r="C227" s="18" t="s">
        <v>3</v>
      </c>
      <c r="D227" s="18">
        <v>55</v>
      </c>
      <c r="E227" s="2">
        <v>1314141749</v>
      </c>
      <c r="F227" s="2">
        <v>6611</v>
      </c>
      <c r="G227" s="2">
        <f>Tabelle3[[#This Row],[ Durchsatz]]/120</f>
        <v>55.091666666666669</v>
      </c>
      <c r="H227" s="2">
        <v>0.63</v>
      </c>
      <c r="I227" s="2">
        <v>0</v>
      </c>
      <c r="J227" s="2">
        <f>100-8.3</f>
        <v>91.7</v>
      </c>
      <c r="K227" s="2">
        <f>100-10</f>
        <v>90</v>
      </c>
      <c r="L227" s="22">
        <f t="shared" si="14"/>
        <v>91.070000000000007</v>
      </c>
      <c r="M227" s="22">
        <f t="shared" si="15"/>
        <v>90</v>
      </c>
      <c r="N227" s="20">
        <v>0.4582</v>
      </c>
      <c r="O227" s="21">
        <v>0.35970000000000002</v>
      </c>
      <c r="P227" s="20">
        <v>0.18210000000000001</v>
      </c>
      <c r="Q227" s="3" t="s">
        <v>6</v>
      </c>
    </row>
    <row r="228" spans="1:17" x14ac:dyDescent="0.35">
      <c r="A228" s="2">
        <v>227</v>
      </c>
      <c r="B228" s="26">
        <v>1</v>
      </c>
      <c r="C228" s="18" t="s">
        <v>3</v>
      </c>
      <c r="D228" s="18">
        <v>55</v>
      </c>
      <c r="E228" s="2">
        <v>427732484</v>
      </c>
      <c r="F228" s="2">
        <v>6596</v>
      </c>
      <c r="G228" s="2">
        <f>Tabelle3[[#This Row],[ Durchsatz]]/120</f>
        <v>54.966666666666669</v>
      </c>
      <c r="H228" s="2">
        <v>0.47</v>
      </c>
      <c r="I228" s="2">
        <v>0</v>
      </c>
      <c r="J228" s="2">
        <f>100-8.19</f>
        <v>91.81</v>
      </c>
      <c r="K228" s="2">
        <f>100-9.1</f>
        <v>90.9</v>
      </c>
      <c r="L228" s="22">
        <f t="shared" si="14"/>
        <v>91.34</v>
      </c>
      <c r="M228" s="22">
        <f t="shared" si="15"/>
        <v>90.9</v>
      </c>
      <c r="N228" s="20">
        <v>0.46899999999999997</v>
      </c>
      <c r="O228" s="21">
        <v>0.37659999999999999</v>
      </c>
      <c r="P228" s="20">
        <v>0.1545</v>
      </c>
      <c r="Q228" s="3" t="s">
        <v>6</v>
      </c>
    </row>
    <row r="229" spans="1:17" x14ac:dyDescent="0.35">
      <c r="A229" s="2">
        <v>228</v>
      </c>
      <c r="B229" s="26">
        <v>1</v>
      </c>
      <c r="C229" s="18" t="s">
        <v>3</v>
      </c>
      <c r="D229" s="18">
        <v>55</v>
      </c>
      <c r="E229" s="2">
        <v>1429720367</v>
      </c>
      <c r="F229" s="2">
        <v>6554</v>
      </c>
      <c r="G229" s="2">
        <f>Tabelle3[[#This Row],[ Durchsatz]]/120</f>
        <v>54.616666666666667</v>
      </c>
      <c r="H229" s="2">
        <v>0.99</v>
      </c>
      <c r="I229" s="2">
        <v>0</v>
      </c>
      <c r="J229" s="2">
        <f>100-8.6</f>
        <v>91.4</v>
      </c>
      <c r="K229" s="2">
        <f>100-11.49</f>
        <v>88.51</v>
      </c>
      <c r="L229" s="22">
        <f t="shared" ref="L229:L241" si="16">J229-H229</f>
        <v>90.410000000000011</v>
      </c>
      <c r="M229" s="22">
        <f t="shared" ref="M229:M241" si="17">K229-I229</f>
        <v>88.51</v>
      </c>
      <c r="N229" s="20">
        <v>0.44740000000000002</v>
      </c>
      <c r="O229" s="21">
        <v>0.33100000000000002</v>
      </c>
      <c r="P229" s="20">
        <v>0.22159999999999999</v>
      </c>
      <c r="Q229" s="3" t="s">
        <v>6</v>
      </c>
    </row>
    <row r="230" spans="1:17" x14ac:dyDescent="0.35">
      <c r="A230" s="2">
        <v>229</v>
      </c>
      <c r="B230" s="26">
        <v>1</v>
      </c>
      <c r="C230" s="18" t="s">
        <v>2</v>
      </c>
      <c r="D230" s="18">
        <v>56</v>
      </c>
      <c r="E230" s="2">
        <v>925846424</v>
      </c>
      <c r="F230" s="2">
        <v>6653</v>
      </c>
      <c r="G230" s="2">
        <f>Tabelle3[[#This Row],[ Durchsatz]]/120</f>
        <v>55.44166666666667</v>
      </c>
      <c r="H230" s="2">
        <v>0.86</v>
      </c>
      <c r="I230" s="2">
        <v>0</v>
      </c>
      <c r="J230" s="2">
        <f>100-8.48</f>
        <v>91.52</v>
      </c>
      <c r="K230" s="2">
        <f>100-9.03</f>
        <v>90.97</v>
      </c>
      <c r="L230" s="22">
        <f t="shared" si="16"/>
        <v>90.66</v>
      </c>
      <c r="M230" s="22">
        <f t="shared" si="17"/>
        <v>90.97</v>
      </c>
      <c r="N230" s="20">
        <v>0.43280000000000002</v>
      </c>
      <c r="O230" s="21">
        <v>0.3337</v>
      </c>
      <c r="P230" s="20">
        <v>0.2336</v>
      </c>
      <c r="Q230" s="3" t="s">
        <v>6</v>
      </c>
    </row>
    <row r="231" spans="1:17" x14ac:dyDescent="0.35">
      <c r="A231" s="2">
        <v>230</v>
      </c>
      <c r="B231" s="26">
        <v>1</v>
      </c>
      <c r="C231" s="18" t="s">
        <v>2</v>
      </c>
      <c r="D231" s="18">
        <v>56</v>
      </c>
      <c r="E231" s="2">
        <v>1253412486</v>
      </c>
      <c r="F231" s="2">
        <v>6648</v>
      </c>
      <c r="G231" s="2">
        <f>Tabelle3[[#This Row],[ Durchsatz]]/120</f>
        <v>55.4</v>
      </c>
      <c r="H231" s="2">
        <v>0.62</v>
      </c>
      <c r="I231" s="2">
        <v>0</v>
      </c>
      <c r="J231" s="2">
        <f>100-8.62</f>
        <v>91.38</v>
      </c>
      <c r="K231" s="2">
        <f>100-6.18</f>
        <v>93.82</v>
      </c>
      <c r="L231" s="22">
        <f t="shared" si="16"/>
        <v>90.759999999999991</v>
      </c>
      <c r="M231" s="22">
        <f t="shared" si="17"/>
        <v>93.82</v>
      </c>
      <c r="N231" s="20">
        <v>0.43540000000000001</v>
      </c>
      <c r="O231" s="21">
        <v>0.35139999999999999</v>
      </c>
      <c r="P231" s="20">
        <v>0.2132</v>
      </c>
      <c r="Q231" s="3" t="s">
        <v>6</v>
      </c>
    </row>
    <row r="232" spans="1:17" x14ac:dyDescent="0.35">
      <c r="A232" s="2">
        <v>231</v>
      </c>
      <c r="B232" s="26">
        <v>1</v>
      </c>
      <c r="C232" s="18" t="s">
        <v>2</v>
      </c>
      <c r="D232" s="18">
        <v>56</v>
      </c>
      <c r="E232" s="2">
        <v>1434424452</v>
      </c>
      <c r="F232" s="2">
        <v>6616</v>
      </c>
      <c r="G232" s="2">
        <f>Tabelle3[[#This Row],[ Durchsatz]]/120</f>
        <v>55.133333333333333</v>
      </c>
      <c r="H232" s="2">
        <v>0.71</v>
      </c>
      <c r="I232" s="2">
        <v>0.04</v>
      </c>
      <c r="J232" s="2">
        <f>100-11.2</f>
        <v>88.8</v>
      </c>
      <c r="K232" s="2">
        <f>100-6.52</f>
        <v>93.48</v>
      </c>
      <c r="L232" s="22">
        <f t="shared" si="16"/>
        <v>88.09</v>
      </c>
      <c r="M232" s="22">
        <f t="shared" si="17"/>
        <v>93.44</v>
      </c>
      <c r="N232" s="20">
        <v>0.43569999999999998</v>
      </c>
      <c r="O232" s="21">
        <v>0.34720000000000001</v>
      </c>
      <c r="P232" s="20">
        <v>0.21709999999999999</v>
      </c>
      <c r="Q232" s="3" t="s">
        <v>6</v>
      </c>
    </row>
    <row r="233" spans="1:17" x14ac:dyDescent="0.35">
      <c r="A233" s="2">
        <v>232</v>
      </c>
      <c r="B233" s="26">
        <v>1</v>
      </c>
      <c r="C233" s="18" t="s">
        <v>3</v>
      </c>
      <c r="D233" s="18">
        <v>56</v>
      </c>
      <c r="E233" s="2">
        <v>1053780038</v>
      </c>
      <c r="F233" s="2">
        <v>6718</v>
      </c>
      <c r="G233" s="2">
        <f>Tabelle3[[#This Row],[ Durchsatz]]/120</f>
        <v>55.983333333333334</v>
      </c>
      <c r="H233" s="2">
        <v>0.73</v>
      </c>
      <c r="I233" s="2">
        <v>0</v>
      </c>
      <c r="J233" s="2">
        <f>100-5.46</f>
        <v>94.54</v>
      </c>
      <c r="K233" s="2">
        <f>100-8.95</f>
        <v>91.05</v>
      </c>
      <c r="L233" s="22">
        <f t="shared" si="16"/>
        <v>93.81</v>
      </c>
      <c r="M233" s="22">
        <f t="shared" si="17"/>
        <v>91.05</v>
      </c>
      <c r="N233" s="20">
        <v>0.4259</v>
      </c>
      <c r="O233" s="21">
        <v>0.36220000000000002</v>
      </c>
      <c r="P233" s="20">
        <v>0.21199999999999999</v>
      </c>
      <c r="Q233" s="3" t="s">
        <v>6</v>
      </c>
    </row>
    <row r="234" spans="1:17" x14ac:dyDescent="0.35">
      <c r="A234" s="2">
        <v>233</v>
      </c>
      <c r="B234" s="26">
        <v>1</v>
      </c>
      <c r="C234" s="18" t="s">
        <v>3</v>
      </c>
      <c r="D234" s="18">
        <v>56</v>
      </c>
      <c r="E234" s="2">
        <v>1306090695</v>
      </c>
      <c r="F234" s="2">
        <v>6646</v>
      </c>
      <c r="G234" s="2">
        <f>Tabelle3[[#This Row],[ Durchsatz]]/120</f>
        <v>55.383333333333333</v>
      </c>
      <c r="H234" s="2">
        <v>0.61</v>
      </c>
      <c r="I234" s="2">
        <v>0</v>
      </c>
      <c r="J234" s="2">
        <f>100-9.95</f>
        <v>90.05</v>
      </c>
      <c r="K234" s="2">
        <f>100-8.03</f>
        <v>91.97</v>
      </c>
      <c r="L234" s="22">
        <f t="shared" si="16"/>
        <v>89.44</v>
      </c>
      <c r="M234" s="22">
        <f t="shared" si="17"/>
        <v>91.97</v>
      </c>
      <c r="N234" s="20">
        <v>0.44879999999999998</v>
      </c>
      <c r="O234" s="21">
        <v>0.35510000000000003</v>
      </c>
      <c r="P234" s="20">
        <v>0.19620000000000001</v>
      </c>
      <c r="Q234" s="3" t="s">
        <v>6</v>
      </c>
    </row>
    <row r="235" spans="1:17" x14ac:dyDescent="0.35">
      <c r="A235" s="2">
        <v>234</v>
      </c>
      <c r="B235" s="26">
        <v>1</v>
      </c>
      <c r="C235" s="18" t="s">
        <v>3</v>
      </c>
      <c r="D235" s="18">
        <v>56</v>
      </c>
      <c r="E235" s="2">
        <v>1154019309</v>
      </c>
      <c r="F235" s="2">
        <v>6714</v>
      </c>
      <c r="G235" s="2">
        <f>Tabelle3[[#This Row],[ Durchsatz]]/120</f>
        <v>55.95</v>
      </c>
      <c r="H235" s="2">
        <v>0.85</v>
      </c>
      <c r="I235" s="2">
        <v>0</v>
      </c>
      <c r="J235" s="2">
        <f>100-8.16</f>
        <v>91.84</v>
      </c>
      <c r="K235" s="2">
        <f>100-7.76</f>
        <v>92.24</v>
      </c>
      <c r="L235" s="22">
        <f t="shared" si="16"/>
        <v>90.990000000000009</v>
      </c>
      <c r="M235" s="22">
        <f t="shared" si="17"/>
        <v>92.24</v>
      </c>
      <c r="N235" s="20">
        <v>0.41899999999999998</v>
      </c>
      <c r="O235" s="21">
        <v>0.34279999999999999</v>
      </c>
      <c r="P235" s="20">
        <v>0.2382</v>
      </c>
      <c r="Q235" s="3" t="s">
        <v>6</v>
      </c>
    </row>
    <row r="236" spans="1:17" x14ac:dyDescent="0.35">
      <c r="A236" s="2">
        <v>235</v>
      </c>
      <c r="B236" s="26">
        <v>1</v>
      </c>
      <c r="C236" s="18" t="s">
        <v>2</v>
      </c>
      <c r="D236" s="18">
        <v>57</v>
      </c>
      <c r="E236" s="2">
        <v>1356884572</v>
      </c>
      <c r="F236" s="2">
        <v>6657</v>
      </c>
      <c r="G236" s="2">
        <f>Tabelle3[[#This Row],[ Durchsatz]]/120</f>
        <v>55.475000000000001</v>
      </c>
      <c r="H236" s="2">
        <v>0.8</v>
      </c>
      <c r="I236" s="2">
        <v>0</v>
      </c>
      <c r="J236" s="2">
        <f>100-9.32</f>
        <v>90.68</v>
      </c>
      <c r="K236" s="2">
        <f>100-5.72</f>
        <v>94.28</v>
      </c>
      <c r="L236" s="22">
        <f t="shared" si="16"/>
        <v>89.88000000000001</v>
      </c>
      <c r="M236" s="22">
        <f t="shared" si="17"/>
        <v>94.28</v>
      </c>
      <c r="N236" s="20">
        <v>0.42870000000000003</v>
      </c>
      <c r="O236" s="21">
        <v>0.32890000000000003</v>
      </c>
      <c r="P236" s="20">
        <v>0.2424</v>
      </c>
      <c r="Q236" s="3" t="s">
        <v>6</v>
      </c>
    </row>
    <row r="237" spans="1:17" x14ac:dyDescent="0.35">
      <c r="A237" s="2">
        <v>236</v>
      </c>
      <c r="B237" s="26">
        <v>1</v>
      </c>
      <c r="C237" s="18" t="s">
        <v>2</v>
      </c>
      <c r="D237" s="18">
        <v>57</v>
      </c>
      <c r="E237" s="2">
        <v>462035086</v>
      </c>
      <c r="F237" s="2">
        <v>6648</v>
      </c>
      <c r="G237" s="2">
        <f>Tabelle3[[#This Row],[ Durchsatz]]/120</f>
        <v>55.4</v>
      </c>
      <c r="H237" s="2">
        <v>0.64</v>
      </c>
      <c r="I237" s="2">
        <v>0</v>
      </c>
      <c r="J237" s="2">
        <f>100-6.62</f>
        <v>93.38</v>
      </c>
      <c r="K237" s="2">
        <f>100-7.83</f>
        <v>92.17</v>
      </c>
      <c r="L237" s="22">
        <f t="shared" si="16"/>
        <v>92.74</v>
      </c>
      <c r="M237" s="22">
        <f t="shared" si="17"/>
        <v>92.17</v>
      </c>
      <c r="N237" s="20">
        <v>0.43819999999999998</v>
      </c>
      <c r="O237" s="21">
        <v>0.36730000000000002</v>
      </c>
      <c r="P237" s="20">
        <v>0.19450000000000001</v>
      </c>
      <c r="Q237" s="3" t="s">
        <v>6</v>
      </c>
    </row>
    <row r="238" spans="1:17" x14ac:dyDescent="0.35">
      <c r="A238" s="2">
        <v>237</v>
      </c>
      <c r="B238" s="26">
        <v>1</v>
      </c>
      <c r="C238" s="18" t="s">
        <v>2</v>
      </c>
      <c r="D238" s="18">
        <v>57</v>
      </c>
      <c r="E238" s="2">
        <v>504476903</v>
      </c>
      <c r="F238" s="2">
        <v>6555</v>
      </c>
      <c r="G238" s="2">
        <f>Tabelle3[[#This Row],[ Durchsatz]]/120</f>
        <v>54.625</v>
      </c>
      <c r="H238" s="2">
        <v>0.85</v>
      </c>
      <c r="I238" s="2">
        <v>0</v>
      </c>
      <c r="J238" s="2">
        <f>100-9.09</f>
        <v>90.91</v>
      </c>
      <c r="K238" s="2">
        <f>100-7.9</f>
        <v>92.1</v>
      </c>
      <c r="L238" s="22">
        <f t="shared" si="16"/>
        <v>90.06</v>
      </c>
      <c r="M238" s="22">
        <f t="shared" si="17"/>
        <v>92.1</v>
      </c>
      <c r="N238" s="20">
        <v>0.44869999999999999</v>
      </c>
      <c r="O238" s="21">
        <v>0.32740000000000002</v>
      </c>
      <c r="P238" s="20">
        <v>0.22389999999999999</v>
      </c>
      <c r="Q238" s="3" t="s">
        <v>6</v>
      </c>
    </row>
    <row r="239" spans="1:17" x14ac:dyDescent="0.35">
      <c r="A239" s="2">
        <v>238</v>
      </c>
      <c r="B239" s="26">
        <v>1</v>
      </c>
      <c r="C239" s="18" t="s">
        <v>3</v>
      </c>
      <c r="D239" s="18">
        <v>57</v>
      </c>
      <c r="E239" s="2">
        <v>932463652</v>
      </c>
      <c r="F239" s="2">
        <v>6775</v>
      </c>
      <c r="G239" s="2">
        <f>Tabelle3[[#This Row],[ Durchsatz]]/120</f>
        <v>56.458333333333336</v>
      </c>
      <c r="H239" s="2">
        <v>1</v>
      </c>
      <c r="I239" s="2">
        <v>0</v>
      </c>
      <c r="J239" s="2">
        <f>100-7.41</f>
        <v>92.59</v>
      </c>
      <c r="K239" s="2">
        <f>100-7.86</f>
        <v>92.14</v>
      </c>
      <c r="L239" s="22">
        <f t="shared" si="16"/>
        <v>91.59</v>
      </c>
      <c r="M239" s="22">
        <f t="shared" si="17"/>
        <v>92.14</v>
      </c>
      <c r="N239" s="20">
        <v>0.40010000000000001</v>
      </c>
      <c r="O239" s="21">
        <v>0.3372</v>
      </c>
      <c r="P239" s="20">
        <v>0.26269999999999999</v>
      </c>
      <c r="Q239" s="3" t="s">
        <v>6</v>
      </c>
    </row>
    <row r="240" spans="1:17" x14ac:dyDescent="0.35">
      <c r="A240" s="2">
        <v>239</v>
      </c>
      <c r="B240" s="26">
        <v>1</v>
      </c>
      <c r="C240" s="18" t="s">
        <v>3</v>
      </c>
      <c r="D240" s="18">
        <v>57</v>
      </c>
      <c r="E240" s="2">
        <v>1029022405</v>
      </c>
      <c r="F240" s="2">
        <v>6810</v>
      </c>
      <c r="G240" s="2">
        <f>Tabelle3[[#This Row],[ Durchsatz]]/120</f>
        <v>56.75</v>
      </c>
      <c r="H240" s="2">
        <v>1.29</v>
      </c>
      <c r="I240" s="2">
        <v>0.04</v>
      </c>
      <c r="J240" s="2">
        <f>100-9.28</f>
        <v>90.72</v>
      </c>
      <c r="K240" s="2">
        <f>100-4.52</f>
        <v>95.48</v>
      </c>
      <c r="L240" s="22">
        <f t="shared" si="16"/>
        <v>89.429999999999993</v>
      </c>
      <c r="M240" s="22">
        <f t="shared" si="17"/>
        <v>95.44</v>
      </c>
      <c r="N240" s="20">
        <v>0.3901</v>
      </c>
      <c r="O240" s="21">
        <v>0.33610000000000001</v>
      </c>
      <c r="P240" s="20">
        <v>0.2737</v>
      </c>
      <c r="Q240" s="3" t="s">
        <v>6</v>
      </c>
    </row>
    <row r="241" spans="1:17" x14ac:dyDescent="0.35">
      <c r="A241" s="2">
        <v>240</v>
      </c>
      <c r="B241" s="26">
        <v>1</v>
      </c>
      <c r="C241" s="18" t="s">
        <v>3</v>
      </c>
      <c r="D241" s="18">
        <v>57</v>
      </c>
      <c r="E241" s="2">
        <v>1576879037</v>
      </c>
      <c r="F241" s="2">
        <v>6783</v>
      </c>
      <c r="G241" s="2">
        <f>Tabelle3[[#This Row],[ Durchsatz]]/120</f>
        <v>56.524999999999999</v>
      </c>
      <c r="H241" s="2">
        <v>1.05</v>
      </c>
      <c r="I241" s="2">
        <v>0.01</v>
      </c>
      <c r="J241" s="2">
        <f>100-7.52</f>
        <v>92.48</v>
      </c>
      <c r="K241" s="2">
        <f>100-5.46</f>
        <v>94.54</v>
      </c>
      <c r="L241" s="22">
        <f t="shared" si="16"/>
        <v>91.43</v>
      </c>
      <c r="M241" s="22">
        <f t="shared" si="17"/>
        <v>94.53</v>
      </c>
      <c r="N241" s="20">
        <v>0.40310000000000001</v>
      </c>
      <c r="O241" s="21">
        <v>0.35110000000000002</v>
      </c>
      <c r="P241" s="20">
        <v>0.24579999999999999</v>
      </c>
      <c r="Q241" s="3" t="s">
        <v>6</v>
      </c>
    </row>
    <row r="242" spans="1:17" x14ac:dyDescent="0.35">
      <c r="A242" s="2">
        <v>241</v>
      </c>
      <c r="B242" s="26">
        <v>1</v>
      </c>
      <c r="C242" s="18" t="s">
        <v>2</v>
      </c>
      <c r="D242" s="18">
        <v>58</v>
      </c>
      <c r="E242" s="2">
        <v>219189148</v>
      </c>
      <c r="F242" s="2">
        <v>6576</v>
      </c>
      <c r="G242" s="2">
        <f>Tabelle3[[#This Row],[ Durchsatz]]/120</f>
        <v>54.8</v>
      </c>
      <c r="H242" s="2">
        <v>0.7</v>
      </c>
      <c r="I242" s="2">
        <v>0</v>
      </c>
      <c r="J242" s="2">
        <f>100-8.48</f>
        <v>91.52</v>
      </c>
      <c r="K242" s="2">
        <f>100-6.65</f>
        <v>93.35</v>
      </c>
      <c r="L242" s="22">
        <f t="shared" ref="L242:L256" si="18">J242-H242</f>
        <v>90.82</v>
      </c>
      <c r="M242" s="22">
        <f t="shared" ref="M242:M256" si="19">K242-I242</f>
        <v>93.35</v>
      </c>
      <c r="N242" s="20">
        <v>0.44700000000000001</v>
      </c>
      <c r="O242" s="21">
        <v>0.34620000000000001</v>
      </c>
      <c r="P242" s="20">
        <v>0.20680000000000001</v>
      </c>
      <c r="Q242" s="3" t="s">
        <v>6</v>
      </c>
    </row>
    <row r="243" spans="1:17" x14ac:dyDescent="0.35">
      <c r="A243" s="2">
        <v>242</v>
      </c>
      <c r="B243" s="26">
        <v>1</v>
      </c>
      <c r="C243" s="18" t="s">
        <v>2</v>
      </c>
      <c r="D243" s="18">
        <v>58</v>
      </c>
      <c r="E243" s="2">
        <v>1594245766</v>
      </c>
      <c r="F243" s="2">
        <v>6662</v>
      </c>
      <c r="G243" s="2">
        <f>Tabelle3[[#This Row],[ Durchsatz]]/120</f>
        <v>55.516666666666666</v>
      </c>
      <c r="H243" s="2">
        <v>0.71</v>
      </c>
      <c r="I243" s="2">
        <v>0</v>
      </c>
      <c r="J243" s="2">
        <f>100-7.65</f>
        <v>92.35</v>
      </c>
      <c r="K243" s="2">
        <f>100-6.29</f>
        <v>93.71</v>
      </c>
      <c r="L243" s="22">
        <f t="shared" si="18"/>
        <v>91.64</v>
      </c>
      <c r="M243" s="22">
        <f t="shared" si="19"/>
        <v>93.71</v>
      </c>
      <c r="N243" s="20">
        <v>0.42109999999999997</v>
      </c>
      <c r="O243" s="21">
        <v>0.33839999999999998</v>
      </c>
      <c r="P243" s="20">
        <v>0.24049999999999999</v>
      </c>
      <c r="Q243" s="3" t="s">
        <v>6</v>
      </c>
    </row>
    <row r="244" spans="1:17" x14ac:dyDescent="0.35">
      <c r="A244" s="2">
        <v>243</v>
      </c>
      <c r="B244" s="26">
        <v>1</v>
      </c>
      <c r="C244" s="18" t="s">
        <v>2</v>
      </c>
      <c r="D244" s="18">
        <v>58</v>
      </c>
      <c r="E244" s="2">
        <v>902593299</v>
      </c>
      <c r="F244" s="2">
        <v>6648</v>
      </c>
      <c r="G244" s="2">
        <f>Tabelle3[[#This Row],[ Durchsatz]]/120</f>
        <v>55.4</v>
      </c>
      <c r="H244" s="2">
        <v>0.86</v>
      </c>
      <c r="I244" s="2">
        <v>0</v>
      </c>
      <c r="J244" s="2">
        <f>100-6.37</f>
        <v>93.63</v>
      </c>
      <c r="K244" s="2">
        <f>100-9.7</f>
        <v>90.3</v>
      </c>
      <c r="L244" s="22">
        <f t="shared" si="18"/>
        <v>92.77</v>
      </c>
      <c r="M244" s="22">
        <f t="shared" si="19"/>
        <v>90.3</v>
      </c>
      <c r="N244" s="20">
        <v>0.4335</v>
      </c>
      <c r="O244" s="21">
        <v>0.34029999999999999</v>
      </c>
      <c r="P244" s="20">
        <v>0.22620000000000001</v>
      </c>
      <c r="Q244" s="3" t="s">
        <v>6</v>
      </c>
    </row>
    <row r="245" spans="1:17" x14ac:dyDescent="0.35">
      <c r="A245" s="2">
        <v>244</v>
      </c>
      <c r="B245" s="26">
        <v>1</v>
      </c>
      <c r="C245" s="18" t="s">
        <v>3</v>
      </c>
      <c r="D245" s="18">
        <v>58</v>
      </c>
      <c r="E245" s="2">
        <v>1686388966</v>
      </c>
      <c r="F245" s="2">
        <v>6809</v>
      </c>
      <c r="G245" s="2">
        <f>Tabelle3[[#This Row],[ Durchsatz]]/120</f>
        <v>56.741666666666667</v>
      </c>
      <c r="H245" s="2">
        <v>1.03</v>
      </c>
      <c r="I245" s="2">
        <v>0.03</v>
      </c>
      <c r="J245" s="2">
        <f>100-4.29</f>
        <v>95.71</v>
      </c>
      <c r="K245" s="2">
        <f>100-8</f>
        <v>92</v>
      </c>
      <c r="L245" s="22">
        <f t="shared" si="18"/>
        <v>94.679999999999993</v>
      </c>
      <c r="M245" s="22">
        <f t="shared" si="19"/>
        <v>91.97</v>
      </c>
      <c r="N245" s="20">
        <v>0.38940000000000002</v>
      </c>
      <c r="O245" s="21">
        <v>0.33950000000000002</v>
      </c>
      <c r="P245" s="20">
        <v>0.27110000000000001</v>
      </c>
      <c r="Q245" s="3" t="s">
        <v>6</v>
      </c>
    </row>
    <row r="246" spans="1:17" x14ac:dyDescent="0.35">
      <c r="A246" s="2">
        <v>245</v>
      </c>
      <c r="B246" s="26">
        <v>1</v>
      </c>
      <c r="C246" s="18" t="s">
        <v>3</v>
      </c>
      <c r="D246" s="18">
        <v>58</v>
      </c>
      <c r="E246" s="2">
        <v>1078457366</v>
      </c>
      <c r="F246" s="2">
        <v>6864</v>
      </c>
      <c r="G246" s="2">
        <f>Tabelle3[[#This Row],[ Durchsatz]]/120</f>
        <v>57.2</v>
      </c>
      <c r="H246" s="2">
        <v>0.9</v>
      </c>
      <c r="I246" s="2">
        <v>0</v>
      </c>
      <c r="J246" s="2">
        <f>100-8.57</f>
        <v>91.43</v>
      </c>
      <c r="K246" s="2">
        <f>100-4.14</f>
        <v>95.86</v>
      </c>
      <c r="L246" s="22">
        <f t="shared" si="18"/>
        <v>90.53</v>
      </c>
      <c r="M246" s="22">
        <f t="shared" si="19"/>
        <v>95.86</v>
      </c>
      <c r="N246" s="20">
        <v>0.37569999999999998</v>
      </c>
      <c r="O246" s="21">
        <v>0.3322</v>
      </c>
      <c r="P246" s="20">
        <v>0.29220000000000002</v>
      </c>
      <c r="Q246" s="3" t="s">
        <v>6</v>
      </c>
    </row>
    <row r="247" spans="1:17" x14ac:dyDescent="0.35">
      <c r="A247" s="2">
        <v>246</v>
      </c>
      <c r="B247" s="26">
        <v>1</v>
      </c>
      <c r="C247" s="18" t="s">
        <v>3</v>
      </c>
      <c r="D247" s="18">
        <v>58</v>
      </c>
      <c r="E247" s="2">
        <v>343096291</v>
      </c>
      <c r="F247" s="2">
        <v>6660</v>
      </c>
      <c r="G247" s="2">
        <f>Tabelle3[[#This Row],[ Durchsatz]]/120</f>
        <v>55.5</v>
      </c>
      <c r="H247" s="2">
        <v>1.04</v>
      </c>
      <c r="I247" s="2">
        <v>0</v>
      </c>
      <c r="J247" s="2">
        <f>100-6.73</f>
        <v>93.27</v>
      </c>
      <c r="K247" s="2">
        <f>100-9.23</f>
        <v>90.77</v>
      </c>
      <c r="L247" s="22">
        <f t="shared" si="18"/>
        <v>92.22999999999999</v>
      </c>
      <c r="M247" s="22">
        <f t="shared" si="19"/>
        <v>90.77</v>
      </c>
      <c r="N247" s="20">
        <v>0.42520000000000002</v>
      </c>
      <c r="O247" s="21">
        <v>0.3458</v>
      </c>
      <c r="P247" s="20">
        <v>0.22900000000000001</v>
      </c>
      <c r="Q247" s="3" t="s">
        <v>6</v>
      </c>
    </row>
    <row r="248" spans="1:17" x14ac:dyDescent="0.35">
      <c r="A248" s="2">
        <v>247</v>
      </c>
      <c r="B248" s="26">
        <v>1</v>
      </c>
      <c r="C248" s="18" t="s">
        <v>2</v>
      </c>
      <c r="D248" s="18">
        <v>59</v>
      </c>
      <c r="E248" s="2">
        <v>1803288156</v>
      </c>
      <c r="F248" s="2">
        <v>6680</v>
      </c>
      <c r="G248" s="2">
        <f>Tabelle3[[#This Row],[ Durchsatz]]/120</f>
        <v>55.666666666666664</v>
      </c>
      <c r="H248" s="2">
        <v>1.1599999999999999</v>
      </c>
      <c r="I248" s="2">
        <v>0</v>
      </c>
      <c r="J248" s="2">
        <f>100-9.27</f>
        <v>90.73</v>
      </c>
      <c r="K248" s="2">
        <f>100-4.54</f>
        <v>95.46</v>
      </c>
      <c r="L248" s="22">
        <f t="shared" si="18"/>
        <v>89.570000000000007</v>
      </c>
      <c r="M248" s="22">
        <f t="shared" si="19"/>
        <v>95.46</v>
      </c>
      <c r="N248" s="20">
        <v>0.42670000000000002</v>
      </c>
      <c r="O248" s="21">
        <v>0.33510000000000001</v>
      </c>
      <c r="P248" s="20">
        <v>0.2382</v>
      </c>
      <c r="Q248" s="3" t="s">
        <v>6</v>
      </c>
    </row>
    <row r="249" spans="1:17" x14ac:dyDescent="0.35">
      <c r="A249" s="2">
        <v>248</v>
      </c>
      <c r="B249" s="26">
        <v>1</v>
      </c>
      <c r="C249" s="18" t="s">
        <v>2</v>
      </c>
      <c r="D249" s="18">
        <v>59</v>
      </c>
      <c r="E249" s="2">
        <v>820127973</v>
      </c>
      <c r="F249" s="2">
        <v>6686</v>
      </c>
      <c r="G249" s="2">
        <f>Tabelle3[[#This Row],[ Durchsatz]]/120</f>
        <v>55.716666666666669</v>
      </c>
      <c r="H249" s="2">
        <v>0.84</v>
      </c>
      <c r="I249" s="2">
        <v>0</v>
      </c>
      <c r="J249" s="2">
        <f>100-8.33</f>
        <v>91.67</v>
      </c>
      <c r="K249" s="2">
        <f>100-6.06</f>
        <v>93.94</v>
      </c>
      <c r="L249" s="22">
        <f t="shared" si="18"/>
        <v>90.83</v>
      </c>
      <c r="M249" s="22">
        <f t="shared" si="19"/>
        <v>93.94</v>
      </c>
      <c r="N249" s="20">
        <v>0.41820000000000002</v>
      </c>
      <c r="O249" s="21">
        <v>0.34289999999999998</v>
      </c>
      <c r="P249" s="20">
        <v>0.23899999999999999</v>
      </c>
      <c r="Q249" s="3" t="s">
        <v>6</v>
      </c>
    </row>
    <row r="250" spans="1:17" x14ac:dyDescent="0.35">
      <c r="A250" s="2">
        <v>249</v>
      </c>
      <c r="B250" s="26">
        <v>1</v>
      </c>
      <c r="C250" s="18" t="s">
        <v>2</v>
      </c>
      <c r="D250" s="18">
        <v>59</v>
      </c>
      <c r="E250" s="2">
        <v>1293629186</v>
      </c>
      <c r="F250" s="2">
        <v>6662</v>
      </c>
      <c r="G250" s="2">
        <f>Tabelle3[[#This Row],[ Durchsatz]]/120</f>
        <v>55.516666666666666</v>
      </c>
      <c r="H250" s="2">
        <v>0.84</v>
      </c>
      <c r="I250" s="2">
        <v>0</v>
      </c>
      <c r="J250" s="2">
        <f>100-7.91</f>
        <v>92.09</v>
      </c>
      <c r="K250" s="2">
        <f>100-9.37</f>
        <v>90.63</v>
      </c>
      <c r="L250" s="22">
        <f t="shared" si="18"/>
        <v>91.25</v>
      </c>
      <c r="M250" s="22">
        <f t="shared" si="19"/>
        <v>90.63</v>
      </c>
      <c r="N250" s="20">
        <v>0.4234</v>
      </c>
      <c r="O250" s="21">
        <v>0.34339999999999998</v>
      </c>
      <c r="P250" s="20">
        <v>0.2331</v>
      </c>
      <c r="Q250" s="3" t="s">
        <v>6</v>
      </c>
    </row>
    <row r="251" spans="1:17" x14ac:dyDescent="0.35">
      <c r="A251" s="2">
        <v>250</v>
      </c>
      <c r="B251" s="26">
        <v>1</v>
      </c>
      <c r="C251" s="18" t="s">
        <v>3</v>
      </c>
      <c r="D251" s="18">
        <v>59</v>
      </c>
      <c r="E251" s="2">
        <v>234636872</v>
      </c>
      <c r="F251" s="2">
        <v>6709</v>
      </c>
      <c r="G251" s="2">
        <f>Tabelle3[[#This Row],[ Durchsatz]]/120</f>
        <v>55.908333333333331</v>
      </c>
      <c r="H251" s="2">
        <v>1.2</v>
      </c>
      <c r="I251" s="2">
        <v>0</v>
      </c>
      <c r="J251" s="2">
        <f>100-7.93</f>
        <v>92.07</v>
      </c>
      <c r="K251" s="2">
        <f>100-7.3</f>
        <v>92.7</v>
      </c>
      <c r="L251" s="22">
        <f t="shared" si="18"/>
        <v>90.86999999999999</v>
      </c>
      <c r="M251" s="22">
        <f t="shared" si="19"/>
        <v>92.7</v>
      </c>
      <c r="N251" s="20">
        <v>0.40100000000000002</v>
      </c>
      <c r="O251" s="21">
        <v>0.32700000000000001</v>
      </c>
      <c r="P251" s="20">
        <v>0.27200000000000002</v>
      </c>
      <c r="Q251" s="3" t="s">
        <v>6</v>
      </c>
    </row>
    <row r="252" spans="1:17" x14ac:dyDescent="0.35">
      <c r="A252" s="2">
        <v>251</v>
      </c>
      <c r="B252" s="26">
        <v>1</v>
      </c>
      <c r="C252" s="18" t="s">
        <v>3</v>
      </c>
      <c r="D252" s="18">
        <v>59</v>
      </c>
      <c r="E252" s="2">
        <v>907685605</v>
      </c>
      <c r="F252" s="2">
        <v>6714</v>
      </c>
      <c r="G252" s="2">
        <f>Tabelle3[[#This Row],[ Durchsatz]]/120</f>
        <v>55.95</v>
      </c>
      <c r="H252" s="2">
        <v>0.99</v>
      </c>
      <c r="I252" s="2">
        <v>0</v>
      </c>
      <c r="J252" s="2">
        <f>100-6.59</f>
        <v>93.41</v>
      </c>
      <c r="K252" s="2">
        <f>100-6</f>
        <v>94</v>
      </c>
      <c r="L252" s="22">
        <f t="shared" si="18"/>
        <v>92.42</v>
      </c>
      <c r="M252" s="22">
        <f t="shared" si="19"/>
        <v>94</v>
      </c>
      <c r="N252" s="20">
        <v>0.41239999999999999</v>
      </c>
      <c r="O252" s="21">
        <v>0.33939999999999998</v>
      </c>
      <c r="P252" s="20">
        <v>0.2482</v>
      </c>
      <c r="Q252" s="3" t="s">
        <v>6</v>
      </c>
    </row>
    <row r="253" spans="1:17" x14ac:dyDescent="0.35">
      <c r="A253" s="2">
        <v>252</v>
      </c>
      <c r="B253" s="26">
        <v>1</v>
      </c>
      <c r="C253" s="18" t="s">
        <v>3</v>
      </c>
      <c r="D253" s="18">
        <v>59</v>
      </c>
      <c r="E253" s="2">
        <v>872929979</v>
      </c>
      <c r="F253" s="2">
        <v>6857</v>
      </c>
      <c r="G253" s="2">
        <f>Tabelle3[[#This Row],[ Durchsatz]]/120</f>
        <v>57.141666666666666</v>
      </c>
      <c r="H253" s="2">
        <v>0.88</v>
      </c>
      <c r="I253" s="2">
        <v>0</v>
      </c>
      <c r="J253" s="2">
        <f>100-6.87</f>
        <v>93.13</v>
      </c>
      <c r="K253" s="2">
        <f>100-5.8</f>
        <v>94.2</v>
      </c>
      <c r="L253" s="22">
        <f t="shared" si="18"/>
        <v>92.25</v>
      </c>
      <c r="M253" s="22">
        <f t="shared" si="19"/>
        <v>94.2</v>
      </c>
      <c r="N253" s="20">
        <v>0.38100000000000001</v>
      </c>
      <c r="O253" s="21">
        <v>0.3478</v>
      </c>
      <c r="P253" s="20">
        <v>0.27110000000000001</v>
      </c>
      <c r="Q253" s="3" t="s">
        <v>6</v>
      </c>
    </row>
    <row r="254" spans="1:17" x14ac:dyDescent="0.35">
      <c r="A254" s="2">
        <v>253</v>
      </c>
      <c r="B254" s="26">
        <v>1</v>
      </c>
      <c r="C254" s="18" t="s">
        <v>2</v>
      </c>
      <c r="D254" s="18">
        <v>60</v>
      </c>
      <c r="E254" s="2">
        <v>1111153038</v>
      </c>
      <c r="F254" s="2">
        <v>6662</v>
      </c>
      <c r="G254" s="2">
        <f>Tabelle3[[#This Row],[ Durchsatz]]/120</f>
        <v>55.516666666666666</v>
      </c>
      <c r="H254" s="2">
        <v>1.34</v>
      </c>
      <c r="I254" s="2">
        <v>0</v>
      </c>
      <c r="J254" s="2">
        <f>100-7.04</f>
        <v>92.96</v>
      </c>
      <c r="K254" s="2">
        <f>100-7.86</f>
        <v>92.14</v>
      </c>
      <c r="L254" s="22">
        <f t="shared" si="18"/>
        <v>91.61999999999999</v>
      </c>
      <c r="M254" s="22">
        <f t="shared" si="19"/>
        <v>92.14</v>
      </c>
      <c r="N254" s="20">
        <v>0.41549999999999998</v>
      </c>
      <c r="O254" s="21">
        <v>0.32240000000000002</v>
      </c>
      <c r="P254" s="20">
        <v>0.26200000000000001</v>
      </c>
      <c r="Q254" s="3" t="s">
        <v>6</v>
      </c>
    </row>
    <row r="255" spans="1:17" x14ac:dyDescent="0.35">
      <c r="A255" s="2">
        <v>254</v>
      </c>
      <c r="B255" s="26">
        <v>1</v>
      </c>
      <c r="C255" s="18" t="s">
        <v>2</v>
      </c>
      <c r="D255" s="18">
        <v>60</v>
      </c>
      <c r="E255" s="2">
        <v>402669564</v>
      </c>
      <c r="F255" s="2">
        <v>6769</v>
      </c>
      <c r="G255" s="2">
        <f>Tabelle3[[#This Row],[ Durchsatz]]/120</f>
        <v>56.408333333333331</v>
      </c>
      <c r="H255" s="2">
        <v>1.36</v>
      </c>
      <c r="I255" s="2">
        <v>0</v>
      </c>
      <c r="J255" s="2">
        <f>100-5.68</f>
        <v>94.32</v>
      </c>
      <c r="K255" s="2">
        <f>100-7.81</f>
        <v>92.19</v>
      </c>
      <c r="L255" s="22">
        <f t="shared" si="18"/>
        <v>92.96</v>
      </c>
      <c r="M255" s="22">
        <f t="shared" si="19"/>
        <v>92.19</v>
      </c>
      <c r="N255" s="20">
        <v>0.40150000000000002</v>
      </c>
      <c r="O255" s="21">
        <v>0.33750000000000002</v>
      </c>
      <c r="P255" s="20">
        <v>0.26100000000000001</v>
      </c>
      <c r="Q255" s="3" t="s">
        <v>6</v>
      </c>
    </row>
    <row r="256" spans="1:17" x14ac:dyDescent="0.35">
      <c r="A256" s="2">
        <v>255</v>
      </c>
      <c r="B256" s="26">
        <v>1</v>
      </c>
      <c r="C256" s="18" t="s">
        <v>2</v>
      </c>
      <c r="D256" s="18">
        <v>60</v>
      </c>
      <c r="E256" s="2">
        <v>511530292</v>
      </c>
      <c r="F256" s="2">
        <v>6727</v>
      </c>
      <c r="G256" s="2">
        <f>Tabelle3[[#This Row],[ Durchsatz]]/120</f>
        <v>56.05833333333333</v>
      </c>
      <c r="H256" s="2">
        <v>1.03</v>
      </c>
      <c r="I256" s="2">
        <v>0</v>
      </c>
      <c r="J256" s="2">
        <f>100-6.25</f>
        <v>93.75</v>
      </c>
      <c r="K256" s="2">
        <f>100-6.71</f>
        <v>93.29</v>
      </c>
      <c r="L256" s="22">
        <f t="shared" si="18"/>
        <v>92.72</v>
      </c>
      <c r="M256" s="22">
        <f t="shared" si="19"/>
        <v>93.29</v>
      </c>
      <c r="N256" s="20">
        <v>0.4083</v>
      </c>
      <c r="O256" s="21">
        <v>0.3322</v>
      </c>
      <c r="P256" s="20">
        <v>0.25950000000000001</v>
      </c>
      <c r="Q256" s="3" t="s">
        <v>6</v>
      </c>
    </row>
    <row r="257" spans="1:17" x14ac:dyDescent="0.35">
      <c r="A257" s="2">
        <v>256</v>
      </c>
      <c r="B257" s="26">
        <v>1</v>
      </c>
      <c r="C257" s="18" t="s">
        <v>3</v>
      </c>
      <c r="D257" s="18">
        <v>60</v>
      </c>
      <c r="E257" s="2">
        <v>1410429980</v>
      </c>
      <c r="F257" s="2">
        <v>6785</v>
      </c>
      <c r="G257" s="2">
        <f>Tabelle3[[#This Row],[ Durchsatz]]/120</f>
        <v>56.541666666666664</v>
      </c>
      <c r="H257" s="2">
        <v>0.68</v>
      </c>
      <c r="I257" s="2">
        <v>0</v>
      </c>
      <c r="J257" s="2">
        <f>100-6.55</f>
        <v>93.45</v>
      </c>
      <c r="K257" s="2">
        <f>100-6.65</f>
        <v>93.35</v>
      </c>
      <c r="L257" s="22">
        <f t="shared" ref="L257:L267" si="20">J257-H257</f>
        <v>92.77</v>
      </c>
      <c r="M257" s="22">
        <f t="shared" ref="M257:M267" si="21">K257-I257</f>
        <v>93.35</v>
      </c>
      <c r="N257" s="20">
        <v>0.40129999999999999</v>
      </c>
      <c r="O257" s="21">
        <v>0.34089999999999998</v>
      </c>
      <c r="P257" s="20">
        <v>0.25779999999999997</v>
      </c>
      <c r="Q257" s="3" t="s">
        <v>6</v>
      </c>
    </row>
    <row r="258" spans="1:17" x14ac:dyDescent="0.35">
      <c r="A258" s="2">
        <v>257</v>
      </c>
      <c r="B258" s="26">
        <v>1</v>
      </c>
      <c r="C258" s="18" t="s">
        <v>3</v>
      </c>
      <c r="D258" s="18">
        <v>60</v>
      </c>
      <c r="E258" s="2">
        <v>1075043305</v>
      </c>
      <c r="F258" s="2">
        <v>6895</v>
      </c>
      <c r="G258" s="2">
        <f>Tabelle3[[#This Row],[ Durchsatz]]/120</f>
        <v>57.458333333333336</v>
      </c>
      <c r="H258" s="2">
        <v>1.49</v>
      </c>
      <c r="I258" s="2">
        <v>0</v>
      </c>
      <c r="J258" s="2">
        <f>100-4.13</f>
        <v>95.87</v>
      </c>
      <c r="K258" s="2">
        <f>100-7.52</f>
        <v>92.48</v>
      </c>
      <c r="L258" s="22">
        <f t="shared" ref="L258:L264" si="22">J258-H258</f>
        <v>94.38000000000001</v>
      </c>
      <c r="M258" s="22">
        <f t="shared" ref="M258:M264" si="23">K258-I258</f>
        <v>92.48</v>
      </c>
      <c r="N258" s="20">
        <v>0.36499999999999999</v>
      </c>
      <c r="O258" s="21">
        <v>0.31840000000000002</v>
      </c>
      <c r="P258" s="20">
        <v>0.31659999999999999</v>
      </c>
      <c r="Q258" s="3" t="s">
        <v>6</v>
      </c>
    </row>
    <row r="259" spans="1:17" x14ac:dyDescent="0.35">
      <c r="A259" s="2">
        <v>258</v>
      </c>
      <c r="B259" s="26">
        <v>1</v>
      </c>
      <c r="C259" s="18" t="s">
        <v>3</v>
      </c>
      <c r="D259" s="18">
        <v>60</v>
      </c>
      <c r="E259" s="2">
        <v>1392916476</v>
      </c>
      <c r="F259" s="2">
        <v>6711</v>
      </c>
      <c r="G259" s="2">
        <f>Tabelle3[[#This Row],[ Durchsatz]]/120</f>
        <v>55.924999999999997</v>
      </c>
      <c r="H259" s="2">
        <v>1.21</v>
      </c>
      <c r="I259" s="2">
        <v>0</v>
      </c>
      <c r="J259" s="2">
        <f>100-7.88</f>
        <v>92.12</v>
      </c>
      <c r="K259" s="2">
        <f>100-7.04</f>
        <v>92.96</v>
      </c>
      <c r="L259" s="22">
        <f t="shared" si="22"/>
        <v>90.910000000000011</v>
      </c>
      <c r="M259" s="22">
        <f t="shared" si="23"/>
        <v>92.96</v>
      </c>
      <c r="N259" s="20">
        <v>0.39829999999999999</v>
      </c>
      <c r="O259" s="21">
        <v>0.33229999999999998</v>
      </c>
      <c r="P259" s="20">
        <v>0.26939999999999997</v>
      </c>
      <c r="Q259" s="3" t="s">
        <v>6</v>
      </c>
    </row>
    <row r="260" spans="1:17" x14ac:dyDescent="0.35">
      <c r="A260" s="2">
        <v>259</v>
      </c>
      <c r="B260" s="26">
        <v>1</v>
      </c>
      <c r="C260" s="18" t="s">
        <v>2</v>
      </c>
      <c r="D260" s="18">
        <v>61</v>
      </c>
      <c r="E260" s="2">
        <v>1163108676</v>
      </c>
      <c r="F260" s="2">
        <v>6660</v>
      </c>
      <c r="G260" s="2">
        <f>Tabelle3[[#This Row],[ Durchsatz]]/120</f>
        <v>55.5</v>
      </c>
      <c r="H260" s="2">
        <v>1.02</v>
      </c>
      <c r="I260" s="2">
        <v>0</v>
      </c>
      <c r="J260" s="2">
        <f>100-7.56</f>
        <v>92.44</v>
      </c>
      <c r="K260" s="2">
        <f>100-7.98</f>
        <v>92.02</v>
      </c>
      <c r="L260" s="22">
        <f t="shared" si="22"/>
        <v>91.42</v>
      </c>
      <c r="M260" s="22">
        <f t="shared" si="23"/>
        <v>92.02</v>
      </c>
      <c r="N260" s="20">
        <v>0.42720000000000002</v>
      </c>
      <c r="O260" s="21">
        <v>0.3286</v>
      </c>
      <c r="P260" s="20">
        <v>0.2442</v>
      </c>
      <c r="Q260" s="3" t="s">
        <v>6</v>
      </c>
    </row>
    <row r="261" spans="1:17" x14ac:dyDescent="0.35">
      <c r="A261" s="2">
        <v>260</v>
      </c>
      <c r="B261" s="26">
        <v>1</v>
      </c>
      <c r="C261" s="18" t="s">
        <v>2</v>
      </c>
      <c r="D261" s="18">
        <v>61</v>
      </c>
      <c r="E261" s="2">
        <v>739703518</v>
      </c>
      <c r="F261" s="2">
        <v>6744</v>
      </c>
      <c r="G261" s="2">
        <f>Tabelle3[[#This Row],[ Durchsatz]]/120</f>
        <v>56.2</v>
      </c>
      <c r="H261" s="2">
        <v>1.22</v>
      </c>
      <c r="I261" s="2">
        <v>0</v>
      </c>
      <c r="J261" s="2">
        <f>100-6.96</f>
        <v>93.04</v>
      </c>
      <c r="K261" s="2">
        <f>100-6.57</f>
        <v>93.43</v>
      </c>
      <c r="L261" s="22">
        <f t="shared" si="22"/>
        <v>91.820000000000007</v>
      </c>
      <c r="M261" s="22">
        <f t="shared" si="23"/>
        <v>93.43</v>
      </c>
      <c r="N261" s="20">
        <v>0.40239999999999998</v>
      </c>
      <c r="O261" s="21">
        <v>0.33750000000000002</v>
      </c>
      <c r="P261" s="20">
        <v>0.26019999999999999</v>
      </c>
      <c r="Q261" s="3" t="s">
        <v>6</v>
      </c>
    </row>
    <row r="262" spans="1:17" x14ac:dyDescent="0.35">
      <c r="A262" s="2">
        <v>261</v>
      </c>
      <c r="B262" s="26">
        <v>1</v>
      </c>
      <c r="C262" s="18" t="s">
        <v>2</v>
      </c>
      <c r="D262" s="18">
        <v>61</v>
      </c>
      <c r="E262" s="2">
        <v>387263033</v>
      </c>
      <c r="F262" s="2">
        <v>6624</v>
      </c>
      <c r="G262" s="2">
        <f>Tabelle3[[#This Row],[ Durchsatz]]/120</f>
        <v>55.2</v>
      </c>
      <c r="H262" s="2">
        <v>0.87</v>
      </c>
      <c r="I262" s="2">
        <v>0</v>
      </c>
      <c r="J262" s="2">
        <f>100-6.99</f>
        <v>93.01</v>
      </c>
      <c r="K262" s="2">
        <f>100-9.09</f>
        <v>90.91</v>
      </c>
      <c r="L262" s="22">
        <f t="shared" si="22"/>
        <v>92.14</v>
      </c>
      <c r="M262" s="22">
        <f t="shared" si="23"/>
        <v>90.91</v>
      </c>
      <c r="N262" s="20">
        <v>0.44019999999999998</v>
      </c>
      <c r="O262" s="21">
        <v>0.3427</v>
      </c>
      <c r="P262" s="20">
        <v>0.2172</v>
      </c>
      <c r="Q262" s="3" t="s">
        <v>6</v>
      </c>
    </row>
    <row r="263" spans="1:17" x14ac:dyDescent="0.35">
      <c r="A263" s="2">
        <v>262</v>
      </c>
      <c r="B263" s="26">
        <v>1</v>
      </c>
      <c r="C263" s="18" t="s">
        <v>3</v>
      </c>
      <c r="D263" s="18">
        <v>61</v>
      </c>
      <c r="E263" s="2">
        <v>655341916</v>
      </c>
      <c r="F263" s="2">
        <v>6654</v>
      </c>
      <c r="G263" s="2">
        <f>Tabelle3[[#This Row],[ Durchsatz]]/120</f>
        <v>55.45</v>
      </c>
      <c r="H263" s="2">
        <v>0.7</v>
      </c>
      <c r="I263" s="2">
        <v>0</v>
      </c>
      <c r="J263" s="2">
        <f>100-8.49</f>
        <v>91.51</v>
      </c>
      <c r="K263" s="2">
        <f>100-6.56</f>
        <v>93.44</v>
      </c>
      <c r="L263" s="22">
        <f t="shared" si="22"/>
        <v>90.81</v>
      </c>
      <c r="M263" s="22">
        <f t="shared" si="23"/>
        <v>93.44</v>
      </c>
      <c r="N263" s="20">
        <v>0.43609999999999999</v>
      </c>
      <c r="O263" s="21">
        <v>0.35110000000000002</v>
      </c>
      <c r="P263" s="20">
        <v>0.21290000000000001</v>
      </c>
      <c r="Q263" s="3" t="s">
        <v>6</v>
      </c>
    </row>
    <row r="264" spans="1:17" x14ac:dyDescent="0.35">
      <c r="A264" s="2">
        <v>263</v>
      </c>
      <c r="B264" s="26">
        <v>1</v>
      </c>
      <c r="C264" s="18" t="s">
        <v>3</v>
      </c>
      <c r="D264" s="18">
        <v>61</v>
      </c>
      <c r="E264" s="2">
        <v>1473267623</v>
      </c>
      <c r="F264" s="2">
        <v>6785</v>
      </c>
      <c r="G264" s="2">
        <f>Tabelle3[[#This Row],[ Durchsatz]]/120</f>
        <v>56.541666666666664</v>
      </c>
      <c r="H264" s="2">
        <v>1.42</v>
      </c>
      <c r="I264" s="2">
        <v>0</v>
      </c>
      <c r="J264" s="2">
        <f>100-5.73</f>
        <v>94.27</v>
      </c>
      <c r="K264" s="2">
        <f>100-7.29</f>
        <v>92.71</v>
      </c>
      <c r="L264" s="22">
        <f t="shared" si="22"/>
        <v>92.85</v>
      </c>
      <c r="M264" s="22">
        <f t="shared" si="23"/>
        <v>92.71</v>
      </c>
      <c r="N264" s="20">
        <v>0.39550000000000002</v>
      </c>
      <c r="O264" s="21">
        <v>0.32979999999999998</v>
      </c>
      <c r="P264" s="20">
        <v>0.2747</v>
      </c>
      <c r="Q264" s="3" t="s">
        <v>6</v>
      </c>
    </row>
    <row r="265" spans="1:17" x14ac:dyDescent="0.35">
      <c r="A265" s="2">
        <v>264</v>
      </c>
      <c r="B265" s="26">
        <v>1</v>
      </c>
      <c r="C265" s="18" t="s">
        <v>3</v>
      </c>
      <c r="D265" s="18">
        <v>61</v>
      </c>
      <c r="E265" s="2">
        <v>848501535</v>
      </c>
      <c r="F265" s="2">
        <v>6639</v>
      </c>
      <c r="G265" s="2">
        <f>Tabelle3[[#This Row],[ Durchsatz]]/120</f>
        <v>55.325000000000003</v>
      </c>
      <c r="H265" s="2">
        <v>0.6</v>
      </c>
      <c r="I265" s="2">
        <v>0</v>
      </c>
      <c r="J265" s="2">
        <f>100-5.49</f>
        <v>94.51</v>
      </c>
      <c r="K265" s="2">
        <f>100-9.69</f>
        <v>90.31</v>
      </c>
      <c r="L265" s="22">
        <f t="shared" si="20"/>
        <v>93.910000000000011</v>
      </c>
      <c r="M265" s="22">
        <f t="shared" si="21"/>
        <v>90.31</v>
      </c>
      <c r="N265" s="20">
        <v>0.44529999999999997</v>
      </c>
      <c r="O265" s="21">
        <v>0.35670000000000002</v>
      </c>
      <c r="P265" s="20">
        <v>0.1981</v>
      </c>
      <c r="Q265" s="3" t="s">
        <v>6</v>
      </c>
    </row>
    <row r="266" spans="1:17" x14ac:dyDescent="0.35">
      <c r="A266" s="2">
        <v>265</v>
      </c>
      <c r="B266" s="26">
        <v>1</v>
      </c>
      <c r="C266" s="18" t="s">
        <v>2</v>
      </c>
      <c r="D266" s="18">
        <v>62</v>
      </c>
      <c r="E266" s="2">
        <v>108222470</v>
      </c>
      <c r="F266" s="2">
        <v>6781</v>
      </c>
      <c r="G266" s="2">
        <f>Tabelle3[[#This Row],[ Durchsatz]]/120</f>
        <v>56.508333333333333</v>
      </c>
      <c r="H266" s="2">
        <v>1.38</v>
      </c>
      <c r="I266" s="2">
        <v>0.02</v>
      </c>
      <c r="J266" s="2">
        <f>100-6.78</f>
        <v>93.22</v>
      </c>
      <c r="K266" s="2">
        <f>100-7.3</f>
        <v>92.7</v>
      </c>
      <c r="L266" s="22">
        <f t="shared" si="20"/>
        <v>91.84</v>
      </c>
      <c r="M266" s="22">
        <f t="shared" si="21"/>
        <v>92.68</v>
      </c>
      <c r="N266" s="20">
        <v>0.39539999999999997</v>
      </c>
      <c r="O266" s="21">
        <v>0.3301</v>
      </c>
      <c r="P266" s="20">
        <v>0.27450000000000002</v>
      </c>
      <c r="Q266" s="3" t="s">
        <v>6</v>
      </c>
    </row>
    <row r="267" spans="1:17" x14ac:dyDescent="0.35">
      <c r="A267" s="2">
        <v>266</v>
      </c>
      <c r="B267" s="26">
        <v>1</v>
      </c>
      <c r="C267" s="18" t="s">
        <v>2</v>
      </c>
      <c r="D267" s="18">
        <v>62</v>
      </c>
      <c r="E267" s="2">
        <v>344663843</v>
      </c>
      <c r="F267" s="2">
        <v>6704</v>
      </c>
      <c r="G267" s="2">
        <f>Tabelle3[[#This Row],[ Durchsatz]]/120</f>
        <v>55.866666666666667</v>
      </c>
      <c r="H267" s="2">
        <v>1.1499999999999999</v>
      </c>
      <c r="I267" s="2">
        <v>0</v>
      </c>
      <c r="J267" s="2">
        <f>100-7.35</f>
        <v>92.65</v>
      </c>
      <c r="K267" s="2">
        <f>100-6.97</f>
        <v>93.03</v>
      </c>
      <c r="L267" s="22">
        <f t="shared" si="20"/>
        <v>91.5</v>
      </c>
      <c r="M267" s="22">
        <f t="shared" si="21"/>
        <v>93.03</v>
      </c>
      <c r="N267" s="20">
        <v>0.40450000000000003</v>
      </c>
      <c r="O267" s="21">
        <v>0.32119999999999999</v>
      </c>
      <c r="P267" s="20">
        <v>0.27429999999999999</v>
      </c>
      <c r="Q267" s="3" t="s">
        <v>6</v>
      </c>
    </row>
    <row r="268" spans="1:17" x14ac:dyDescent="0.35">
      <c r="A268" s="2">
        <v>267</v>
      </c>
      <c r="B268" s="26">
        <v>1</v>
      </c>
      <c r="C268" s="18" t="s">
        <v>2</v>
      </c>
      <c r="D268" s="18">
        <v>62</v>
      </c>
      <c r="E268" s="2">
        <v>960037785</v>
      </c>
      <c r="F268" s="2">
        <v>6718</v>
      </c>
      <c r="G268" s="2">
        <f>Tabelle3[[#This Row],[ Durchsatz]]/120</f>
        <v>55.983333333333334</v>
      </c>
      <c r="H268" s="2">
        <v>1.2</v>
      </c>
      <c r="I268" s="2">
        <v>0</v>
      </c>
      <c r="J268" s="2">
        <f>100-6.55</f>
        <v>93.45</v>
      </c>
      <c r="K268" s="2">
        <f>100-8.51</f>
        <v>91.49</v>
      </c>
      <c r="L268" s="22">
        <f t="shared" ref="L268:L269" si="24">J268-H268</f>
        <v>92.25</v>
      </c>
      <c r="M268" s="22">
        <f t="shared" ref="M268:M269" si="25">K268-I268</f>
        <v>91.49</v>
      </c>
      <c r="N268" s="20">
        <v>0.39140000000000003</v>
      </c>
      <c r="O268" s="21">
        <v>0.31819999999999998</v>
      </c>
      <c r="P268" s="20">
        <v>0.29039999999999999</v>
      </c>
      <c r="Q268" s="3" t="s">
        <v>6</v>
      </c>
    </row>
    <row r="269" spans="1:17" x14ac:dyDescent="0.35">
      <c r="A269" s="2">
        <v>268</v>
      </c>
      <c r="B269" s="26">
        <v>1</v>
      </c>
      <c r="C269" s="18" t="s">
        <v>3</v>
      </c>
      <c r="D269" s="18">
        <v>62</v>
      </c>
      <c r="E269" s="2">
        <v>839396900</v>
      </c>
      <c r="F269" s="2">
        <v>6751</v>
      </c>
      <c r="G269" s="2">
        <f>Tabelle3[[#This Row],[ Durchsatz]]/120</f>
        <v>56.258333333333333</v>
      </c>
      <c r="H269" s="2">
        <v>1.35</v>
      </c>
      <c r="I269" s="2">
        <v>0</v>
      </c>
      <c r="J269" s="2">
        <f>100-7.41</f>
        <v>92.59</v>
      </c>
      <c r="K269" s="2">
        <f>100-7</f>
        <v>93</v>
      </c>
      <c r="L269" s="22">
        <f t="shared" si="24"/>
        <v>91.240000000000009</v>
      </c>
      <c r="M269" s="22">
        <f t="shared" si="25"/>
        <v>93</v>
      </c>
      <c r="N269" s="20">
        <v>0.38740000000000002</v>
      </c>
      <c r="O269" s="21">
        <v>0.3256</v>
      </c>
      <c r="P269" s="20">
        <v>0.28710000000000002</v>
      </c>
      <c r="Q269" s="3" t="s">
        <v>6</v>
      </c>
    </row>
    <row r="270" spans="1:17" x14ac:dyDescent="0.35">
      <c r="A270" s="2">
        <v>269</v>
      </c>
      <c r="B270" s="26">
        <v>1</v>
      </c>
      <c r="C270" s="18" t="s">
        <v>3</v>
      </c>
      <c r="D270" s="18">
        <v>62</v>
      </c>
      <c r="E270" s="2">
        <v>831082297</v>
      </c>
      <c r="F270" s="2">
        <v>6738</v>
      </c>
      <c r="G270" s="2">
        <f>Tabelle3[[#This Row],[ Durchsatz]]/120</f>
        <v>56.15</v>
      </c>
      <c r="H270" s="2">
        <v>0.95</v>
      </c>
      <c r="I270" s="2">
        <v>0</v>
      </c>
      <c r="J270" s="2">
        <f>100-5.17</f>
        <v>94.83</v>
      </c>
      <c r="K270" s="2">
        <f>100-10.18</f>
        <v>89.82</v>
      </c>
      <c r="L270" s="22">
        <f>J270-H270</f>
        <v>93.88</v>
      </c>
      <c r="M270" s="22">
        <f>K270-I270</f>
        <v>89.82</v>
      </c>
      <c r="N270" s="20">
        <v>0.4103</v>
      </c>
      <c r="O270" s="21">
        <v>0.33019999999999999</v>
      </c>
      <c r="P270" s="20">
        <v>0.25940000000000002</v>
      </c>
      <c r="Q270" s="3" t="s">
        <v>6</v>
      </c>
    </row>
    <row r="271" spans="1:17" x14ac:dyDescent="0.35">
      <c r="A271" s="2">
        <v>270</v>
      </c>
      <c r="B271" s="26">
        <v>1</v>
      </c>
      <c r="C271" s="18" t="s">
        <v>3</v>
      </c>
      <c r="D271" s="18">
        <v>62</v>
      </c>
      <c r="E271" s="2">
        <v>931689840</v>
      </c>
      <c r="F271" s="2">
        <v>6772</v>
      </c>
      <c r="G271" s="2">
        <f>Tabelle3[[#This Row],[ Durchsatz]]/120</f>
        <v>56.43333333333333</v>
      </c>
      <c r="H271" s="2">
        <v>1.08</v>
      </c>
      <c r="I271" s="2">
        <v>0</v>
      </c>
      <c r="J271" s="2">
        <f>100-6.65</f>
        <v>93.35</v>
      </c>
      <c r="K271" s="2">
        <f>100-7.38</f>
        <v>92.62</v>
      </c>
      <c r="L271" s="22">
        <f>J271-H271</f>
        <v>92.27</v>
      </c>
      <c r="M271" s="22">
        <f>K271-I271</f>
        <v>92.62</v>
      </c>
      <c r="N271" s="20">
        <v>0.39040000000000002</v>
      </c>
      <c r="O271" s="21">
        <v>0.32429999999999998</v>
      </c>
      <c r="P271" s="20">
        <v>0.28539999999999999</v>
      </c>
      <c r="Q271" s="3" t="s">
        <v>6</v>
      </c>
    </row>
    <row r="272" spans="1:17" x14ac:dyDescent="0.35">
      <c r="A272" s="23"/>
      <c r="B272" s="23"/>
      <c r="C272" s="24"/>
      <c r="D272" s="24"/>
      <c r="E272" s="23"/>
      <c r="F272" s="23"/>
      <c r="G272" s="17"/>
      <c r="H272" s="23"/>
      <c r="I272" s="23"/>
      <c r="J272" s="23"/>
      <c r="K272" s="23"/>
      <c r="L272" s="25"/>
      <c r="M272" s="25"/>
      <c r="N272" s="25"/>
      <c r="O272" s="25"/>
      <c r="P272" s="25"/>
      <c r="Q272" s="2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15" sqref="H15"/>
    </sheetView>
  </sheetViews>
  <sheetFormatPr baseColWidth="10" defaultRowHeight="14.5" x14ac:dyDescent="0.35"/>
  <cols>
    <col min="1" max="1" width="40.6328125" customWidth="1"/>
    <col min="2" max="2" width="27.81640625" customWidth="1"/>
  </cols>
  <sheetData>
    <row r="1" spans="1:3" x14ac:dyDescent="0.35">
      <c r="A1" s="16" t="s">
        <v>30</v>
      </c>
    </row>
    <row r="3" spans="1:3" x14ac:dyDescent="0.35">
      <c r="A3" s="16" t="s">
        <v>29</v>
      </c>
    </row>
    <row r="4" spans="1:3" x14ac:dyDescent="0.35">
      <c r="A4" s="13" t="s">
        <v>28</v>
      </c>
      <c r="B4" s="15" t="s">
        <v>27</v>
      </c>
    </row>
    <row r="5" spans="1:3" x14ac:dyDescent="0.35">
      <c r="A5" s="12" t="s">
        <v>26</v>
      </c>
      <c r="B5" s="11" t="s">
        <v>44</v>
      </c>
      <c r="C5" s="10" t="s">
        <v>25</v>
      </c>
    </row>
    <row r="6" spans="1:3" x14ac:dyDescent="0.35">
      <c r="A6" s="10" t="s">
        <v>0</v>
      </c>
      <c r="B6" s="19" t="s">
        <v>42</v>
      </c>
      <c r="C6" t="s">
        <v>39</v>
      </c>
    </row>
    <row r="7" spans="1:3" x14ac:dyDescent="0.35">
      <c r="A7" s="10"/>
      <c r="B7" s="9"/>
    </row>
    <row r="8" spans="1:3" x14ac:dyDescent="0.35">
      <c r="A8" s="14" t="s">
        <v>24</v>
      </c>
      <c r="B8" s="11"/>
    </row>
    <row r="9" spans="1:3" x14ac:dyDescent="0.35">
      <c r="A9" s="13"/>
      <c r="B9" s="11"/>
    </row>
    <row r="10" spans="1:3" x14ac:dyDescent="0.35">
      <c r="A10" s="13" t="s">
        <v>23</v>
      </c>
      <c r="B10" s="11" t="s">
        <v>22</v>
      </c>
    </row>
    <row r="11" spans="1:3" x14ac:dyDescent="0.35">
      <c r="A11" s="13" t="s">
        <v>21</v>
      </c>
      <c r="B11" s="11">
        <v>10</v>
      </c>
    </row>
    <row r="12" spans="1:3" x14ac:dyDescent="0.35">
      <c r="A12" s="13" t="s">
        <v>20</v>
      </c>
      <c r="B12" s="11">
        <v>6</v>
      </c>
    </row>
    <row r="13" spans="1:3" x14ac:dyDescent="0.35">
      <c r="A13" s="13" t="s">
        <v>19</v>
      </c>
      <c r="B13" s="11">
        <v>5</v>
      </c>
    </row>
    <row r="14" spans="1:3" x14ac:dyDescent="0.35">
      <c r="A14" s="13" t="s">
        <v>18</v>
      </c>
      <c r="B14" s="11">
        <v>5</v>
      </c>
    </row>
    <row r="15" spans="1:3" x14ac:dyDescent="0.35">
      <c r="A15" s="13" t="s">
        <v>31</v>
      </c>
      <c r="B15" s="11">
        <v>2</v>
      </c>
    </row>
    <row r="16" spans="1:3" x14ac:dyDescent="0.35">
      <c r="A16" s="13" t="s">
        <v>17</v>
      </c>
      <c r="B16" s="11">
        <v>0.2</v>
      </c>
    </row>
    <row r="17" spans="1:3" x14ac:dyDescent="0.35">
      <c r="A17" s="13" t="s">
        <v>16</v>
      </c>
      <c r="B17" s="11">
        <v>0.2</v>
      </c>
    </row>
    <row r="18" spans="1:3" x14ac:dyDescent="0.35">
      <c r="A18" s="13" t="s">
        <v>15</v>
      </c>
      <c r="B18" s="11">
        <v>0.2</v>
      </c>
    </row>
    <row r="19" spans="1:3" x14ac:dyDescent="0.35">
      <c r="A19" s="13" t="s">
        <v>14</v>
      </c>
      <c r="B19" s="11">
        <v>0.2</v>
      </c>
    </row>
    <row r="20" spans="1:3" x14ac:dyDescent="0.35">
      <c r="A20" s="12" t="s">
        <v>13</v>
      </c>
      <c r="B20" s="11">
        <v>2</v>
      </c>
    </row>
    <row r="22" spans="1:3" x14ac:dyDescent="0.35">
      <c r="A22" s="10" t="s">
        <v>12</v>
      </c>
      <c r="B22" s="9" t="s">
        <v>38</v>
      </c>
      <c r="C22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Versuchsplan</vt:lpstr>
      <vt:lpstr>InfosModell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Idrissi</dc:creator>
  <cp:lastModifiedBy>Sonja</cp:lastModifiedBy>
  <dcterms:created xsi:type="dcterms:W3CDTF">2019-02-15T10:01:22Z</dcterms:created>
  <dcterms:modified xsi:type="dcterms:W3CDTF">2020-05-24T10:01:43Z</dcterms:modified>
</cp:coreProperties>
</file>