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att-my.sharepoint.com/personal/cg6725_att_com/Documents/PersonalShareData/Splitter Relief/"/>
    </mc:Choice>
  </mc:AlternateContent>
  <xr:revisionPtr revIDLastSave="0" documentId="8_{DD03F36F-2F12-4255-87CB-0F177DB7C5FF}" xr6:coauthVersionLast="47" xr6:coauthVersionMax="47" xr10:uidLastSave="{00000000-0000-0000-0000-000000000000}"/>
  <bookViews>
    <workbookView xWindow="28680" yWindow="-120" windowWidth="29040" windowHeight="15720" activeTab="1" xr2:uid="{00000000-000D-0000-FFFF-FFFF00000000}"/>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24" l="1"/>
  <c r="G6" i="25" l="1"/>
  <c r="C4" i="25" l="1"/>
  <c r="I28" i="25"/>
  <c r="H28" i="25"/>
  <c r="I27" i="25"/>
  <c r="H27" i="25"/>
  <c r="I26" i="25"/>
  <c r="H26" i="25"/>
  <c r="I25" i="25"/>
  <c r="H25" i="25"/>
  <c r="I23" i="25"/>
  <c r="H23" i="25"/>
  <c r="I21" i="25"/>
  <c r="H21" i="25"/>
  <c r="I20" i="25"/>
  <c r="H20" i="25"/>
  <c r="G27" i="25"/>
  <c r="G28" i="25"/>
  <c r="F27" i="25"/>
  <c r="F28" i="25"/>
  <c r="G26" i="25"/>
  <c r="G23" i="25"/>
  <c r="G25" i="25"/>
  <c r="E26" i="25"/>
  <c r="E27" i="25"/>
  <c r="F26" i="25"/>
  <c r="F23" i="25"/>
  <c r="E23" i="25"/>
  <c r="I18" i="25"/>
  <c r="H18" i="25"/>
  <c r="I17" i="25"/>
  <c r="I10" i="25"/>
  <c r="H10" i="25"/>
  <c r="I7" i="25"/>
  <c r="H7" i="25"/>
  <c r="I6" i="25"/>
  <c r="E4" i="25" l="1"/>
  <c r="D4" i="25"/>
  <c r="B9" i="25"/>
  <c r="B8" i="25"/>
  <c r="D43" i="25"/>
  <c r="D42" i="25"/>
  <c r="E43" i="25"/>
  <c r="E42" i="25"/>
  <c r="B43" i="25"/>
  <c r="I8" i="25" l="1"/>
  <c r="H8" i="25"/>
  <c r="I9" i="25"/>
  <c r="H9" i="25"/>
  <c r="B13" i="25"/>
  <c r="I13" i="25" l="1"/>
  <c r="H13" i="25"/>
  <c r="B14" i="25"/>
  <c r="B12" i="25"/>
  <c r="I12" i="25" l="1"/>
  <c r="H12" i="25"/>
  <c r="I14" i="25"/>
  <c r="H14" i="25"/>
  <c r="G9" i="25"/>
  <c r="F9" i="25"/>
  <c r="E9" i="25"/>
  <c r="D9" i="25"/>
  <c r="G14" i="25"/>
  <c r="F14" i="25"/>
  <c r="E14" i="25"/>
  <c r="D14" i="25"/>
  <c r="G13" i="25"/>
  <c r="F13" i="25"/>
  <c r="E13" i="25"/>
  <c r="D13" i="25"/>
  <c r="G12" i="25"/>
  <c r="F12" i="25"/>
  <c r="E12" i="25"/>
  <c r="D12" i="25"/>
  <c r="F4" i="25"/>
  <c r="G4" i="25"/>
  <c r="D6" i="25"/>
  <c r="E6" i="25"/>
  <c r="H6" i="25" s="1"/>
  <c r="F6" i="25"/>
  <c r="D7" i="25"/>
  <c r="E7" i="25"/>
  <c r="F7" i="25"/>
  <c r="G7" i="25"/>
  <c r="D8" i="25"/>
  <c r="E8" i="25"/>
  <c r="B23" i="24" s="1"/>
  <c r="F8" i="25"/>
  <c r="G8" i="25"/>
  <c r="D10" i="25"/>
  <c r="E10" i="25"/>
  <c r="F10" i="25"/>
  <c r="G10" i="25"/>
  <c r="C15" i="25"/>
  <c r="D15" i="25"/>
  <c r="E15" i="25"/>
  <c r="F15" i="25"/>
  <c r="G15" i="25"/>
  <c r="C16" i="25"/>
  <c r="D16" i="25"/>
  <c r="E16" i="25"/>
  <c r="F16" i="25"/>
  <c r="G16" i="25"/>
  <c r="E17" i="25"/>
  <c r="G17" i="25"/>
  <c r="D18" i="25"/>
  <c r="E18" i="25"/>
  <c r="F18" i="25"/>
  <c r="G18" i="25"/>
  <c r="C20" i="25"/>
  <c r="D20" i="25"/>
  <c r="E20" i="25"/>
  <c r="F20" i="25"/>
  <c r="G20" i="25"/>
  <c r="D21" i="25"/>
  <c r="E21" i="25"/>
  <c r="F21" i="25"/>
  <c r="G21" i="25"/>
  <c r="B22" i="25"/>
  <c r="D23" i="25"/>
  <c r="D26" i="25"/>
  <c r="D27" i="25"/>
  <c r="D28" i="25"/>
  <c r="E28" i="25"/>
  <c r="C31" i="25"/>
  <c r="C33" i="25"/>
  <c r="I22" i="25" l="1"/>
  <c r="H22" i="25"/>
  <c r="I4" i="25"/>
  <c r="H4" i="25"/>
  <c r="G22" i="25"/>
  <c r="I15" i="25"/>
  <c r="H15" i="25"/>
  <c r="H16" i="25"/>
  <c r="I16" i="25"/>
  <c r="F22" i="25"/>
  <c r="E22" i="25"/>
  <c r="D22" i="25"/>
  <c r="B24" i="25"/>
  <c r="C42" i="25"/>
  <c r="B42" i="25"/>
  <c r="I24" i="25" l="1"/>
  <c r="H24" i="25"/>
  <c r="H30" i="25" s="1"/>
  <c r="G24" i="25"/>
  <c r="F24" i="25"/>
  <c r="D24" i="25"/>
  <c r="E24" i="25"/>
  <c r="B8" i="24"/>
  <c r="C43" i="25" l="1"/>
  <c r="I30" i="25" s="1"/>
  <c r="H31" i="25" l="1"/>
  <c r="F25" i="25"/>
  <c r="F30" i="25" s="1"/>
  <c r="D25" i="25"/>
  <c r="E25" i="25"/>
  <c r="G30" i="25"/>
  <c r="I33" i="25" l="1"/>
  <c r="H33" i="25"/>
  <c r="H32" i="25"/>
  <c r="I32" i="25"/>
  <c r="E30" i="25"/>
  <c r="B14" i="24"/>
  <c r="D30" i="25"/>
  <c r="B13" i="24"/>
  <c r="F31" i="25"/>
  <c r="D31" i="25" l="1"/>
  <c r="E33" i="25" s="1"/>
  <c r="I34" i="25"/>
  <c r="I35" i="25" s="1"/>
  <c r="I36" i="25" s="1"/>
  <c r="H34" i="25"/>
  <c r="H35" i="25" s="1"/>
  <c r="H36" i="25" s="1"/>
  <c r="G32" i="25"/>
  <c r="F33" i="25"/>
  <c r="G33" i="25"/>
  <c r="F32" i="25"/>
  <c r="D32" i="25" l="1"/>
  <c r="E32" i="25"/>
  <c r="E34" i="25" s="1"/>
  <c r="E35" i="25" s="1"/>
  <c r="E36" i="25" s="1"/>
  <c r="D33" i="25"/>
  <c r="H37" i="25"/>
  <c r="H38" i="25" s="1"/>
  <c r="H39" i="25" s="1"/>
  <c r="G34" i="25"/>
  <c r="G35" i="25" s="1"/>
  <c r="G36" i="25" s="1"/>
  <c r="F34" i="25"/>
  <c r="F35" i="25" s="1"/>
  <c r="F36" i="25" s="1"/>
  <c r="D34" i="25" l="1"/>
  <c r="D35" i="25" s="1"/>
  <c r="D36" i="25" s="1"/>
  <c r="D37" i="25" s="1"/>
  <c r="D38" i="25" s="1"/>
  <c r="D39" i="25" s="1"/>
  <c r="F37" i="25"/>
  <c r="F38" i="25" s="1"/>
  <c r="F39" i="25" s="1"/>
  <c r="B11" i="24" l="1"/>
  <c r="B10" i="24"/>
  <c r="B16" i="24" s="1"/>
  <c r="B9" i="24"/>
  <c r="B17" i="24" l="1"/>
  <c r="B25" i="24"/>
  <c r="B2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kmccammon</author>
    <author>yjsdfwd</author>
    <author>Lorentzen, Julie</author>
  </authors>
  <commentList>
    <comment ref="A4" authorId="0" shapeId="0" xr:uid="{00000000-0006-0000-0200-00000100000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xr:uid="{00000000-0006-0000-0200-00000200000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xr:uid="{00000000-0006-0000-0200-00000300000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xr:uid="{00000000-0006-0000-0200-000004000000}">
      <text>
        <r>
          <rPr>
            <b/>
            <sz val="8"/>
            <color indexed="81"/>
            <rFont val="Tahoma"/>
            <family val="2"/>
          </rPr>
          <t>11/24/2008:</t>
        </r>
        <r>
          <rPr>
            <sz val="8"/>
            <color indexed="81"/>
            <rFont val="Tahoma"/>
            <family val="2"/>
          </rPr>
          <t xml:space="preserve">
Maintenance Margin for entire fiber link is a MINIMUM of 1 dB. 
</t>
        </r>
      </text>
    </comment>
    <comment ref="B7" authorId="1" shapeId="0" xr:uid="{00000000-0006-0000-0200-00000500000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xr:uid="{00000000-0006-0000-0200-00000600000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xr:uid="{44E1AD8E-0327-4A94-AAFD-406FB23590F7}">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xr:uid="{00000000-0006-0000-0200-00000700000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xr:uid="{00000000-0006-0000-0200-00000800000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xr:uid="{00000000-0006-0000-0200-00000900000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xr:uid="{00000000-0006-0000-0200-00000A00000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xr:uid="{00000000-0006-0000-0200-00000B00000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xr:uid="{00000000-0006-0000-0200-00000C00000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xr:uid="{00000000-0006-0000-0200-00000D00000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xr:uid="{00000000-0006-0000-0200-00000E00000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xr:uid="{00000000-0006-0000-0200-00000F00000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<sst xmlns="http://schemas.openxmlformats.org/spreadsheetml/2006/main" count="414" uniqueCount="227">
  <si>
    <t>All input and results are done on the XGSPON Planning Tool tab.</t>
  </si>
  <si>
    <t>Input in Kilofeet (Kft) feeder fiber length from OLT to the PFP</t>
  </si>
  <si>
    <t>Update Average distance between splices for feeder cable if needed.  Default is 4Kft.</t>
  </si>
  <si>
    <t>Enter estimated longest Distribution fiber length from PFP to FST.</t>
  </si>
  <si>
    <r>
      <t xml:space="preserve">XGS-PON Optics 
</t>
    </r>
    <r>
      <rPr>
        <sz val="14"/>
        <color rgb="FFFF0000"/>
        <rFont val="Arial"/>
        <family val="2"/>
      </rPr>
      <t>(Choose Class N1 or Class N2 from drop-down list)</t>
    </r>
  </si>
  <si>
    <t>Feeder Fiber Length (kft) from CO or Remote OLT</t>
  </si>
  <si>
    <t>Note: If SFCM6 is deployed, then the Feeder Fiber Length includes “CO to FAP” + “FAP to PFP”</t>
  </si>
  <si>
    <t>Optitip Splices</t>
  </si>
  <si>
    <t>Avg. Feeder Splicing Interval (kft) - This is not the number of splices</t>
  </si>
  <si>
    <t>OptiTip Connectors in lieu of splices (Choose 0-2 from drop-down list)</t>
  </si>
  <si>
    <t>No</t>
  </si>
  <si>
    <t>FiberWise - Add SFCM6 (Choose Yes or No from drop-down list)</t>
  </si>
  <si>
    <t>Note: The SFCM6 blocks transmission of 1550nm wavelength.  If SFCM6 is deployed, then 1550nm cannot be used for optical loss measurements.</t>
  </si>
  <si>
    <t>Distribution Length (kft) - PFP to FST</t>
  </si>
  <si>
    <t>Total Length</t>
  </si>
  <si>
    <t xml:space="preserve">Splitter Type </t>
  </si>
  <si>
    <t xml:space="preserve">EML calculated at test wavelengths (not PON transmission wavelengths) </t>
  </si>
  <si>
    <t>Can be measured using 1550nm settings on test sets and transmitter</t>
  </si>
  <si>
    <t>Distribution F2 EML - PFP to FST for 1310nm</t>
  </si>
  <si>
    <t>Note: Distribution F2 PFP to FST is the only calculation that uses the "new" fiber value for fiber loss/kft at this time</t>
  </si>
  <si>
    <t>Distribution F2 EML - PFP to FST for 1550nm*</t>
  </si>
  <si>
    <t>Total EML OLT to FST for 1310nm</t>
  </si>
  <si>
    <t>Total EML OLT to FST for 1550nm*</t>
  </si>
  <si>
    <t>* If the SFCM6 is deployed, then EML for 1550nm is not valid, since the SFCM6 blocks transmission at 1550nm.</t>
  </si>
  <si>
    <t>WORST CASE Values for each element</t>
  </si>
  <si>
    <t>Maximum or worst case design and optical losses to determine a maximum design reach guideline with Margins</t>
  </si>
  <si>
    <t>XGS-PON LOSS BUDGET SUMMARY</t>
  </si>
  <si>
    <t>Qty</t>
  </si>
  <si>
    <t>Factor</t>
  </si>
  <si>
    <t>1x64 Splitter</t>
  </si>
  <si>
    <t>1x32 Splitter</t>
  </si>
  <si>
    <t>Wavelength</t>
  </si>
  <si>
    <t>1270 nm</t>
  </si>
  <si>
    <t>1577 nm</t>
  </si>
  <si>
    <t xml:space="preserve">Optical Budget (dB) - includes conn. at OLT &amp; ONT </t>
  </si>
  <si>
    <t>CO/CO Vault Fixed Loss</t>
  </si>
  <si>
    <t>Planning Margin - Degradation, Aging, etc</t>
  </si>
  <si>
    <t>SC/UPC Connector Loss in Central Office Vault</t>
  </si>
  <si>
    <t>SFCM7 - connectorized</t>
  </si>
  <si>
    <t>LC-UPC connector pair equivalent - to connect to SFCM7</t>
  </si>
  <si>
    <t>Ribbon Fiber Fusion Splice in Central Office Vault</t>
  </si>
  <si>
    <t>PFP/Splitter Fixed Loss, SFCM6 Fixed Loss</t>
  </si>
  <si>
    <t>Single Fiber Fusion Splice Loss - to SFCM6 COM port</t>
  </si>
  <si>
    <t>SFCM6</t>
  </si>
  <si>
    <t>Single Fiber Fusion Splice Loss - to SFCM6 PON port</t>
  </si>
  <si>
    <t>Single Fiber Fusion Splice Loss - Input to Splitter</t>
  </si>
  <si>
    <t>SC/APC Connector for Plug&amp;Play @PFP-Feeder side</t>
  </si>
  <si>
    <t>1xN Splitter(Coupling) Loss</t>
  </si>
  <si>
    <t>Maximum</t>
  </si>
  <si>
    <t>SC/APC Connector at PFP-Distribution side</t>
  </si>
  <si>
    <t>Distribution/Drop Fixed Loss</t>
  </si>
  <si>
    <t>Ribbon Fiber Fusion Splice Loss</t>
  </si>
  <si>
    <t>Micro bend Loss allowances (at PFP &amp; at Terminal)</t>
  </si>
  <si>
    <t>R41 Table</t>
  </si>
  <si>
    <t xml:space="preserve">OptiTip 12 fiber angled connector, vendor Typ 0.35 dB </t>
  </si>
  <si>
    <t>SC/APC-Connector at Drop Terminal (Opti-Tap or equiv.)</t>
  </si>
  <si>
    <t>Single Fiber Field Splice Loss in Distribution cable</t>
  </si>
  <si>
    <t xml:space="preserve">Fiber Loss of Drop w/out connectors (Kft) - 0.500 kft </t>
  </si>
  <si>
    <t>Table</t>
  </si>
  <si>
    <t xml:space="preserve">FOR INDOOR ONT ONLY, a SC/APC on outside of LU </t>
  </si>
  <si>
    <t>FOR INDOOR ONT ONLY, a SC/APC-Inside Wall Jack</t>
  </si>
  <si>
    <t>Inside Fiber Jumper - Bend resistant type with no losses</t>
  </si>
  <si>
    <t>Connector at ONT is included by ALU/Adtran, use 0 dB</t>
  </si>
  <si>
    <t>TOTAL FIXED LOSS</t>
  </si>
  <si>
    <t>Feeder Fiber Length (kft) - User Input</t>
  </si>
  <si>
    <t>Spl. Freq.</t>
  </si>
  <si>
    <t>Feeder Fiber Length Loss</t>
  </si>
  <si>
    <t>Per Splice</t>
  </si>
  <si>
    <t>Total Feeder Fiber Loss</t>
  </si>
  <si>
    <t>Remaining Budget</t>
  </si>
  <si>
    <t>Allowable Total F2 Length</t>
  </si>
  <si>
    <t>Total F1 + F2 Length Based on Loss Budget</t>
  </si>
  <si>
    <t>Maximum Optical Transmission Limit (kft)</t>
  </si>
  <si>
    <t>System Ranging Limit 0-64 (kft) G-PON default</t>
  </si>
  <si>
    <t>1310 nm</t>
  </si>
  <si>
    <t>1550 nm</t>
  </si>
  <si>
    <t>Fiber Loss per kft (new)</t>
  </si>
  <si>
    <t>Fiber Loss per kft (old) - Default</t>
  </si>
  <si>
    <t>Standard Fiber in OSP Microbend Loss (per occurrence)</t>
  </si>
  <si>
    <t>(XGS-PON lambdas)</t>
  </si>
  <si>
    <t>(test lambdas)</t>
  </si>
  <si>
    <t>Note: In the fiber loss/kft table, “old” fiber is standard G.652.D fiber, and “new” fiber is SMF28e+ low loss fiber (or equivalent).</t>
  </si>
  <si>
    <t xml:space="preserve">       Wall Fiber Jack </t>
  </si>
  <si>
    <t>Design Point</t>
  </si>
  <si>
    <t>Description</t>
  </si>
  <si>
    <t>Loss Description</t>
  </si>
  <si>
    <t>A</t>
  </si>
  <si>
    <t>Power output at PON laser</t>
  </si>
  <si>
    <t>Assume no Loss</t>
  </si>
  <si>
    <t>Inside Wall Fiber</t>
  </si>
  <si>
    <t>B</t>
  </si>
  <si>
    <t>Connector Loss</t>
  </si>
  <si>
    <t xml:space="preserve">UPC Connector Loss assume </t>
  </si>
  <si>
    <t>Not Shown</t>
  </si>
  <si>
    <t>Maintenance Budget</t>
  </si>
  <si>
    <t>Degradation, Std Deviation, Aging, etc</t>
  </si>
  <si>
    <t>C</t>
  </si>
  <si>
    <t xml:space="preserve">FOT Panel </t>
  </si>
  <si>
    <t>No Loss</t>
  </si>
  <si>
    <t>D</t>
  </si>
  <si>
    <t>No loss</t>
  </si>
  <si>
    <t>No lLoss</t>
  </si>
  <si>
    <t>E</t>
  </si>
  <si>
    <t>WDM1r Diplexer routes PON signals from GPON and NGPON onto common fiber</t>
  </si>
  <si>
    <t>F</t>
  </si>
  <si>
    <t>Mated UPC Connector Pair FOT</t>
  </si>
  <si>
    <t>UPC Connector Loss</t>
  </si>
  <si>
    <t>G</t>
  </si>
  <si>
    <t>Fiber Jumper</t>
  </si>
  <si>
    <t>H</t>
  </si>
  <si>
    <t>Mated UPC Connector Pair OSP</t>
  </si>
  <si>
    <t>I</t>
  </si>
  <si>
    <t>Potential Attenuator</t>
  </si>
  <si>
    <t>If used You MUST enter -5.0</t>
  </si>
  <si>
    <t xml:space="preserve">Fiber Inside </t>
  </si>
  <si>
    <t>J</t>
  </si>
  <si>
    <t>Fiber Tail to first Splice Point</t>
  </si>
  <si>
    <t>K</t>
  </si>
  <si>
    <t>First Splice Point (Cable Vault or 1st Manhole)</t>
  </si>
  <si>
    <t>L</t>
  </si>
  <si>
    <t>Backbone Feeder Fiber Loss</t>
  </si>
  <si>
    <t>Fiber loss varies by distance</t>
  </si>
  <si>
    <t>M</t>
  </si>
  <si>
    <t>Backbone Feeder Splice Loss</t>
  </si>
  <si>
    <t>Assume 1 splice PER 4KFT</t>
  </si>
  <si>
    <t xml:space="preserve">Inside Fiber Jumper </t>
  </si>
  <si>
    <t>N</t>
  </si>
  <si>
    <t>Connector for Plug and Play splitter at Feeder side</t>
  </si>
  <si>
    <t>SC/APC connector for Plug and Play in 2007, Legacy 2003- 2006 FTTP used fusion splicing</t>
  </si>
  <si>
    <t>O</t>
  </si>
  <si>
    <t>PFP Location</t>
  </si>
  <si>
    <t>Assume no fiber cable loss beyond splitter loss and connectors</t>
  </si>
  <si>
    <t xml:space="preserve">      Fiber Box Outside w/ Connector</t>
  </si>
  <si>
    <t>P</t>
  </si>
  <si>
    <t>1x32 Coupler loss</t>
  </si>
  <si>
    <t>Varies by Coupler Quality - Contract based values used</t>
  </si>
  <si>
    <t>Q</t>
  </si>
  <si>
    <t>Splitter outputs to Distr. Field connector loss</t>
  </si>
  <si>
    <t>SC/APC connector for Plug and Play since 2003 FTTP in AT&amp;T affiliates</t>
  </si>
  <si>
    <t>R</t>
  </si>
  <si>
    <t>Distribution Fusion Splices in the Distribution Area</t>
  </si>
  <si>
    <t>Assume for DA  4  fusion splice loss for a ribbon</t>
  </si>
  <si>
    <t>S</t>
  </si>
  <si>
    <t>Distribution loss by length</t>
  </si>
  <si>
    <t>Varies by length</t>
  </si>
  <si>
    <t>T</t>
  </si>
  <si>
    <t>Fiber Serving Terminal Serving Location</t>
  </si>
  <si>
    <t>U</t>
  </si>
  <si>
    <t>Drop of 500 feet is assumed</t>
  </si>
  <si>
    <t>Drop attach at terminal using connector - LightGig Design</t>
  </si>
  <si>
    <t>V</t>
  </si>
  <si>
    <t>Fiber Box added for Indoor ONT Cases only - Mated Connector Pair</t>
  </si>
  <si>
    <t>Outside Home Fiber Box with 1 Connector</t>
  </si>
  <si>
    <t>W</t>
  </si>
  <si>
    <t>Wall Jack - Mated Connector Pair</t>
  </si>
  <si>
    <t>Added a connector pair near ONT for Light Gig</t>
  </si>
  <si>
    <t xml:space="preserve">Fiber Serving Terminal </t>
  </si>
  <si>
    <t>X</t>
  </si>
  <si>
    <t>Connectorized Fiber Jumper - Wall Jack to ONT</t>
  </si>
  <si>
    <t xml:space="preserve">Negligible length-negligible loss, connector loss dominates. No indoor microbending is included. </t>
  </si>
  <si>
    <t>Y</t>
  </si>
  <si>
    <t xml:space="preserve">ONT Fiber Connector </t>
  </si>
  <si>
    <t>Assume no Loss - Included in Alcatel budget</t>
  </si>
  <si>
    <t>DA</t>
  </si>
  <si>
    <t>Micro Bending - excessive bending of fiber at Serving Terminal and in-home</t>
  </si>
  <si>
    <t>Use  0.2/0.3 dB per occurance for 1310 nm/1490 nm associated with outside plan locations with hands in plan at PFP and at the Serving Terminal</t>
  </si>
  <si>
    <t>Z1</t>
  </si>
  <si>
    <t xml:space="preserve"> 12 Fiber Ribbon connector  Corning Opti-Tip</t>
  </si>
  <si>
    <t>Z2</t>
  </si>
  <si>
    <t>Updated 6/3/2014 Kent McCammon and Stan Fory</t>
  </si>
  <si>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</si>
  <si>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</si>
  <si>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</si>
  <si>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</si>
  <si>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</si>
  <si>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</si>
  <si>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</si>
  <si>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</si>
  <si>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</si>
  <si>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L1</t>
  </si>
  <si>
    <r>
      <t xml:space="preserve">Backbone Feeder Fiber Loss </t>
    </r>
    <r>
      <rPr>
        <sz val="10"/>
        <color rgb="FF3333FF"/>
        <rFont val="Arial"/>
        <family val="2"/>
      </rPr>
      <t>(to FAP)</t>
    </r>
  </si>
  <si>
    <t>M1</t>
  </si>
  <si>
    <t>Fiber Access Point (FAP) location</t>
  </si>
  <si>
    <t>M2</t>
  </si>
  <si>
    <t>SFCM6 (COM to PON)</t>
  </si>
  <si>
    <t>M3</t>
  </si>
  <si>
    <t>Backbone Feeder Lateral Fiber Loss (FAP-PFP)</t>
  </si>
  <si>
    <t>General/All:</t>
  </si>
  <si>
    <r>
      <t>Added FiberWise</t>
    </r>
    <r>
      <rPr>
        <vertAlign val="superscript"/>
        <sz val="10"/>
        <rFont val="Arial"/>
        <family val="2"/>
      </rPr>
      <t>TM</t>
    </r>
    <r>
      <rPr>
        <sz val="10"/>
        <rFont val="Arial"/>
        <family val="2"/>
      </rPr>
      <t xml:space="preserve"> SFCMx components</t>
    </r>
  </si>
  <si>
    <t>Instructions tab:</t>
  </si>
  <si>
    <t>Added step to select XGS-PON OLT optics</t>
  </si>
  <si>
    <t>XGSPON Planning Tool tab:</t>
  </si>
  <si>
    <t>Update formula in B14 to use "new" fiber loss/kft value in downstream (previous version only used "new" in upstream)</t>
  </si>
  <si>
    <t>Indicate that EML calculations are for test wavelengths (1550nm and 1310nm) not PON transmission wavelengths (1577nm and 1270nm)</t>
  </si>
  <si>
    <t>Indicate that EML values at 1550nm are not valid if the SFCM6 is deployed since it blocks that wavelength.  Similarly, optical loss testing at 1550nm is not feasible if SFCM6 is deployed.</t>
  </si>
  <si>
    <t>XGSPON Budget Calculator tab:</t>
  </si>
  <si>
    <t>Update "old" fiber loss/kft at 1270nm to -0.131 dB/kft</t>
  </si>
  <si>
    <t>Add note on difference between "old" and "new" fiber. In this calculator, “old” fiber is standard G.652.D fiber, and “new” fiber is  SMF28e+ low loss fiber (or equivalent).</t>
  </si>
  <si>
    <t>Expand table to include fiber loss/kft values for XGS-PON wavelengths and test wavelengths.  Design/reach limits are calculated using XGS-PON wavelengths, and EML (on Planning Tool tab) values are calculated using test wavelengths.</t>
  </si>
  <si>
    <t>Use ROUNDDOWN in D37/F37.  Prior to adding ROUNDDOWN to this values, inconsistencies in 1x64 vs. 1x32 selection on Planning Tool tab could occur due to rounding.</t>
  </si>
  <si>
    <t>Add calculations for expected power levels at input and output of PON splitter; if SFCM7 included in budget, indicate if "Planned" or "Placed"</t>
  </si>
  <si>
    <t>FiberWise - Add SFCM7 (Choose Planned, Placed, or No from drop-down list)</t>
  </si>
  <si>
    <t>Average OLT Laser Transmit Power (dBm)</t>
  </si>
  <si>
    <t xml:space="preserve">Max CO EML - Engineered Measured Loss (dB) for 1550 nm downstream from OLT to northbound side of OSP fiber panel (Location "A" to "H" on Optical Budget Diagram </t>
  </si>
  <si>
    <r>
      <t xml:space="preserve">Max. Feeder + Splitter EML - Engineered Measured Loss (dB)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</si>
  <si>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r>
      <t xml:space="preserve">Max. Feeder + Splitter EML - Engineered Measured Loss (dB)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</si>
  <si>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Update OLT optics class if needed.</t>
  </si>
  <si>
    <t>For the 7342 LT cards and 7360 FWLT-B select N1 optics</t>
  </si>
  <si>
    <t>The FWLT-C in the CO FX-16 is N2</t>
  </si>
  <si>
    <t>The FWLT-C in the ROLT FX-8 is currently N1, until N2 is approved.  Engineers can deduce optics type by when the ROLT FWLT-C was triggered.  Also, the optics type is reflected in INSIGHT where the AMS data is available.</t>
  </si>
  <si>
    <t>Select number of OPTITIP connectors from dropdown.  Greenfield FTTP should be 2 due to widespread use of reverse tethers.</t>
  </si>
  <si>
    <t>Updated instructions for optics selection, # OptiTips</t>
  </si>
  <si>
    <t>Modify SFCM7 entry to support "Planned" or "Placed" selections from Planning Tool tab</t>
  </si>
  <si>
    <t>Add support for 1x16 split</t>
  </si>
  <si>
    <t>1x16 Splitter</t>
  </si>
  <si>
    <t>Class N2</t>
  </si>
  <si>
    <t>Use  0.2/0.3 dB per occurrence for 1310 nm/1490 nm associated with outside plant locations with hands in plant at PFP and at the Serving Terminal</t>
  </si>
  <si>
    <t>Note:  This currently uses mid-point of Tx power range; values may be adjusted in future as data is collected for deployed OLT TXRs.</t>
  </si>
  <si>
    <t>Note: Power Thresholds at PFP splitter output/input are provided for downstream only due to test methodology</t>
  </si>
  <si>
    <t>Estimated Downstream Power Threshold (dBm) at PFP splitter output (Location "Q" on Optical Budget Diagram)</t>
  </si>
  <si>
    <t>Estimated Downstream Power Threshold (dBm) at PFP splitter input (Location "N" on Optical Budget Diagram)</t>
  </si>
  <si>
    <t>Construction Power Estimates for Workprint</t>
  </si>
  <si>
    <t>Note:  In order to accomodate the power measurement calculations, the tool needs to know if the SFCM-7 will be "Placed" (because it will result in a real world loss of power) vs. "Planned" (no real world poss of power).</t>
  </si>
  <si>
    <t>Must input if the SFCM-7 is Planned, Placed, or No.  Planned = planning for it in the optical loss budget, not placing it now.  Placed = Planning for it in the optical loss budget and optical power loss.  No = not planned or placed (ROLT applications for example).</t>
  </si>
  <si>
    <t>Must input if the SFCM-6 will be Placed in conjunction with the SFCM-7.  If Placed, enter "Yes", otherwise, "No".</t>
  </si>
  <si>
    <t>Note: 1x16 is for limited ROLT use only.  Do not do 1x16 XGSPON from the CO due to costly feeder fibers.</t>
  </si>
  <si>
    <t>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</si>
</sst>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
      <b/>
      <sz val="18"/>
      <name val="Arial"/>
      <family val="2"/>
    </font>
    <font>
      <b/>
      <sz val="2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1" fillId="23" borderId="7" applyNumberFormat="0" applyFon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5" fillId="0" borderId="0" applyNumberFormat="0" applyFill="0" applyBorder="0" applyAlignment="0" applyProtection="0"/>
  </cellStyleXfs>
  <cellXfs count="216">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8" fillId="25" borderId="10" xfId="0" applyNumberFormat="1" applyFont="1" applyFill="1" applyBorder="1"/>
    <xf numFmtId="2" fontId="8"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165" fontId="8"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165" fontId="8"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165" fontId="8"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165" fontId="8"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165" fontId="8"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8"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7" fillId="26" borderId="11" xfId="0" applyNumberFormat="1" applyFont="1" applyFill="1" applyBorder="1"/>
    <xf numFmtId="2" fontId="1" fillId="26" borderId="11" xfId="0" applyNumberFormat="1" applyFont="1" applyFill="1" applyBorder="1"/>
    <xf numFmtId="2" fontId="7"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165" fontId="0" fillId="0" borderId="0" xfId="0" applyNumberFormat="1" applyAlignment="1">
      <alignment horizontal="center"/>
    </xf>
    <xf numFmtId="164" fontId="26" fillId="28" borderId="31" xfId="0" applyNumberFormat="1" applyFont="1" applyFill="1" applyBorder="1" applyAlignment="1">
      <alignment horizontal="center"/>
    </xf>
    <xf numFmtId="2" fontId="26" fillId="24" borderId="15" xfId="0" applyNumberFormat="1" applyFont="1" applyFill="1" applyBorder="1"/>
    <xf numFmtId="2" fontId="26" fillId="24" borderId="17" xfId="0" applyNumberFormat="1" applyFont="1" applyFill="1" applyBorder="1"/>
    <xf numFmtId="0" fontId="26" fillId="0" borderId="0" xfId="0" applyFont="1"/>
    <xf numFmtId="2" fontId="1" fillId="30" borderId="11" xfId="0" applyNumberFormat="1" applyFont="1" applyFill="1" applyBorder="1"/>
    <xf numFmtId="165" fontId="8" fillId="30" borderId="13" xfId="0" applyNumberFormat="1" applyFont="1" applyFill="1" applyBorder="1" applyAlignment="1">
      <alignment horizontal="center"/>
    </xf>
    <xf numFmtId="0" fontId="4" fillId="0" borderId="0" xfId="0" applyFont="1"/>
    <xf numFmtId="0" fontId="0" fillId="31" borderId="0" xfId="0" applyFill="1"/>
    <xf numFmtId="0" fontId="27" fillId="0" borderId="0" xfId="0" applyFont="1"/>
    <xf numFmtId="0" fontId="28" fillId="0" borderId="0" xfId="0" applyFont="1"/>
    <xf numFmtId="164" fontId="0" fillId="28" borderId="25" xfId="0" applyNumberFormat="1" applyFill="1" applyBorder="1" applyAlignment="1">
      <alignment horizontal="right"/>
    </xf>
    <xf numFmtId="164" fontId="30" fillId="28" borderId="31" xfId="0" applyNumberFormat="1" applyFont="1" applyFill="1" applyBorder="1" applyAlignment="1">
      <alignment horizontal="center"/>
    </xf>
    <xf numFmtId="0" fontId="31"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6" fillId="33" borderId="0" xfId="0" applyNumberFormat="1" applyFont="1" applyFill="1"/>
    <xf numFmtId="0" fontId="1" fillId="26" borderId="21" xfId="0" applyFont="1" applyFill="1" applyBorder="1"/>
    <xf numFmtId="0" fontId="33" fillId="0" borderId="0" xfId="0" applyFont="1"/>
    <xf numFmtId="2" fontId="0" fillId="28" borderId="25" xfId="0" applyNumberFormat="1" applyFill="1" applyBorder="1" applyAlignment="1">
      <alignment horizontal="right"/>
    </xf>
    <xf numFmtId="0" fontId="0" fillId="0" borderId="0" xfId="0" applyAlignment="1">
      <alignment wrapText="1"/>
    </xf>
    <xf numFmtId="0" fontId="1" fillId="0" borderId="0" xfId="0" applyFont="1" applyAlignment="1">
      <alignment wrapText="1"/>
    </xf>
    <xf numFmtId="0" fontId="27" fillId="0" borderId="0" xfId="0" applyFont="1" applyAlignment="1">
      <alignment wrapText="1"/>
    </xf>
    <xf numFmtId="0" fontId="28"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2" fillId="0" borderId="0" xfId="0" applyFont="1"/>
    <xf numFmtId="0" fontId="1" fillId="25" borderId="25" xfId="0" applyFont="1" applyFill="1" applyBorder="1"/>
    <xf numFmtId="0" fontId="1" fillId="30" borderId="11" xfId="0" applyFont="1" applyFill="1" applyBorder="1"/>
    <xf numFmtId="0" fontId="0" fillId="30" borderId="38" xfId="0" applyFill="1" applyBorder="1"/>
    <xf numFmtId="164" fontId="34"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37" fillId="29" borderId="11" xfId="0" applyFont="1" applyFill="1" applyBorder="1" applyAlignment="1">
      <alignment vertical="center"/>
    </xf>
    <xf numFmtId="0" fontId="37" fillId="29" borderId="11" xfId="0" applyFont="1" applyFill="1" applyBorder="1" applyAlignment="1">
      <alignment vertical="center" wrapText="1"/>
    </xf>
    <xf numFmtId="164" fontId="25" fillId="34" borderId="14" xfId="0" applyNumberFormat="1" applyFont="1" applyFill="1" applyBorder="1" applyAlignment="1">
      <alignment horizontal="center" vertical="center"/>
    </xf>
    <xf numFmtId="164" fontId="25" fillId="34" borderId="17" xfId="0" applyNumberFormat="1" applyFont="1" applyFill="1" applyBorder="1" applyAlignment="1">
      <alignment horizontal="center" vertical="center"/>
    </xf>
    <xf numFmtId="0" fontId="38" fillId="0" borderId="0" xfId="0" applyFont="1"/>
    <xf numFmtId="0" fontId="0" fillId="0" borderId="0" xfId="0" applyAlignment="1">
      <alignment horizontal="center" vertical="center"/>
    </xf>
    <xf numFmtId="0" fontId="25" fillId="34" borderId="14" xfId="0" applyFont="1" applyFill="1" applyBorder="1" applyAlignment="1">
      <alignment horizontal="center" vertical="center"/>
    </xf>
    <xf numFmtId="0" fontId="37" fillId="29" borderId="15" xfId="0" applyFont="1" applyFill="1" applyBorder="1" applyAlignment="1">
      <alignment vertical="center" wrapText="1"/>
    </xf>
    <xf numFmtId="0" fontId="37" fillId="29" borderId="21" xfId="0" applyFont="1" applyFill="1" applyBorder="1" applyAlignment="1">
      <alignment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vertical="center"/>
    </xf>
    <xf numFmtId="164" fontId="40" fillId="35" borderId="24" xfId="0" applyNumberFormat="1" applyFont="1" applyFill="1" applyBorder="1" applyAlignment="1" applyProtection="1">
      <alignment horizontal="center" vertical="center"/>
      <protection locked="0"/>
    </xf>
    <xf numFmtId="164" fontId="40" fillId="35" borderId="14" xfId="0" applyNumberFormat="1" applyFont="1" applyFill="1" applyBorder="1" applyAlignment="1" applyProtection="1">
      <alignment horizontal="center" vertical="center"/>
      <protection locked="0"/>
    </xf>
    <xf numFmtId="1" fontId="40" fillId="35" borderId="14" xfId="0" applyNumberFormat="1" applyFont="1" applyFill="1" applyBorder="1" applyAlignment="1" applyProtection="1">
      <alignment horizontal="center" vertical="center"/>
      <protection locked="0"/>
    </xf>
    <xf numFmtId="164" fontId="25" fillId="0" borderId="0" xfId="0" applyNumberFormat="1" applyFont="1" applyAlignment="1">
      <alignment horizontal="center"/>
    </xf>
    <xf numFmtId="0" fontId="37" fillId="0" borderId="0" xfId="0" applyFont="1"/>
    <xf numFmtId="0" fontId="37" fillId="29" borderId="12" xfId="0" applyFont="1" applyFill="1" applyBorder="1" applyAlignment="1">
      <alignment vertical="center"/>
    </xf>
    <xf numFmtId="164" fontId="25" fillId="29" borderId="12" xfId="0" applyNumberFormat="1" applyFont="1" applyFill="1" applyBorder="1" applyAlignment="1">
      <alignment horizontal="center"/>
    </xf>
    <xf numFmtId="0" fontId="37" fillId="29" borderId="12" xfId="0" applyFont="1" applyFill="1" applyBorder="1"/>
    <xf numFmtId="0" fontId="45" fillId="24" borderId="11" xfId="0" applyFont="1" applyFill="1" applyBorder="1" applyAlignment="1">
      <alignment horizontal="center"/>
    </xf>
    <xf numFmtId="0" fontId="45" fillId="24" borderId="14" xfId="0" applyFont="1" applyFill="1" applyBorder="1" applyAlignment="1">
      <alignment horizontal="center"/>
    </xf>
    <xf numFmtId="0" fontId="45" fillId="0" borderId="0" xfId="0" applyFont="1" applyAlignment="1">
      <alignment horizontal="center"/>
    </xf>
    <xf numFmtId="165" fontId="8"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39" fillId="29" borderId="29" xfId="0" applyFont="1" applyFill="1" applyBorder="1" applyAlignment="1">
      <alignment vertical="center" wrapText="1"/>
    </xf>
    <xf numFmtId="0" fontId="47" fillId="0" borderId="0" xfId="0" applyFont="1"/>
    <xf numFmtId="0" fontId="48" fillId="0" borderId="0" xfId="0" applyFont="1" applyAlignment="1">
      <alignment wrapText="1"/>
    </xf>
    <xf numFmtId="0" fontId="48" fillId="0" borderId="0" xfId="0" applyFont="1"/>
    <xf numFmtId="0" fontId="25" fillId="0" borderId="0" xfId="0" applyFont="1" applyAlignment="1">
      <alignment horizontal="center" vertical="center"/>
    </xf>
    <xf numFmtId="0" fontId="1" fillId="36" borderId="29" xfId="0" applyFont="1" applyFill="1" applyBorder="1" applyAlignment="1">
      <alignment horizontal="center"/>
    </xf>
    <xf numFmtId="0" fontId="1" fillId="36" borderId="32" xfId="0" applyFont="1" applyFill="1" applyBorder="1" applyAlignment="1">
      <alignment horizontal="center"/>
    </xf>
    <xf numFmtId="165" fontId="8" fillId="36" borderId="22" xfId="0" applyNumberFormat="1" applyFont="1" applyFill="1" applyBorder="1"/>
    <xf numFmtId="165" fontId="8" fillId="36" borderId="24" xfId="0" applyNumberFormat="1" applyFont="1" applyFill="1" applyBorder="1"/>
    <xf numFmtId="165" fontId="8" fillId="36" borderId="12" xfId="0" applyNumberFormat="1" applyFont="1" applyFill="1" applyBorder="1"/>
    <xf numFmtId="165" fontId="8" fillId="36" borderId="14" xfId="0" applyNumberFormat="1" applyFont="1" applyFill="1" applyBorder="1"/>
    <xf numFmtId="165" fontId="8" fillId="36" borderId="16" xfId="0" applyNumberFormat="1" applyFont="1" applyFill="1" applyBorder="1"/>
    <xf numFmtId="165" fontId="8"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8" fillId="37" borderId="22" xfId="0" applyNumberFormat="1" applyFont="1" applyFill="1" applyBorder="1"/>
    <xf numFmtId="165" fontId="8" fillId="37" borderId="24" xfId="0" applyNumberFormat="1" applyFont="1" applyFill="1" applyBorder="1"/>
    <xf numFmtId="165" fontId="8" fillId="37" borderId="12" xfId="0" applyNumberFormat="1" applyFont="1" applyFill="1" applyBorder="1"/>
    <xf numFmtId="165" fontId="8" fillId="37" borderId="14" xfId="0" applyNumberFormat="1" applyFont="1" applyFill="1" applyBorder="1"/>
    <xf numFmtId="165" fontId="8" fillId="37" borderId="16" xfId="0" applyNumberFormat="1" applyFont="1" applyFill="1" applyBorder="1"/>
    <xf numFmtId="165" fontId="8" fillId="37" borderId="17" xfId="0" applyNumberFormat="1" applyFont="1" applyFill="1" applyBorder="1"/>
    <xf numFmtId="0" fontId="46" fillId="0" borderId="0" xfId="0" applyFont="1"/>
    <xf numFmtId="0" fontId="50" fillId="0" borderId="0" xfId="0" applyFont="1"/>
    <xf numFmtId="0" fontId="1" fillId="25" borderId="11" xfId="0" applyFont="1" applyFill="1" applyBorder="1"/>
    <xf numFmtId="0" fontId="5" fillId="25" borderId="12" xfId="0" applyFont="1" applyFill="1" applyBorder="1" applyAlignment="1">
      <alignment horizontal="center"/>
    </xf>
    <xf numFmtId="0" fontId="5" fillId="25" borderId="26" xfId="0" applyFont="1" applyFill="1" applyBorder="1" applyAlignment="1">
      <alignment horizontal="center"/>
    </xf>
    <xf numFmtId="0" fontId="5" fillId="26" borderId="18" xfId="0" applyFont="1" applyFill="1" applyBorder="1" applyAlignment="1">
      <alignment horizontal="center"/>
    </xf>
    <xf numFmtId="0" fontId="5" fillId="26" borderId="12" xfId="0" applyFont="1" applyFill="1" applyBorder="1" applyAlignment="1">
      <alignment horizontal="center"/>
    </xf>
    <xf numFmtId="0" fontId="5" fillId="27" borderId="18" xfId="0" applyFont="1" applyFill="1" applyBorder="1" applyAlignment="1">
      <alignment horizontal="center"/>
    </xf>
    <xf numFmtId="0" fontId="5" fillId="27" borderId="22" xfId="0" applyFont="1" applyFill="1" applyBorder="1" applyAlignment="1">
      <alignment horizontal="center"/>
    </xf>
    <xf numFmtId="0" fontId="5" fillId="27" borderId="12" xfId="0" applyFont="1" applyFill="1" applyBorder="1" applyAlignment="1">
      <alignment horizontal="center"/>
    </xf>
    <xf numFmtId="1" fontId="5" fillId="27" borderId="12" xfId="0" applyNumberFormat="1" applyFont="1" applyFill="1" applyBorder="1" applyAlignment="1">
      <alignment horizontal="center"/>
    </xf>
    <xf numFmtId="0" fontId="5" fillId="30" borderId="12" xfId="0" applyFont="1" applyFill="1" applyBorder="1" applyAlignment="1">
      <alignment horizontal="center"/>
    </xf>
    <xf numFmtId="0" fontId="1" fillId="28" borderId="22" xfId="0" applyFont="1" applyFill="1" applyBorder="1" applyAlignment="1">
      <alignment horizontal="left"/>
    </xf>
    <xf numFmtId="0" fontId="1" fillId="28" borderId="26" xfId="0" applyFont="1" applyFill="1" applyBorder="1" applyAlignment="1">
      <alignment horizontal="center"/>
    </xf>
    <xf numFmtId="0" fontId="37" fillId="31" borderId="12" xfId="0" applyFont="1" applyFill="1" applyBorder="1" applyAlignment="1">
      <alignment vertical="center"/>
    </xf>
    <xf numFmtId="164" fontId="25" fillId="31" borderId="17" xfId="0" applyNumberFormat="1" applyFont="1" applyFill="1" applyBorder="1" applyAlignment="1">
      <alignment horizontal="center" vertical="center"/>
    </xf>
    <xf numFmtId="0" fontId="39" fillId="0" borderId="0" xfId="0" applyFont="1"/>
    <xf numFmtId="164" fontId="51" fillId="34" borderId="17" xfId="0" applyNumberFormat="1" applyFont="1" applyFill="1" applyBorder="1" applyAlignment="1">
      <alignment horizontal="center" vertical="center"/>
    </xf>
    <xf numFmtId="0" fontId="37" fillId="30" borderId="12" xfId="0" applyFont="1" applyFill="1" applyBorder="1" applyAlignment="1">
      <alignment vertical="center"/>
    </xf>
    <xf numFmtId="0" fontId="37" fillId="30" borderId="12" xfId="0" applyFont="1" applyFill="1" applyBorder="1" applyAlignment="1">
      <alignment vertical="center" wrapText="1"/>
    </xf>
    <xf numFmtId="0" fontId="47" fillId="30" borderId="12" xfId="0" applyFont="1" applyFill="1" applyBorder="1" applyAlignment="1">
      <alignment vertical="center" wrapText="1"/>
    </xf>
    <xf numFmtId="0" fontId="52" fillId="0" borderId="0" xfId="0" applyFont="1"/>
    <xf numFmtId="0" fontId="0" fillId="24" borderId="0" xfId="0" applyFill="1" applyAlignment="1">
      <alignment horizontal="center" wrapText="1"/>
    </xf>
    <xf numFmtId="0" fontId="50" fillId="0" borderId="0" xfId="0" applyFont="1" applyAlignment="1">
      <alignment wrapText="1"/>
    </xf>
    <xf numFmtId="0" fontId="42" fillId="0" borderId="0" xfId="0" applyFont="1"/>
    <xf numFmtId="164" fontId="39" fillId="35" borderId="32" xfId="0" applyNumberFormat="1" applyFont="1" applyFill="1" applyBorder="1" applyAlignment="1" applyProtection="1">
      <alignment horizontal="center" vertical="center"/>
      <protection locked="0"/>
    </xf>
    <xf numFmtId="164" fontId="41" fillId="38" borderId="39" xfId="0" applyNumberFormat="1" applyFont="1" applyFill="1" applyBorder="1" applyAlignment="1">
      <alignment horizontal="center" vertical="center" wrapText="1"/>
    </xf>
    <xf numFmtId="164" fontId="41" fillId="38" borderId="0" xfId="0" applyNumberFormat="1" applyFont="1" applyFill="1" applyAlignment="1">
      <alignment horizontal="center" vertical="center" wrapText="1"/>
    </xf>
    <xf numFmtId="0" fontId="43" fillId="0" borderId="0" xfId="0" applyFont="1" applyAlignment="1">
      <alignment horizontal="left" vertical="center" wrapText="1"/>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164" fontId="29" fillId="28" borderId="36" xfId="0" applyNumberFormat="1" applyFont="1" applyFill="1" applyBorder="1" applyAlignment="1">
      <alignment horizontal="center"/>
    </xf>
    <xf numFmtId="164" fontId="29"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6" fillId="28" borderId="41" xfId="0" applyNumberFormat="1" applyFont="1" applyFill="1" applyBorder="1" applyAlignment="1">
      <alignment horizontal="center"/>
    </xf>
    <xf numFmtId="164" fontId="6" fillId="28" borderId="42" xfId="0" applyNumberFormat="1" applyFont="1" applyFill="1" applyBorder="1" applyAlignment="1">
      <alignment horizontal="center"/>
    </xf>
    <xf numFmtId="0" fontId="0" fillId="0" borderId="43" xfId="0" applyBorder="1" applyAlignment="1">
      <alignment horizontal="center"/>
    </xf>
    <xf numFmtId="164" fontId="30" fillId="28" borderId="36" xfId="0" applyNumberFormat="1" applyFont="1" applyFill="1" applyBorder="1" applyAlignment="1">
      <alignment horizontal="center"/>
    </xf>
    <xf numFmtId="164" fontId="30" fillId="28" borderId="40" xfId="0" applyNumberFormat="1" applyFont="1" applyFill="1" applyBorder="1" applyAlignment="1">
      <alignment horizontal="center"/>
    </xf>
    <xf numFmtId="164" fontId="26" fillId="28" borderId="36" xfId="0" applyNumberFormat="1" applyFont="1" applyFill="1" applyBorder="1" applyAlignment="1">
      <alignment horizontal="center"/>
    </xf>
    <xf numFmtId="164" fontId="26" fillId="28" borderId="40" xfId="0" applyNumberFormat="1" applyFont="1" applyFill="1" applyBorder="1" applyAlignment="1">
      <alignment horizontal="center"/>
    </xf>
    <xf numFmtId="0" fontId="32"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FFCC"/>
      <color rgb="FFCCCCFF"/>
      <color rgb="FFFFFFCC"/>
      <color rgb="FFFFCC99"/>
      <color rgb="FFCCFFFF"/>
      <color rgb="FFFF00FF"/>
      <color rgb="FF3333FF"/>
      <color rgb="FF00FF00"/>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sqref="A1:B12"/>
    </sheetView>
  </sheetViews>
  <sheetFormatPr defaultRowHeight="12.75" x14ac:dyDescent="0.2"/>
  <cols>
    <col min="2" max="2" width="170.7109375" customWidth="1"/>
  </cols>
  <sheetData>
    <row r="1" spans="1:2" x14ac:dyDescent="0.2">
      <c r="A1" s="101" t="s">
        <v>0</v>
      </c>
    </row>
    <row r="3" spans="1:2" x14ac:dyDescent="0.2">
      <c r="A3" s="94">
        <v>1</v>
      </c>
      <c r="B3" s="110" t="s">
        <v>206</v>
      </c>
    </row>
    <row r="4" spans="1:2" x14ac:dyDescent="0.2">
      <c r="A4" s="94"/>
      <c r="B4" s="110" t="s">
        <v>207</v>
      </c>
    </row>
    <row r="5" spans="1:2" x14ac:dyDescent="0.2">
      <c r="A5" s="94"/>
      <c r="B5" s="110" t="s">
        <v>208</v>
      </c>
    </row>
    <row r="6" spans="1:2" ht="25.5" x14ac:dyDescent="0.2">
      <c r="A6" s="94"/>
      <c r="B6" s="110" t="s">
        <v>209</v>
      </c>
    </row>
    <row r="7" spans="1:2" x14ac:dyDescent="0.2">
      <c r="A7" s="94">
        <v>2</v>
      </c>
      <c r="B7" s="110" t="s">
        <v>1</v>
      </c>
    </row>
    <row r="8" spans="1:2" x14ac:dyDescent="0.2">
      <c r="A8" s="94">
        <v>3</v>
      </c>
      <c r="B8" s="110" t="s">
        <v>2</v>
      </c>
    </row>
    <row r="9" spans="1:2" x14ac:dyDescent="0.2">
      <c r="A9" s="94">
        <v>4</v>
      </c>
      <c r="B9" s="110" t="s">
        <v>210</v>
      </c>
    </row>
    <row r="10" spans="1:2" ht="25.5" x14ac:dyDescent="0.2">
      <c r="A10" s="91">
        <v>5</v>
      </c>
      <c r="B10" s="193" t="s">
        <v>223</v>
      </c>
    </row>
    <row r="11" spans="1:2" x14ac:dyDescent="0.2">
      <c r="A11" s="91">
        <v>6</v>
      </c>
      <c r="B11" s="193" t="s">
        <v>224</v>
      </c>
    </row>
    <row r="12" spans="1:2" x14ac:dyDescent="0.2">
      <c r="A12" s="94">
        <v>7</v>
      </c>
      <c r="B12" s="110"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zoomScale="70" zoomScaleNormal="70" workbookViewId="0">
      <selection activeCell="B2" sqref="B2"/>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26" customFormat="1" ht="44.25" thickBot="1" x14ac:dyDescent="0.35">
      <c r="A1" s="149" t="s">
        <v>4</v>
      </c>
      <c r="B1" s="195" t="s">
        <v>215</v>
      </c>
    </row>
    <row r="2" spans="1:12" ht="39.950000000000003" customHeight="1" x14ac:dyDescent="0.25">
      <c r="A2" s="130" t="s">
        <v>5</v>
      </c>
      <c r="B2" s="133">
        <v>27.664000000000001</v>
      </c>
      <c r="D2" s="170" t="s">
        <v>6</v>
      </c>
      <c r="I2" s="131" t="s">
        <v>7</v>
      </c>
    </row>
    <row r="3" spans="1:12" ht="39.950000000000003" customHeight="1" x14ac:dyDescent="0.2">
      <c r="A3" s="122" t="s">
        <v>8</v>
      </c>
      <c r="B3" s="134">
        <v>4</v>
      </c>
      <c r="I3" s="132">
        <v>0</v>
      </c>
    </row>
    <row r="4" spans="1:12" ht="39.950000000000003" customHeight="1" x14ac:dyDescent="0.2">
      <c r="A4" s="123" t="s">
        <v>9</v>
      </c>
      <c r="B4" s="135">
        <v>1</v>
      </c>
      <c r="I4" s="132">
        <v>1</v>
      </c>
    </row>
    <row r="5" spans="1:12" ht="39.950000000000003" customHeight="1" x14ac:dyDescent="0.25">
      <c r="A5" s="123" t="s">
        <v>201</v>
      </c>
      <c r="B5" s="135" t="s">
        <v>226</v>
      </c>
      <c r="D5" s="170" t="s">
        <v>222</v>
      </c>
      <c r="I5" s="132">
        <v>2</v>
      </c>
    </row>
    <row r="6" spans="1:12" ht="39.950000000000003" customHeight="1" x14ac:dyDescent="0.25">
      <c r="A6" s="123" t="s">
        <v>11</v>
      </c>
      <c r="B6" s="135" t="s">
        <v>10</v>
      </c>
      <c r="D6" s="170" t="s">
        <v>12</v>
      </c>
    </row>
    <row r="7" spans="1:12" ht="39.950000000000003" customHeight="1" x14ac:dyDescent="0.2">
      <c r="A7" s="122" t="s">
        <v>13</v>
      </c>
      <c r="B7" s="134">
        <v>6</v>
      </c>
    </row>
    <row r="8" spans="1:12" ht="39.950000000000003" customHeight="1" x14ac:dyDescent="0.2">
      <c r="A8" s="122" t="s">
        <v>14</v>
      </c>
      <c r="B8" s="124">
        <f>B2+B7</f>
        <v>33.664000000000001</v>
      </c>
      <c r="E8" s="127"/>
    </row>
    <row r="9" spans="1:12" ht="39.950000000000003" customHeight="1" x14ac:dyDescent="0.25">
      <c r="A9" s="122" t="s">
        <v>15</v>
      </c>
      <c r="B9" s="128" t="str">
        <f>IF(B8&lt;='XGSPON Budget Calculator'!D39,"1x64",IF(B8&lt;='XGSPON Budget Calculator'!F39,"1x32",IF(B8&lt;='XGSPON Budget Calculator'!H39,"1x16",NA())))</f>
        <v>1x32</v>
      </c>
      <c r="C9" s="153"/>
      <c r="D9" s="194" t="s">
        <v>225</v>
      </c>
      <c r="E9" s="153"/>
      <c r="F9" s="153"/>
      <c r="G9" s="153"/>
    </row>
    <row r="10" spans="1:12" ht="72.75" customHeight="1" thickBot="1" x14ac:dyDescent="0.25">
      <c r="A10" s="129" t="s">
        <v>204</v>
      </c>
      <c r="B10" s="125">
        <f>-(IF($B$8&lt;='XGSPON Budget Calculator'!$D$39,SUM('XGSPON Budget Calculator'!D$10:D$18),IF($B$8&lt;='XGSPON Budget Calculator'!$F$39,SUM('XGSPON Budget Calculator'!F$10:F$18),IF($B$8&lt;='XGSPON Budget Calculator'!$H$39,SUM('XGSPON Budget Calculator'!H$10:H$18),NA())))+'XGSPON Budget Calculator'!$C$7+$B$2*('XGSPON Budget Calculator'!$D$43+'XGSPON Budget Calculator'!$C$33/$B$3))</f>
        <v>22.167358536585368</v>
      </c>
      <c r="C10" s="196" t="s">
        <v>16</v>
      </c>
      <c r="D10" s="197"/>
      <c r="E10" s="197"/>
      <c r="F10" s="197"/>
      <c r="G10" s="197"/>
    </row>
    <row r="11" spans="1:12" ht="72.75" thickBot="1" x14ac:dyDescent="0.25">
      <c r="A11" s="129" t="s">
        <v>205</v>
      </c>
      <c r="B11" s="125">
        <f>-(IF($B$8&lt;='XGSPON Budget Calculator'!$D$39,SUM('XGSPON Budget Calculator'!E$10:E$18),IF($B$8&lt;='XGSPON Budget Calculator'!$F$39,SUM('XGSPON Budget Calculator'!G$10:G$18),IF($B$8&lt;='XGSPON Budget Calculator'!$H$39,SUM('XGSPON Budget Calculator'!I$10:I$18),NA())))+'XGSPON Budget Calculator'!$C$7+$B$2*('XGSPON Budget Calculator'!$E$43+'XGSPON Budget Calculator'!$C$33/$B$3))</f>
        <v>21.323943902439026</v>
      </c>
      <c r="C11" s="196"/>
      <c r="D11" s="197"/>
      <c r="E11" s="197"/>
      <c r="F11" s="197"/>
      <c r="G11" s="197"/>
      <c r="H11" s="198" t="s">
        <v>17</v>
      </c>
      <c r="I11" s="198"/>
      <c r="J11" s="198"/>
      <c r="K11" s="198"/>
      <c r="L11" s="198"/>
    </row>
    <row r="12" spans="1:12" ht="12.75" customHeight="1" x14ac:dyDescent="0.2">
      <c r="C12" s="196"/>
      <c r="D12" s="197"/>
      <c r="E12" s="197"/>
      <c r="F12" s="197"/>
      <c r="G12" s="197"/>
    </row>
    <row r="13" spans="1:12" ht="23.25" x14ac:dyDescent="0.35">
      <c r="A13" s="138" t="s">
        <v>18</v>
      </c>
      <c r="B13" s="139">
        <f>((B7*'XGSPON Budget Calculator'!D42)*-1)+SUM('XGSPON Budget Calculator'!D20:D29)*-1</f>
        <v>2.9057926829268292</v>
      </c>
      <c r="C13" s="196"/>
      <c r="D13" s="197"/>
      <c r="E13" s="197"/>
      <c r="F13" s="197"/>
      <c r="G13" s="197"/>
      <c r="H13" s="170" t="s">
        <v>19</v>
      </c>
    </row>
    <row r="14" spans="1:12" ht="23.25" x14ac:dyDescent="0.35">
      <c r="A14" s="138" t="s">
        <v>20</v>
      </c>
      <c r="B14" s="139">
        <f>((B7*'XGSPON Budget Calculator'!E42)*-1)+SUM('XGSPON Budget Calculator'!E20:E29)*-1</f>
        <v>2.2945121951219516</v>
      </c>
      <c r="C14" s="196"/>
      <c r="D14" s="197"/>
      <c r="E14" s="197"/>
      <c r="F14" s="197"/>
      <c r="G14" s="197"/>
      <c r="L14" s="101"/>
    </row>
    <row r="15" spans="1:12" ht="23.25" x14ac:dyDescent="0.35">
      <c r="A15" s="137"/>
      <c r="B15" s="136"/>
      <c r="C15" s="196"/>
      <c r="D15" s="197"/>
      <c r="E15" s="197"/>
      <c r="F15" s="197"/>
      <c r="G15" s="197"/>
    </row>
    <row r="16" spans="1:12" ht="23.25" x14ac:dyDescent="0.35">
      <c r="A16" s="140" t="s">
        <v>21</v>
      </c>
      <c r="B16" s="139">
        <f>B10+B13</f>
        <v>25.073151219512198</v>
      </c>
      <c r="C16" s="196"/>
      <c r="D16" s="197"/>
      <c r="E16" s="197"/>
      <c r="F16" s="197"/>
      <c r="G16" s="197"/>
    </row>
    <row r="17" spans="1:7" ht="23.25" x14ac:dyDescent="0.35">
      <c r="A17" s="140" t="s">
        <v>22</v>
      </c>
      <c r="B17" s="139">
        <f>B11+B14</f>
        <v>23.61845609756098</v>
      </c>
      <c r="C17" s="196"/>
      <c r="D17" s="197"/>
      <c r="E17" s="197"/>
      <c r="F17" s="197"/>
      <c r="G17" s="197"/>
    </row>
    <row r="19" spans="1:7" ht="18" x14ac:dyDescent="0.25">
      <c r="A19" s="137" t="s">
        <v>23</v>
      </c>
    </row>
    <row r="21" spans="1:7" s="186" customFormat="1" ht="26.25" x14ac:dyDescent="0.4">
      <c r="A21" s="191" t="s">
        <v>221</v>
      </c>
    </row>
    <row r="22" spans="1:7" ht="24" thickBot="1" x14ac:dyDescent="0.3">
      <c r="A22" s="188" t="s">
        <v>202</v>
      </c>
      <c r="B22" s="125">
        <f>IF(B1="Class N2",5.5,IF(B1="Class N1",3.5,"Error"))</f>
        <v>5.5</v>
      </c>
      <c r="C22" s="170"/>
      <c r="D22" s="170" t="s">
        <v>217</v>
      </c>
    </row>
    <row r="23" spans="1:7" ht="54.75" thickBot="1" x14ac:dyDescent="0.25">
      <c r="A23" s="189" t="s">
        <v>203</v>
      </c>
      <c r="B23" s="125">
        <f>ABS(IF(B5="Planned",SUM('XGSPON Budget Calculator'!E6:E7),SUM('XGSPON Budget Calculator'!E6:E9)))</f>
        <v>1.9</v>
      </c>
    </row>
    <row r="24" spans="1:7" ht="24" thickBot="1" x14ac:dyDescent="0.25">
      <c r="A24" s="184"/>
      <c r="B24" s="185"/>
    </row>
    <row r="25" spans="1:7" ht="36.75" thickBot="1" x14ac:dyDescent="0.3">
      <c r="A25" s="190" t="s">
        <v>219</v>
      </c>
      <c r="B25" s="187">
        <f>B22-B23-B11</f>
        <v>-17.723943902439025</v>
      </c>
      <c r="C25" s="170"/>
      <c r="D25" s="170" t="s">
        <v>218</v>
      </c>
    </row>
    <row r="26" spans="1:7" ht="36.75" thickBot="1" x14ac:dyDescent="0.25">
      <c r="A26" s="190" t="s">
        <v>220</v>
      </c>
      <c r="B26" s="187">
        <f>B25-'XGSPON Budget Calculator'!E16-IF('XGSPON Planning Tool'!B9="1x64",'XGSPON Budget Calculator'!E17,IF('XGSPON Planning Tool'!B9="1x32",'XGSPON Budget Calculator'!G17,IF('XGSPON Planning Tool'!B9="1x16",'XGSPON Budget Calculator'!I17,"Error")))</f>
        <v>-0.27394390243902222</v>
      </c>
    </row>
  </sheetData>
  <sheetProtection algorithmName="SHA-512" hashValue="YxybwOIRsuRZQxq1B6sSRaMLQQoX7JjnqKsgRWtOoXkQkHB+c0RSgCt9ctb8L8xHfjdprkWEaQHC5LOIR/NwcA==" saltValue="N8n5mWfz4C+Q7G9S296ZtA==" spinCount="100000" sheet="1" objects="1" scenarios="1"/>
  <mergeCells count="2">
    <mergeCell ref="C10:G17"/>
    <mergeCell ref="H11:L11"/>
  </mergeCells>
  <dataValidations count="4">
    <dataValidation type="list" allowBlank="1" showInputMessage="1" showErrorMessage="1" prompt="Select Yes or No" sqref="B6" xr:uid="{3319F6B0-0F29-4A4C-AB12-80AC9367F10A}">
      <formula1>"Yes, No"</formula1>
    </dataValidation>
    <dataValidation type="list" allowBlank="1" showInputMessage="1" showErrorMessage="1" sqref="B1" xr:uid="{511EF384-CFB8-4B98-886E-5F9622B8F3AF}">
      <formula1>"Class N1,Class N2"</formula1>
    </dataValidation>
    <dataValidation type="list" allowBlank="1" showInputMessage="1" showErrorMessage="1" sqref="B4" xr:uid="{00000000-0002-0000-0100-000000000000}">
      <formula1>$I$3:$I$5</formula1>
    </dataValidation>
    <dataValidation type="list" allowBlank="1" showInputMessage="1" showErrorMessage="1" prompt="Select Planned, Placed, or No" sqref="B5" xr:uid="{9DBED924-3F9A-48BD-9FD0-469AB04A975C}">
      <formula1>"Planned, Placed, No"</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zoomScaleNormal="100" workbookViewId="0">
      <pane xSplit="1" ySplit="4" topLeftCell="B5" activePane="bottomRight" state="frozen"/>
      <selection pane="topRight" activeCell="B1" sqref="B1"/>
      <selection pane="bottomLeft" activeCell="A5" sqref="A5"/>
      <selection pane="bottomRight" activeCell="A20" sqref="A20:XFD28"/>
    </sheetView>
  </sheetViews>
  <sheetFormatPr defaultRowHeight="12.75" x14ac:dyDescent="0.2"/>
  <cols>
    <col min="1" max="1" width="47" customWidth="1"/>
  </cols>
  <sheetData>
    <row r="1" spans="1:14" ht="30" customHeight="1" thickBot="1" x14ac:dyDescent="0.3">
      <c r="A1" s="100" t="s">
        <v>24</v>
      </c>
      <c r="B1" s="203" t="s">
        <v>25</v>
      </c>
      <c r="C1" s="204"/>
      <c r="D1" s="204"/>
      <c r="E1" s="204"/>
      <c r="F1" s="204"/>
      <c r="G1" s="204"/>
      <c r="H1" s="192"/>
      <c r="I1" s="192"/>
    </row>
    <row r="2" spans="1:14" ht="26.25" customHeight="1" x14ac:dyDescent="0.2">
      <c r="A2" s="1" t="s">
        <v>26</v>
      </c>
      <c r="B2" s="84" t="s">
        <v>27</v>
      </c>
      <c r="C2" s="86" t="s">
        <v>28</v>
      </c>
      <c r="D2" s="205" t="s">
        <v>29</v>
      </c>
      <c r="E2" s="206"/>
      <c r="F2" s="205" t="s">
        <v>30</v>
      </c>
      <c r="G2" s="206"/>
      <c r="H2" s="205" t="s">
        <v>214</v>
      </c>
      <c r="I2" s="206"/>
    </row>
    <row r="3" spans="1:14" x14ac:dyDescent="0.2">
      <c r="A3" s="2" t="s">
        <v>31</v>
      </c>
      <c r="B3" s="3"/>
      <c r="C3" s="4"/>
      <c r="D3" s="141" t="s">
        <v>32</v>
      </c>
      <c r="E3" s="142" t="s">
        <v>33</v>
      </c>
      <c r="F3" s="141" t="s">
        <v>32</v>
      </c>
      <c r="G3" s="142" t="s">
        <v>33</v>
      </c>
      <c r="H3" s="141" t="s">
        <v>32</v>
      </c>
      <c r="I3" s="142" t="s">
        <v>33</v>
      </c>
    </row>
    <row r="4" spans="1:14" ht="15" customHeight="1" thickBot="1" x14ac:dyDescent="0.25">
      <c r="A4" s="5" t="s">
        <v>34</v>
      </c>
      <c r="B4" s="6"/>
      <c r="C4" s="89">
        <f>IF('XGSPON Planning Tool'!B1="Class N1", 29,IF('XGSPON Planning Tool'!B1="Class N2", 31,"Invalid"))</f>
        <v>31</v>
      </c>
      <c r="D4" s="105">
        <f>C4</f>
        <v>31</v>
      </c>
      <c r="E4" s="90">
        <f>C4</f>
        <v>31</v>
      </c>
      <c r="F4" s="89">
        <f>C4</f>
        <v>31</v>
      </c>
      <c r="G4" s="90">
        <f>C4</f>
        <v>31</v>
      </c>
      <c r="H4" s="89">
        <f>E4</f>
        <v>31</v>
      </c>
      <c r="I4" s="90">
        <f>E4</f>
        <v>31</v>
      </c>
    </row>
    <row r="5" spans="1:14" x14ac:dyDescent="0.2">
      <c r="A5" s="7" t="s">
        <v>35</v>
      </c>
      <c r="B5" s="8"/>
      <c r="C5" s="9"/>
      <c r="D5" s="10"/>
      <c r="E5" s="11"/>
      <c r="F5" s="12"/>
      <c r="G5" s="13"/>
      <c r="H5" s="12"/>
      <c r="I5" s="13"/>
    </row>
    <row r="6" spans="1:14" x14ac:dyDescent="0.2">
      <c r="A6" s="121" t="s">
        <v>36</v>
      </c>
      <c r="B6" s="14"/>
      <c r="C6" s="83">
        <v>-1</v>
      </c>
      <c r="D6" s="104">
        <f>C6</f>
        <v>-1</v>
      </c>
      <c r="E6" s="103">
        <f>C6</f>
        <v>-1</v>
      </c>
      <c r="F6" s="15">
        <f>C6</f>
        <v>-1</v>
      </c>
      <c r="G6" s="16">
        <f>$C6</f>
        <v>-1</v>
      </c>
      <c r="H6" s="15">
        <f>E6</f>
        <v>-1</v>
      </c>
      <c r="I6" s="16">
        <f>$C6</f>
        <v>-1</v>
      </c>
    </row>
    <row r="7" spans="1:14" x14ac:dyDescent="0.2">
      <c r="A7" s="172" t="s">
        <v>37</v>
      </c>
      <c r="B7" s="173">
        <v>3</v>
      </c>
      <c r="C7" s="17">
        <v>-0.3</v>
      </c>
      <c r="D7" s="18">
        <f t="shared" ref="D7:I10" si="0">$C7*$B7</f>
        <v>-0.89999999999999991</v>
      </c>
      <c r="E7" s="19">
        <f t="shared" si="0"/>
        <v>-0.89999999999999991</v>
      </c>
      <c r="F7" s="18">
        <f t="shared" si="0"/>
        <v>-0.89999999999999991</v>
      </c>
      <c r="G7" s="19">
        <f t="shared" si="0"/>
        <v>-0.89999999999999991</v>
      </c>
      <c r="H7" s="18">
        <f t="shared" si="0"/>
        <v>-0.89999999999999991</v>
      </c>
      <c r="I7" s="19">
        <f t="shared" si="0"/>
        <v>-0.89999999999999991</v>
      </c>
    </row>
    <row r="8" spans="1:14" x14ac:dyDescent="0.2">
      <c r="A8" s="116" t="s">
        <v>38</v>
      </c>
      <c r="B8" s="148">
        <f>IF('XGSPON Planning Tool'!B5="No",0,1)</f>
        <v>1</v>
      </c>
      <c r="C8" s="20">
        <v>-1.1000000000000001</v>
      </c>
      <c r="D8" s="18">
        <f>$C8*$B8</f>
        <v>-1.1000000000000001</v>
      </c>
      <c r="E8" s="19">
        <f t="shared" si="0"/>
        <v>-1.1000000000000001</v>
      </c>
      <c r="F8" s="18">
        <f t="shared" si="0"/>
        <v>-1.1000000000000001</v>
      </c>
      <c r="G8" s="19">
        <f t="shared" si="0"/>
        <v>-1.1000000000000001</v>
      </c>
      <c r="H8" s="18">
        <f t="shared" si="0"/>
        <v>-1.1000000000000001</v>
      </c>
      <c r="I8" s="19">
        <f t="shared" si="0"/>
        <v>-1.1000000000000001</v>
      </c>
    </row>
    <row r="9" spans="1:14" x14ac:dyDescent="0.2">
      <c r="A9" s="116" t="s">
        <v>39</v>
      </c>
      <c r="B9" s="148">
        <f>IF('XGSPON Planning Tool'!B5="No",0,1)</f>
        <v>1</v>
      </c>
      <c r="C9" s="20">
        <v>-0.3</v>
      </c>
      <c r="D9" s="18">
        <f>$C9*$B9</f>
        <v>-0.3</v>
      </c>
      <c r="E9" s="19">
        <f t="shared" si="0"/>
        <v>-0.3</v>
      </c>
      <c r="F9" s="18">
        <f t="shared" si="0"/>
        <v>-0.3</v>
      </c>
      <c r="G9" s="19">
        <f t="shared" si="0"/>
        <v>-0.3</v>
      </c>
      <c r="H9" s="18">
        <f t="shared" si="0"/>
        <v>-0.3</v>
      </c>
      <c r="I9" s="19">
        <f t="shared" si="0"/>
        <v>-0.3</v>
      </c>
      <c r="J9" s="101"/>
    </row>
    <row r="10" spans="1:14" ht="13.5" thickBot="1" x14ac:dyDescent="0.25">
      <c r="A10" s="116" t="s">
        <v>40</v>
      </c>
      <c r="B10" s="174">
        <v>1</v>
      </c>
      <c r="C10" s="20">
        <v>-7.4999999999999997E-2</v>
      </c>
      <c r="D10" s="21">
        <f t="shared" si="0"/>
        <v>-7.4999999999999997E-2</v>
      </c>
      <c r="E10" s="22">
        <f t="shared" si="0"/>
        <v>-7.4999999999999997E-2</v>
      </c>
      <c r="F10" s="21">
        <f t="shared" si="0"/>
        <v>-7.4999999999999997E-2</v>
      </c>
      <c r="G10" s="22">
        <f t="shared" si="0"/>
        <v>-7.4999999999999997E-2</v>
      </c>
      <c r="H10" s="21">
        <f t="shared" si="0"/>
        <v>-7.4999999999999997E-2</v>
      </c>
      <c r="I10" s="22">
        <f t="shared" si="0"/>
        <v>-7.4999999999999997E-2</v>
      </c>
    </row>
    <row r="11" spans="1:14" x14ac:dyDescent="0.2">
      <c r="A11" s="23" t="s">
        <v>41</v>
      </c>
      <c r="B11" s="175"/>
      <c r="C11" s="24"/>
      <c r="D11" s="25"/>
      <c r="E11" s="26"/>
      <c r="F11" s="25"/>
      <c r="G11" s="26"/>
      <c r="H11" s="25"/>
      <c r="I11" s="26"/>
    </row>
    <row r="12" spans="1:14" x14ac:dyDescent="0.2">
      <c r="A12" s="147" t="s">
        <v>42</v>
      </c>
      <c r="B12" s="145">
        <f>IF('XGSPON Planning Tool'!B6="Yes",1,0)</f>
        <v>0</v>
      </c>
      <c r="C12" s="146">
        <v>-0.1</v>
      </c>
      <c r="D12" s="28">
        <f t="shared" ref="D12:I14" si="1">$C12*$B12</f>
        <v>0</v>
      </c>
      <c r="E12" s="29">
        <f t="shared" si="1"/>
        <v>0</v>
      </c>
      <c r="F12" s="28">
        <f t="shared" si="1"/>
        <v>0</v>
      </c>
      <c r="G12" s="29">
        <f t="shared" si="1"/>
        <v>0</v>
      </c>
      <c r="H12" s="28">
        <f t="shared" si="1"/>
        <v>0</v>
      </c>
      <c r="I12" s="29">
        <f t="shared" si="1"/>
        <v>0</v>
      </c>
    </row>
    <row r="13" spans="1:14" x14ac:dyDescent="0.2">
      <c r="A13" s="147" t="s">
        <v>43</v>
      </c>
      <c r="B13" s="145">
        <f>IF('XGSPON Planning Tool'!B6="Yes",1,0)</f>
        <v>0</v>
      </c>
      <c r="C13" s="146">
        <v>-0.9</v>
      </c>
      <c r="D13" s="28">
        <f t="shared" si="1"/>
        <v>0</v>
      </c>
      <c r="E13" s="29">
        <f t="shared" si="1"/>
        <v>0</v>
      </c>
      <c r="F13" s="28">
        <f t="shared" si="1"/>
        <v>0</v>
      </c>
      <c r="G13" s="29">
        <f t="shared" si="1"/>
        <v>0</v>
      </c>
      <c r="H13" s="28">
        <f t="shared" si="1"/>
        <v>0</v>
      </c>
      <c r="I13" s="29">
        <f t="shared" si="1"/>
        <v>0</v>
      </c>
    </row>
    <row r="14" spans="1:14" x14ac:dyDescent="0.2">
      <c r="A14" s="147" t="s">
        <v>44</v>
      </c>
      <c r="B14" s="145">
        <f>IF('XGSPON Planning Tool'!B6="Yes",1,0)</f>
        <v>0</v>
      </c>
      <c r="C14" s="146">
        <v>-0.1</v>
      </c>
      <c r="D14" s="28">
        <f t="shared" si="1"/>
        <v>0</v>
      </c>
      <c r="E14" s="29">
        <f t="shared" si="1"/>
        <v>0</v>
      </c>
      <c r="F14" s="28">
        <f t="shared" si="1"/>
        <v>0</v>
      </c>
      <c r="G14" s="29">
        <f t="shared" si="1"/>
        <v>0</v>
      </c>
      <c r="H14" s="28">
        <f t="shared" si="1"/>
        <v>0</v>
      </c>
      <c r="I14" s="29">
        <f t="shared" si="1"/>
        <v>0</v>
      </c>
    </row>
    <row r="15" spans="1:14" x14ac:dyDescent="0.2">
      <c r="A15" s="106" t="s">
        <v>45</v>
      </c>
      <c r="B15" s="145">
        <v>1</v>
      </c>
      <c r="C15" s="27">
        <f>C24</f>
        <v>-0.1</v>
      </c>
      <c r="D15" s="28">
        <f t="shared" ref="D15:I16" si="2">$C15*$B15</f>
        <v>-0.1</v>
      </c>
      <c r="E15" s="29">
        <f t="shared" si="2"/>
        <v>-0.1</v>
      </c>
      <c r="F15" s="28">
        <f t="shared" si="2"/>
        <v>-0.1</v>
      </c>
      <c r="G15" s="29">
        <f t="shared" si="2"/>
        <v>-0.1</v>
      </c>
      <c r="H15" s="28">
        <f t="shared" si="2"/>
        <v>-0.1</v>
      </c>
      <c r="I15" s="29">
        <f t="shared" si="2"/>
        <v>-0.1</v>
      </c>
    </row>
    <row r="16" spans="1:14" x14ac:dyDescent="0.2">
      <c r="A16" s="106" t="s">
        <v>46</v>
      </c>
      <c r="B16" s="145">
        <v>1</v>
      </c>
      <c r="C16" s="27">
        <f>$C$18</f>
        <v>-0.35</v>
      </c>
      <c r="D16" s="28">
        <f t="shared" si="2"/>
        <v>-0.35</v>
      </c>
      <c r="E16" s="29">
        <f t="shared" si="2"/>
        <v>-0.35</v>
      </c>
      <c r="F16" s="28">
        <f t="shared" si="2"/>
        <v>-0.35</v>
      </c>
      <c r="G16" s="29">
        <f t="shared" si="2"/>
        <v>-0.35</v>
      </c>
      <c r="H16" s="28">
        <f t="shared" si="2"/>
        <v>-0.35</v>
      </c>
      <c r="I16" s="29">
        <f t="shared" si="2"/>
        <v>-0.35</v>
      </c>
      <c r="L16" s="91"/>
      <c r="M16" s="91"/>
      <c r="N16" s="91"/>
    </row>
    <row r="17" spans="1:9" x14ac:dyDescent="0.2">
      <c r="A17" s="30" t="s">
        <v>47</v>
      </c>
      <c r="B17" s="145">
        <v>1</v>
      </c>
      <c r="C17" s="31" t="s">
        <v>48</v>
      </c>
      <c r="D17" s="81">
        <v>-20.399999999999999</v>
      </c>
      <c r="E17" s="32">
        <f>D17*$B17</f>
        <v>-20.399999999999999</v>
      </c>
      <c r="F17" s="81">
        <v>-17.100000000000001</v>
      </c>
      <c r="G17" s="32">
        <f>F17*$B17</f>
        <v>-17.100000000000001</v>
      </c>
      <c r="H17" s="81">
        <v>-13.7</v>
      </c>
      <c r="I17" s="32">
        <f>H17*$B17</f>
        <v>-13.7</v>
      </c>
    </row>
    <row r="18" spans="1:9" ht="13.5" thickBot="1" x14ac:dyDescent="0.25">
      <c r="A18" s="30" t="s">
        <v>49</v>
      </c>
      <c r="B18" s="176">
        <v>1</v>
      </c>
      <c r="C18" s="31">
        <v>-0.35</v>
      </c>
      <c r="D18" s="82">
        <f t="shared" ref="D18:I18" si="3">$C18*$B18</f>
        <v>-0.35</v>
      </c>
      <c r="E18" s="32">
        <f t="shared" si="3"/>
        <v>-0.35</v>
      </c>
      <c r="F18" s="82">
        <f t="shared" si="3"/>
        <v>-0.35</v>
      </c>
      <c r="G18" s="32">
        <f t="shared" si="3"/>
        <v>-0.35</v>
      </c>
      <c r="H18" s="82">
        <f t="shared" si="3"/>
        <v>-0.35</v>
      </c>
      <c r="I18" s="32">
        <f t="shared" si="3"/>
        <v>-0.35</v>
      </c>
    </row>
    <row r="19" spans="1:9" x14ac:dyDescent="0.2">
      <c r="A19" s="33" t="s">
        <v>50</v>
      </c>
      <c r="B19" s="177"/>
      <c r="C19" s="34"/>
      <c r="D19" s="35"/>
      <c r="E19" s="36"/>
      <c r="F19" s="37"/>
      <c r="G19" s="38"/>
      <c r="H19" s="37"/>
      <c r="I19" s="38"/>
    </row>
    <row r="20" spans="1:9" ht="13.5" customHeight="1" x14ac:dyDescent="0.2">
      <c r="A20" s="39" t="s">
        <v>51</v>
      </c>
      <c r="B20" s="178">
        <v>4</v>
      </c>
      <c r="C20" s="40">
        <f>C10</f>
        <v>-7.4999999999999997E-2</v>
      </c>
      <c r="D20" s="41">
        <f t="shared" ref="D20:I20" si="4">$C20*$B20</f>
        <v>-0.3</v>
      </c>
      <c r="E20" s="42">
        <f t="shared" si="4"/>
        <v>-0.3</v>
      </c>
      <c r="F20" s="41">
        <f t="shared" si="4"/>
        <v>-0.3</v>
      </c>
      <c r="G20" s="42">
        <f t="shared" si="4"/>
        <v>-0.3</v>
      </c>
      <c r="H20" s="41">
        <f t="shared" si="4"/>
        <v>-0.3</v>
      </c>
      <c r="I20" s="42">
        <f t="shared" si="4"/>
        <v>-0.3</v>
      </c>
    </row>
    <row r="21" spans="1:9" x14ac:dyDescent="0.2">
      <c r="A21" s="102" t="s">
        <v>52</v>
      </c>
      <c r="B21" s="179">
        <v>2</v>
      </c>
      <c r="C21" s="43" t="s">
        <v>53</v>
      </c>
      <c r="D21" s="44">
        <f>$B$44*$B21</f>
        <v>-0.4</v>
      </c>
      <c r="E21" s="45">
        <f>$C$44*$B21</f>
        <v>-0.6</v>
      </c>
      <c r="F21" s="44">
        <f>$B$44*$B21</f>
        <v>-0.4</v>
      </c>
      <c r="G21" s="45">
        <f>$C$44*$B21</f>
        <v>-0.6</v>
      </c>
      <c r="H21" s="44">
        <f>$B$44*$B21</f>
        <v>-0.4</v>
      </c>
      <c r="I21" s="45">
        <f>$C$44*$B21</f>
        <v>-0.6</v>
      </c>
    </row>
    <row r="22" spans="1:9" x14ac:dyDescent="0.2">
      <c r="A22" s="102" t="s">
        <v>54</v>
      </c>
      <c r="B22" s="180">
        <f>'XGSPON Planning Tool'!$B$4</f>
        <v>1</v>
      </c>
      <c r="C22" s="43">
        <v>-0.35</v>
      </c>
      <c r="D22" s="44">
        <f t="shared" ref="D22:I23" si="5">$C22*$B22</f>
        <v>-0.35</v>
      </c>
      <c r="E22" s="45">
        <f t="shared" si="5"/>
        <v>-0.35</v>
      </c>
      <c r="F22" s="44">
        <f t="shared" si="5"/>
        <v>-0.35</v>
      </c>
      <c r="G22" s="45">
        <f t="shared" si="5"/>
        <v>-0.35</v>
      </c>
      <c r="H22" s="44">
        <f t="shared" si="5"/>
        <v>-0.35</v>
      </c>
      <c r="I22" s="45">
        <f t="shared" si="5"/>
        <v>-0.35</v>
      </c>
    </row>
    <row r="23" spans="1:9" ht="14.25" customHeight="1" x14ac:dyDescent="0.2">
      <c r="A23" s="118" t="s">
        <v>55</v>
      </c>
      <c r="B23" s="179">
        <v>1</v>
      </c>
      <c r="C23" s="93">
        <v>-0.35</v>
      </c>
      <c r="D23" s="92">
        <f>B23*C23</f>
        <v>-0.35</v>
      </c>
      <c r="E23" s="45">
        <f>$B23*$C23</f>
        <v>-0.35</v>
      </c>
      <c r="F23" s="44">
        <f>$B23*$C23</f>
        <v>-0.35</v>
      </c>
      <c r="G23" s="45">
        <f t="shared" si="5"/>
        <v>-0.35</v>
      </c>
      <c r="H23" s="44">
        <f>$B23*$C23</f>
        <v>-0.35</v>
      </c>
      <c r="I23" s="45">
        <f t="shared" si="5"/>
        <v>-0.35</v>
      </c>
    </row>
    <row r="24" spans="1:9" ht="12.75" customHeight="1" x14ac:dyDescent="0.2">
      <c r="A24" s="102" t="s">
        <v>56</v>
      </c>
      <c r="B24" s="179">
        <f>2-B22</f>
        <v>1</v>
      </c>
      <c r="C24" s="43">
        <v>-0.1</v>
      </c>
      <c r="D24" s="44">
        <f t="shared" ref="D24:I24" si="6">$C24*$B24</f>
        <v>-0.1</v>
      </c>
      <c r="E24" s="45">
        <f t="shared" si="6"/>
        <v>-0.1</v>
      </c>
      <c r="F24" s="44">
        <f t="shared" si="6"/>
        <v>-0.1</v>
      </c>
      <c r="G24" s="45">
        <f t="shared" si="6"/>
        <v>-0.1</v>
      </c>
      <c r="H24" s="44">
        <f t="shared" si="6"/>
        <v>-0.1</v>
      </c>
      <c r="I24" s="45">
        <f t="shared" si="6"/>
        <v>-0.1</v>
      </c>
    </row>
    <row r="25" spans="1:9" ht="13.5" customHeight="1" x14ac:dyDescent="0.2">
      <c r="A25" s="117" t="s">
        <v>57</v>
      </c>
      <c r="B25" s="179">
        <v>0.5</v>
      </c>
      <c r="C25" s="46" t="s">
        <v>58</v>
      </c>
      <c r="D25" s="44">
        <f>$B25*$B$43</f>
        <v>-6.5548780487804881E-2</v>
      </c>
      <c r="E25" s="45">
        <f>$B25*$C$43</f>
        <v>-4.573170731707317E-2</v>
      </c>
      <c r="F25" s="44">
        <f>$B25*$B$43</f>
        <v>-6.5548780487804881E-2</v>
      </c>
      <c r="G25" s="45">
        <f>$B25*$C$43</f>
        <v>-4.573170731707317E-2</v>
      </c>
      <c r="H25" s="44">
        <f>$B25*$B$43</f>
        <v>-6.5548780487804881E-2</v>
      </c>
      <c r="I25" s="45">
        <f>$B25*$C$43</f>
        <v>-4.573170731707317E-2</v>
      </c>
    </row>
    <row r="26" spans="1:9" x14ac:dyDescent="0.2">
      <c r="A26" s="120" t="s">
        <v>59</v>
      </c>
      <c r="B26" s="181">
        <v>1</v>
      </c>
      <c r="C26" s="93">
        <v>-0.35</v>
      </c>
      <c r="D26" s="92">
        <f>B26*C26</f>
        <v>-0.35</v>
      </c>
      <c r="E26" s="45">
        <f t="shared" ref="E26:E27" si="7">$B26*$C$43</f>
        <v>-9.1463414634146339E-2</v>
      </c>
      <c r="F26" s="44">
        <f>$B26*$C26</f>
        <v>-0.35</v>
      </c>
      <c r="G26" s="45">
        <f>$B26*$C26</f>
        <v>-0.35</v>
      </c>
      <c r="H26" s="44">
        <f>$B26*$C26</f>
        <v>-0.35</v>
      </c>
      <c r="I26" s="45">
        <f>$B26*$C26</f>
        <v>-0.35</v>
      </c>
    </row>
    <row r="27" spans="1:9" x14ac:dyDescent="0.2">
      <c r="A27" s="118" t="s">
        <v>60</v>
      </c>
      <c r="B27" s="181">
        <v>1</v>
      </c>
      <c r="C27" s="93">
        <v>-0.35</v>
      </c>
      <c r="D27" s="92">
        <f>B27*C27</f>
        <v>-0.35</v>
      </c>
      <c r="E27" s="45">
        <f t="shared" si="7"/>
        <v>-9.1463414634146339E-2</v>
      </c>
      <c r="F27" s="44">
        <f t="shared" ref="F27:I28" si="8">$B27*$C27</f>
        <v>-0.35</v>
      </c>
      <c r="G27" s="45">
        <f t="shared" si="8"/>
        <v>-0.35</v>
      </c>
      <c r="H27" s="44">
        <f t="shared" si="8"/>
        <v>-0.35</v>
      </c>
      <c r="I27" s="45">
        <f t="shared" si="8"/>
        <v>-0.35</v>
      </c>
    </row>
    <row r="28" spans="1:9" x14ac:dyDescent="0.2">
      <c r="A28" s="102" t="s">
        <v>61</v>
      </c>
      <c r="B28" s="179">
        <v>0</v>
      </c>
      <c r="C28" s="93">
        <v>0</v>
      </c>
      <c r="D28" s="92">
        <f>C28</f>
        <v>0</v>
      </c>
      <c r="E28" s="92">
        <f t="shared" ref="E28" si="9">D28</f>
        <v>0</v>
      </c>
      <c r="F28" s="44">
        <f t="shared" si="8"/>
        <v>0</v>
      </c>
      <c r="G28" s="45">
        <f t="shared" si="8"/>
        <v>0</v>
      </c>
      <c r="H28" s="44">
        <f t="shared" si="8"/>
        <v>0</v>
      </c>
      <c r="I28" s="45">
        <f t="shared" si="8"/>
        <v>0</v>
      </c>
    </row>
    <row r="29" spans="1:9" ht="13.5" thickBot="1" x14ac:dyDescent="0.25">
      <c r="A29" s="102" t="s">
        <v>62</v>
      </c>
      <c r="B29" s="179">
        <v>0</v>
      </c>
      <c r="C29" s="43">
        <v>0</v>
      </c>
      <c r="D29" s="44">
        <v>0</v>
      </c>
      <c r="E29" s="45">
        <v>0</v>
      </c>
      <c r="F29" s="44">
        <v>0</v>
      </c>
      <c r="G29" s="45">
        <v>0</v>
      </c>
      <c r="H29" s="44">
        <v>0</v>
      </c>
      <c r="I29" s="45">
        <v>0</v>
      </c>
    </row>
    <row r="30" spans="1:9" ht="13.5" thickBot="1" x14ac:dyDescent="0.25">
      <c r="A30" s="47" t="s">
        <v>63</v>
      </c>
      <c r="B30" s="48"/>
      <c r="C30" s="49"/>
      <c r="D30" s="50">
        <f t="shared" ref="D30:I30" si="10">SUM(D5:D29)</f>
        <v>-26.840548780487811</v>
      </c>
      <c r="E30" s="51">
        <f t="shared" si="10"/>
        <v>-26.50365853658537</v>
      </c>
      <c r="F30" s="52">
        <f t="shared" si="10"/>
        <v>-23.540548780487814</v>
      </c>
      <c r="G30" s="53">
        <f t="shared" si="10"/>
        <v>-23.720731707317086</v>
      </c>
      <c r="H30" s="52">
        <f t="shared" si="10"/>
        <v>-20.140548780487812</v>
      </c>
      <c r="I30" s="53">
        <f t="shared" si="10"/>
        <v>-20.320731707317083</v>
      </c>
    </row>
    <row r="31" spans="1:9" x14ac:dyDescent="0.2">
      <c r="A31" s="182" t="s">
        <v>64</v>
      </c>
      <c r="B31" s="55" t="s">
        <v>65</v>
      </c>
      <c r="C31" s="119">
        <f>MIN(4,'XGSPON Planning Tool'!B3)</f>
        <v>4</v>
      </c>
      <c r="D31" s="207">
        <f>ROUND(MIN(-(D$4+D$30+9*HLOOKUP(D$3,$B$41:$C$43,3))/(HLOOKUP(D$3,$B$41:$C$43,3)+$C$33/$C$31),-(E$4+E$30+9*HLOOKUP(E$3,$B$41:$C$43,3))/(HLOOKUP(E$3,$B$41:$C$43,3)+$C$33/$C$31)),0)</f>
        <v>20</v>
      </c>
      <c r="E31" s="208"/>
      <c r="F31" s="207">
        <f>ROUND(MIN(-(F$4+F$30+9*HLOOKUP(F$3,$B$41:$C$43,3))/(HLOOKUP(F$3,$B$41:$C$43,3)+$C$33/$C$31),-(G$4+G$30+9*HLOOKUP(G$3,$B$41:$C$43,3))/(HLOOKUP(G$3,$B$41:$C$43,3)+$C$33/$C$31)),0)</f>
        <v>42</v>
      </c>
      <c r="G31" s="208"/>
      <c r="H31" s="207">
        <f>ROUND(MIN(-(H$4+H$30+9*HLOOKUP(H$3,$B$41:$C$43,3))/(HLOOKUP(H$3,$B$41:$C$43,3)+$C$33/$C$31),-(I$4+I$30+9*HLOOKUP(I$3,$B$41:$C$43,3))/(HLOOKUP(I$3,$B$41:$C$43,3)+$C$33/$C$31)),0)</f>
        <v>65</v>
      </c>
      <c r="I31" s="208"/>
    </row>
    <row r="32" spans="1:9" x14ac:dyDescent="0.2">
      <c r="A32" s="56" t="s">
        <v>66</v>
      </c>
      <c r="B32" s="57"/>
      <c r="C32" s="85" t="s">
        <v>58</v>
      </c>
      <c r="D32" s="58">
        <f>D31*$B$43</f>
        <v>-2.6219512195121952</v>
      </c>
      <c r="E32" s="59">
        <f>D31*$C$43</f>
        <v>-1.8292682926829267</v>
      </c>
      <c r="F32" s="58">
        <f>F31*$B$43</f>
        <v>-5.5060975609756095</v>
      </c>
      <c r="G32" s="59">
        <f>F31*$C$43</f>
        <v>-3.8414634146341462</v>
      </c>
      <c r="H32" s="58">
        <f>H31*$B$43</f>
        <v>-8.5213414634146343</v>
      </c>
      <c r="I32" s="59">
        <f>H31*$C$43</f>
        <v>-5.9451219512195124</v>
      </c>
    </row>
    <row r="33" spans="1:9" ht="13.5" thickBot="1" x14ac:dyDescent="0.25">
      <c r="A33" s="60" t="s">
        <v>51</v>
      </c>
      <c r="B33" s="61" t="s">
        <v>67</v>
      </c>
      <c r="C33" s="62">
        <f>C10</f>
        <v>-7.4999999999999997E-2</v>
      </c>
      <c r="D33" s="63">
        <f>D31*$C33/$C$31</f>
        <v>-0.375</v>
      </c>
      <c r="E33" s="64">
        <f>D31*$C33/$C$31</f>
        <v>-0.375</v>
      </c>
      <c r="F33" s="63">
        <f>F31*$C33/$C$31</f>
        <v>-0.78749999999999998</v>
      </c>
      <c r="G33" s="64">
        <f>F31*$C33/$C$31</f>
        <v>-0.78749999999999998</v>
      </c>
      <c r="H33" s="63">
        <f>H31*$C33/$C$31</f>
        <v>-1.21875</v>
      </c>
      <c r="I33" s="64">
        <f>H31*$C33/$C$31</f>
        <v>-1.21875</v>
      </c>
    </row>
    <row r="34" spans="1:9" ht="13.5" thickBot="1" x14ac:dyDescent="0.25">
      <c r="A34" s="65" t="s">
        <v>68</v>
      </c>
      <c r="B34" s="66"/>
      <c r="C34" s="67"/>
      <c r="D34" s="68">
        <f t="shared" ref="D34:I34" si="11">D32+D33</f>
        <v>-2.9969512195121952</v>
      </c>
      <c r="E34" s="69">
        <f t="shared" si="11"/>
        <v>-2.2042682926829267</v>
      </c>
      <c r="F34" s="68">
        <f t="shared" si="11"/>
        <v>-6.2935975609756092</v>
      </c>
      <c r="G34" s="69">
        <f t="shared" si="11"/>
        <v>-4.6289634146341463</v>
      </c>
      <c r="H34" s="68">
        <f t="shared" si="11"/>
        <v>-9.7400914634146343</v>
      </c>
      <c r="I34" s="69">
        <f t="shared" si="11"/>
        <v>-7.1638719512195124</v>
      </c>
    </row>
    <row r="35" spans="1:9" x14ac:dyDescent="0.2">
      <c r="A35" s="54" t="s">
        <v>69</v>
      </c>
      <c r="B35" s="70"/>
      <c r="C35" s="71"/>
      <c r="D35" s="72">
        <f>D$4+D30+D34</f>
        <v>1.1624999999999934</v>
      </c>
      <c r="E35" s="72">
        <f t="shared" ref="E35:G35" si="12">E$4+E30+E34</f>
        <v>2.2920731707317037</v>
      </c>
      <c r="F35" s="72">
        <f t="shared" si="12"/>
        <v>1.1658536585365766</v>
      </c>
      <c r="G35" s="72">
        <f t="shared" si="12"/>
        <v>2.6503048780487681</v>
      </c>
      <c r="H35" s="72">
        <f t="shared" ref="H35:I35" si="13">H$4+H30+H34</f>
        <v>1.1193597560975537</v>
      </c>
      <c r="I35" s="72">
        <f t="shared" si="13"/>
        <v>3.5153963414634042</v>
      </c>
    </row>
    <row r="36" spans="1:9" ht="13.5" thickBot="1" x14ac:dyDescent="0.25">
      <c r="A36" s="60" t="s">
        <v>70</v>
      </c>
      <c r="B36" s="183"/>
      <c r="C36" s="114"/>
      <c r="D36" s="108">
        <f>-D35/$B$43</f>
        <v>8.8674418604650658</v>
      </c>
      <c r="E36" s="113">
        <f>-E35/$C$43</f>
        <v>25.05999999999996</v>
      </c>
      <c r="F36" s="98">
        <f>-F35/$B$43</f>
        <v>8.8930232558138869</v>
      </c>
      <c r="G36" s="113">
        <f>-G35/$C$43</f>
        <v>28.976666666666532</v>
      </c>
      <c r="H36" s="98">
        <f>-H35/$B$43</f>
        <v>8.5383720930232005</v>
      </c>
      <c r="I36" s="113">
        <f>-I35/$C$43</f>
        <v>38.434999999999889</v>
      </c>
    </row>
    <row r="37" spans="1:9" ht="13.5" thickBot="1" x14ac:dyDescent="0.25">
      <c r="A37" s="73" t="s">
        <v>71</v>
      </c>
      <c r="B37" s="74"/>
      <c r="C37" s="75"/>
      <c r="D37" s="199">
        <f>ROUNDDOWN(D31+MIN(D36:E36),1)</f>
        <v>28.8</v>
      </c>
      <c r="E37" s="200"/>
      <c r="F37" s="201">
        <f>ROUNDDOWN(F31+MIN(F36:G36),1)</f>
        <v>50.8</v>
      </c>
      <c r="G37" s="202"/>
      <c r="H37" s="201">
        <f>ROUNDDOWN(H31+MIN(H36:I36),1)</f>
        <v>73.5</v>
      </c>
      <c r="I37" s="202"/>
    </row>
    <row r="38" spans="1:9" ht="13.5" thickBot="1" x14ac:dyDescent="0.25">
      <c r="A38" s="76" t="s">
        <v>72</v>
      </c>
      <c r="B38" s="77"/>
      <c r="C38" s="99">
        <v>96</v>
      </c>
      <c r="D38" s="210">
        <f>MIN(D37,$C38)</f>
        <v>28.8</v>
      </c>
      <c r="E38" s="211"/>
      <c r="F38" s="210">
        <f>MIN(F37,$C38)</f>
        <v>50.8</v>
      </c>
      <c r="G38" s="211"/>
      <c r="H38" s="210">
        <f>MIN(H37,$C38)</f>
        <v>73.5</v>
      </c>
      <c r="I38" s="211"/>
    </row>
    <row r="39" spans="1:9" ht="13.5" thickBot="1" x14ac:dyDescent="0.25">
      <c r="A39" s="76" t="s">
        <v>73</v>
      </c>
      <c r="B39" s="77"/>
      <c r="C39" s="88">
        <v>64</v>
      </c>
      <c r="D39" s="212">
        <f>MIN(D38,$C39)</f>
        <v>28.8</v>
      </c>
      <c r="E39" s="213"/>
      <c r="F39" s="212">
        <f>MIN(F38,$C39)</f>
        <v>50.8</v>
      </c>
      <c r="G39" s="213"/>
      <c r="H39" s="212">
        <f>MIN(H38,$C39)</f>
        <v>64</v>
      </c>
      <c r="I39" s="213"/>
    </row>
    <row r="40" spans="1:9" ht="13.5" thickBot="1" x14ac:dyDescent="0.25"/>
    <row r="41" spans="1:9" ht="13.5" thickBot="1" x14ac:dyDescent="0.25">
      <c r="B41" s="162" t="s">
        <v>32</v>
      </c>
      <c r="C41" s="163" t="s">
        <v>33</v>
      </c>
      <c r="D41" s="154" t="s">
        <v>74</v>
      </c>
      <c r="E41" s="155" t="s">
        <v>75</v>
      </c>
      <c r="F41" s="143"/>
      <c r="H41" s="143"/>
    </row>
    <row r="42" spans="1:9" x14ac:dyDescent="0.2">
      <c r="A42" s="78" t="s">
        <v>76</v>
      </c>
      <c r="B42" s="164">
        <f>0.42/-3.28</f>
        <v>-0.12804878048780488</v>
      </c>
      <c r="C42" s="165">
        <f>0.2/-3.28</f>
        <v>-6.0975609756097567E-2</v>
      </c>
      <c r="D42" s="156">
        <f>0.35/-3.28</f>
        <v>-0.10670731707317073</v>
      </c>
      <c r="E42" s="157">
        <f>0.2/-3.28</f>
        <v>-6.0975609756097567E-2</v>
      </c>
      <c r="F42" s="144"/>
      <c r="H42" s="144"/>
    </row>
    <row r="43" spans="1:9" x14ac:dyDescent="0.2">
      <c r="A43" s="79" t="s">
        <v>77</v>
      </c>
      <c r="B43" s="166">
        <f>0.43/-3.28</f>
        <v>-0.13109756097560976</v>
      </c>
      <c r="C43" s="167">
        <f>0.3/-3.28</f>
        <v>-9.1463414634146339E-2</v>
      </c>
      <c r="D43" s="158">
        <f>0.4/-3.28</f>
        <v>-0.12195121951219513</v>
      </c>
      <c r="E43" s="159">
        <f>0.3/-3.28</f>
        <v>-9.1463414634146339E-2</v>
      </c>
      <c r="F43" s="87"/>
      <c r="H43" s="87"/>
    </row>
    <row r="44" spans="1:9" ht="13.5" thickBot="1" x14ac:dyDescent="0.25">
      <c r="A44" s="80" t="s">
        <v>78</v>
      </c>
      <c r="B44" s="168">
        <v>-0.2</v>
      </c>
      <c r="C44" s="169">
        <v>-0.3</v>
      </c>
      <c r="D44" s="160">
        <v>-0.2</v>
      </c>
      <c r="E44" s="161">
        <v>-0.3</v>
      </c>
    </row>
    <row r="45" spans="1:9" x14ac:dyDescent="0.2">
      <c r="B45" s="209" t="s">
        <v>79</v>
      </c>
      <c r="C45" s="209"/>
      <c r="D45" s="209" t="s">
        <v>80</v>
      </c>
      <c r="E45" s="209"/>
    </row>
    <row r="46" spans="1:9" ht="38.25" x14ac:dyDescent="0.2">
      <c r="A46" s="109" t="s">
        <v>81</v>
      </c>
    </row>
  </sheetData>
  <mergeCells count="18">
    <mergeCell ref="H2:I2"/>
    <mergeCell ref="H31:I31"/>
    <mergeCell ref="H37:I37"/>
    <mergeCell ref="H38:I38"/>
    <mergeCell ref="H39:I39"/>
    <mergeCell ref="D45:E45"/>
    <mergeCell ref="B45:C45"/>
    <mergeCell ref="D38:E38"/>
    <mergeCell ref="F38:G38"/>
    <mergeCell ref="D39:E39"/>
    <mergeCell ref="F39:G39"/>
    <mergeCell ref="D37:E37"/>
    <mergeCell ref="F37:G37"/>
    <mergeCell ref="B1:G1"/>
    <mergeCell ref="D2:E2"/>
    <mergeCell ref="F2:G2"/>
    <mergeCell ref="D31:E31"/>
    <mergeCell ref="F31:G31"/>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
  <sheetViews>
    <sheetView zoomScale="80" zoomScaleNormal="80" workbookViewId="0">
      <selection activeCell="T43" sqref="T43"/>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21" ht="18" x14ac:dyDescent="0.25">
      <c r="A1" s="107"/>
    </row>
    <row r="2" spans="1:21" x14ac:dyDescent="0.2">
      <c r="Q2" s="214" t="s">
        <v>82</v>
      </c>
      <c r="R2" s="214"/>
    </row>
    <row r="7" spans="1:21" x14ac:dyDescent="0.2">
      <c r="S7" s="101" t="s">
        <v>83</v>
      </c>
      <c r="T7" s="110" t="s">
        <v>84</v>
      </c>
      <c r="U7" s="101" t="s">
        <v>85</v>
      </c>
    </row>
    <row r="8" spans="1:21" x14ac:dyDescent="0.2">
      <c r="S8" s="101" t="s">
        <v>86</v>
      </c>
      <c r="T8" s="110" t="s">
        <v>87</v>
      </c>
      <c r="U8" s="101" t="s">
        <v>88</v>
      </c>
    </row>
    <row r="9" spans="1:21" x14ac:dyDescent="0.2">
      <c r="P9" s="101" t="s">
        <v>89</v>
      </c>
      <c r="S9" s="101" t="s">
        <v>90</v>
      </c>
      <c r="T9" s="110" t="s">
        <v>91</v>
      </c>
      <c r="U9" s="101" t="s">
        <v>92</v>
      </c>
    </row>
    <row r="10" spans="1:21" x14ac:dyDescent="0.2">
      <c r="S10" s="101" t="s">
        <v>93</v>
      </c>
      <c r="T10" s="110" t="s">
        <v>94</v>
      </c>
      <c r="U10" s="101" t="s">
        <v>95</v>
      </c>
    </row>
    <row r="11" spans="1:21" x14ac:dyDescent="0.2">
      <c r="S11" s="101" t="s">
        <v>96</v>
      </c>
      <c r="T11" s="110" t="s">
        <v>97</v>
      </c>
      <c r="U11" s="101" t="s">
        <v>98</v>
      </c>
    </row>
    <row r="12" spans="1:21" x14ac:dyDescent="0.2">
      <c r="S12" s="101" t="s">
        <v>99</v>
      </c>
      <c r="T12" s="110" t="s">
        <v>100</v>
      </c>
      <c r="U12" s="101" t="s">
        <v>101</v>
      </c>
    </row>
    <row r="13" spans="1:21" ht="25.5" x14ac:dyDescent="0.2">
      <c r="S13" s="101" t="s">
        <v>102</v>
      </c>
      <c r="T13" s="110" t="s">
        <v>103</v>
      </c>
    </row>
    <row r="14" spans="1:21" x14ac:dyDescent="0.2">
      <c r="S14" s="101" t="s">
        <v>104</v>
      </c>
      <c r="T14" s="110" t="s">
        <v>105</v>
      </c>
      <c r="U14" s="101" t="s">
        <v>106</v>
      </c>
    </row>
    <row r="15" spans="1:21" x14ac:dyDescent="0.2">
      <c r="S15" s="101" t="s">
        <v>107</v>
      </c>
      <c r="T15" s="110" t="s">
        <v>108</v>
      </c>
      <c r="U15" s="101" t="s">
        <v>88</v>
      </c>
    </row>
    <row r="16" spans="1:21" x14ac:dyDescent="0.2">
      <c r="S16" s="101" t="s">
        <v>109</v>
      </c>
      <c r="T16" s="110" t="s">
        <v>110</v>
      </c>
      <c r="U16" s="101" t="s">
        <v>106</v>
      </c>
    </row>
    <row r="17" spans="15:21" x14ac:dyDescent="0.2">
      <c r="S17" s="101" t="s">
        <v>111</v>
      </c>
      <c r="T17" s="110" t="s">
        <v>112</v>
      </c>
      <c r="U17" s="94" t="s">
        <v>113</v>
      </c>
    </row>
    <row r="18" spans="15:21" x14ac:dyDescent="0.2">
      <c r="P18" s="215" t="s">
        <v>114</v>
      </c>
      <c r="Q18" s="215"/>
      <c r="S18" s="101" t="s">
        <v>115</v>
      </c>
      <c r="T18" s="110" t="s">
        <v>116</v>
      </c>
      <c r="U18" s="101" t="s">
        <v>88</v>
      </c>
    </row>
    <row r="19" spans="15:21" x14ac:dyDescent="0.2">
      <c r="S19" s="101" t="s">
        <v>117</v>
      </c>
      <c r="T19" s="110" t="s">
        <v>118</v>
      </c>
      <c r="U19" s="101" t="s">
        <v>51</v>
      </c>
    </row>
    <row r="20" spans="15:21" x14ac:dyDescent="0.2">
      <c r="S20" s="101" t="s">
        <v>119</v>
      </c>
      <c r="T20" s="110" t="s">
        <v>120</v>
      </c>
      <c r="U20" s="101" t="s">
        <v>121</v>
      </c>
    </row>
    <row r="21" spans="15:21" x14ac:dyDescent="0.2">
      <c r="S21" s="101" t="s">
        <v>122</v>
      </c>
      <c r="T21" s="110" t="s">
        <v>123</v>
      </c>
      <c r="U21" s="101" t="s">
        <v>124</v>
      </c>
    </row>
    <row r="22" spans="15:21" ht="25.5" x14ac:dyDescent="0.2">
      <c r="Q22" s="94" t="s">
        <v>125</v>
      </c>
      <c r="S22" s="101" t="s">
        <v>126</v>
      </c>
      <c r="T22" s="109" t="s">
        <v>127</v>
      </c>
      <c r="U22" s="101" t="s">
        <v>128</v>
      </c>
    </row>
    <row r="23" spans="15:21" x14ac:dyDescent="0.2">
      <c r="S23" s="101" t="s">
        <v>129</v>
      </c>
      <c r="T23" s="110" t="s">
        <v>130</v>
      </c>
      <c r="U23" s="101" t="s">
        <v>131</v>
      </c>
    </row>
    <row r="24" spans="15:21" x14ac:dyDescent="0.2">
      <c r="O24" s="115" t="s">
        <v>132</v>
      </c>
      <c r="P24" s="115"/>
      <c r="S24" s="101" t="s">
        <v>133</v>
      </c>
      <c r="T24" s="110" t="s">
        <v>134</v>
      </c>
      <c r="U24" s="101" t="s">
        <v>135</v>
      </c>
    </row>
    <row r="25" spans="15:21" ht="12.75" customHeight="1" x14ac:dyDescent="0.2">
      <c r="R25" s="95"/>
      <c r="S25" s="101" t="s">
        <v>136</v>
      </c>
      <c r="T25" s="110" t="s">
        <v>137</v>
      </c>
      <c r="U25" s="101" t="s">
        <v>138</v>
      </c>
    </row>
    <row r="26" spans="15:21" ht="25.5" x14ac:dyDescent="0.2">
      <c r="S26" s="101" t="s">
        <v>139</v>
      </c>
      <c r="T26" s="110" t="s">
        <v>140</v>
      </c>
      <c r="U26" s="101" t="s">
        <v>141</v>
      </c>
    </row>
    <row r="27" spans="15:21" x14ac:dyDescent="0.2">
      <c r="S27" s="101" t="s">
        <v>142</v>
      </c>
      <c r="T27" s="110" t="s">
        <v>143</v>
      </c>
      <c r="U27" s="101" t="s">
        <v>144</v>
      </c>
    </row>
    <row r="28" spans="15:21" x14ac:dyDescent="0.2">
      <c r="S28" s="96" t="s">
        <v>145</v>
      </c>
      <c r="T28" s="110" t="s">
        <v>146</v>
      </c>
    </row>
    <row r="29" spans="15:21" x14ac:dyDescent="0.2">
      <c r="S29" s="96" t="s">
        <v>147</v>
      </c>
      <c r="T29" s="111" t="s">
        <v>148</v>
      </c>
      <c r="U29" s="96" t="s">
        <v>149</v>
      </c>
    </row>
    <row r="30" spans="15:21" ht="25.5" x14ac:dyDescent="0.2">
      <c r="S30" s="96" t="s">
        <v>150</v>
      </c>
      <c r="T30" s="111" t="s">
        <v>151</v>
      </c>
      <c r="U30" s="96" t="s">
        <v>152</v>
      </c>
    </row>
    <row r="31" spans="15:21" x14ac:dyDescent="0.2">
      <c r="S31" s="96" t="s">
        <v>153</v>
      </c>
      <c r="T31" s="111" t="s">
        <v>154</v>
      </c>
      <c r="U31" s="96" t="s">
        <v>155</v>
      </c>
    </row>
    <row r="32" spans="15:21" x14ac:dyDescent="0.2">
      <c r="O32" s="94" t="s">
        <v>156</v>
      </c>
      <c r="S32" s="96" t="s">
        <v>157</v>
      </c>
      <c r="T32" s="111" t="s">
        <v>158</v>
      </c>
      <c r="U32" s="96" t="s">
        <v>159</v>
      </c>
    </row>
    <row r="33" spans="1:21" x14ac:dyDescent="0.2">
      <c r="S33" s="101" t="s">
        <v>160</v>
      </c>
      <c r="T33" s="109" t="s">
        <v>161</v>
      </c>
      <c r="U33" t="s">
        <v>162</v>
      </c>
    </row>
    <row r="34" spans="1:21" ht="25.5" x14ac:dyDescent="0.2">
      <c r="S34" s="101" t="s">
        <v>163</v>
      </c>
      <c r="T34" s="110" t="s">
        <v>164</v>
      </c>
      <c r="U34" t="s">
        <v>216</v>
      </c>
    </row>
    <row r="35" spans="1:21" x14ac:dyDescent="0.2">
      <c r="S35" s="96" t="s">
        <v>166</v>
      </c>
      <c r="T35" s="109" t="s">
        <v>167</v>
      </c>
    </row>
    <row r="36" spans="1:21" x14ac:dyDescent="0.2">
      <c r="S36" s="96" t="s">
        <v>168</v>
      </c>
      <c r="T36" s="109" t="s">
        <v>167</v>
      </c>
    </row>
    <row r="37" spans="1:21" x14ac:dyDescent="0.2">
      <c r="O37" s="96"/>
      <c r="Q37" s="97"/>
      <c r="R37" s="97"/>
      <c r="S37" s="97"/>
      <c r="T37" s="112"/>
    </row>
    <row r="47" spans="1:21" x14ac:dyDescent="0.2">
      <c r="A47" s="101" t="s">
        <v>169</v>
      </c>
    </row>
  </sheetData>
  <mergeCells count="2">
    <mergeCell ref="Q2:R2"/>
    <mergeCell ref="P18:Q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9FD2-D6FC-43A7-8E49-2CB078294547}">
  <dimension ref="A1:U65"/>
  <sheetViews>
    <sheetView zoomScale="80" zoomScaleNormal="80" workbookViewId="0">
      <selection activeCell="D55" sqref="D55"/>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18" ht="24" customHeight="1" x14ac:dyDescent="0.25">
      <c r="F1" s="150" t="s">
        <v>170</v>
      </c>
    </row>
    <row r="2" spans="1:18" ht="18" x14ac:dyDescent="0.25">
      <c r="A2" s="107"/>
    </row>
    <row r="3" spans="1:18" x14ac:dyDescent="0.2">
      <c r="Q3" s="214"/>
      <c r="R3" s="214"/>
    </row>
    <row r="10" spans="1:18"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1" x14ac:dyDescent="0.2">
      <c r="O33" s="94"/>
    </row>
    <row r="34" spans="15:21" x14ac:dyDescent="0.2">
      <c r="S34" s="101" t="s">
        <v>83</v>
      </c>
      <c r="T34" s="110" t="s">
        <v>84</v>
      </c>
      <c r="U34" s="101" t="s">
        <v>85</v>
      </c>
    </row>
    <row r="35" spans="15:21" x14ac:dyDescent="0.2">
      <c r="S35" s="101" t="s">
        <v>86</v>
      </c>
      <c r="T35" s="110" t="s">
        <v>87</v>
      </c>
      <c r="U35" s="101" t="s">
        <v>88</v>
      </c>
    </row>
    <row r="36" spans="15:21" x14ac:dyDescent="0.2">
      <c r="S36" s="101" t="s">
        <v>90</v>
      </c>
      <c r="T36" s="110" t="s">
        <v>91</v>
      </c>
      <c r="U36" s="101" t="s">
        <v>92</v>
      </c>
    </row>
    <row r="37" spans="15:21" x14ac:dyDescent="0.2">
      <c r="S37" s="101" t="s">
        <v>93</v>
      </c>
      <c r="T37" s="110" t="s">
        <v>94</v>
      </c>
      <c r="U37" s="101" t="s">
        <v>95</v>
      </c>
    </row>
    <row r="38" spans="15:21" x14ac:dyDescent="0.2">
      <c r="O38" s="96"/>
      <c r="Q38" s="97"/>
      <c r="R38" s="97"/>
      <c r="S38" s="101" t="s">
        <v>96</v>
      </c>
      <c r="T38" s="110" t="s">
        <v>97</v>
      </c>
      <c r="U38" s="101" t="s">
        <v>98</v>
      </c>
    </row>
    <row r="39" spans="15:21" x14ac:dyDescent="0.2">
      <c r="S39" s="101" t="s">
        <v>99</v>
      </c>
      <c r="T39" s="110" t="s">
        <v>100</v>
      </c>
      <c r="U39" s="101" t="s">
        <v>98</v>
      </c>
    </row>
    <row r="40" spans="15:21" x14ac:dyDescent="0.2">
      <c r="S40" s="101" t="s">
        <v>102</v>
      </c>
      <c r="T40" s="151" t="s">
        <v>171</v>
      </c>
    </row>
    <row r="41" spans="15:21" x14ac:dyDescent="0.2">
      <c r="S41" s="101" t="s">
        <v>104</v>
      </c>
      <c r="T41" s="110" t="s">
        <v>105</v>
      </c>
      <c r="U41" s="101" t="s">
        <v>106</v>
      </c>
    </row>
    <row r="42" spans="15:21" x14ac:dyDescent="0.2">
      <c r="S42" s="152" t="s">
        <v>172</v>
      </c>
      <c r="T42" s="151" t="s">
        <v>108</v>
      </c>
      <c r="U42" s="101"/>
    </row>
    <row r="43" spans="15:21" x14ac:dyDescent="0.2">
      <c r="S43" s="152" t="s">
        <v>173</v>
      </c>
      <c r="T43" s="151" t="s">
        <v>174</v>
      </c>
      <c r="U43" s="101"/>
    </row>
    <row r="44" spans="15:21" x14ac:dyDescent="0.2">
      <c r="S44" s="152" t="s">
        <v>175</v>
      </c>
      <c r="T44" s="151" t="s">
        <v>108</v>
      </c>
      <c r="U44" s="101" t="s">
        <v>88</v>
      </c>
    </row>
    <row r="45" spans="15:21" x14ac:dyDescent="0.2">
      <c r="S45" s="101" t="s">
        <v>109</v>
      </c>
      <c r="T45" s="110" t="s">
        <v>110</v>
      </c>
      <c r="U45" s="101" t="s">
        <v>106</v>
      </c>
    </row>
    <row r="46" spans="15:21" x14ac:dyDescent="0.2">
      <c r="S46" s="101" t="s">
        <v>111</v>
      </c>
      <c r="T46" s="110" t="s">
        <v>112</v>
      </c>
      <c r="U46" s="94" t="s">
        <v>113</v>
      </c>
    </row>
    <row r="47" spans="15:21" x14ac:dyDescent="0.2">
      <c r="S47" s="101" t="s">
        <v>115</v>
      </c>
      <c r="T47" s="110" t="s">
        <v>116</v>
      </c>
      <c r="U47" s="101" t="s">
        <v>88</v>
      </c>
    </row>
    <row r="48" spans="15:21" x14ac:dyDescent="0.2">
      <c r="S48" s="101" t="s">
        <v>117</v>
      </c>
      <c r="T48" s="110" t="s">
        <v>118</v>
      </c>
      <c r="U48" s="101" t="s">
        <v>51</v>
      </c>
    </row>
    <row r="49" spans="1:21" x14ac:dyDescent="0.2">
      <c r="S49" s="101" t="s">
        <v>119</v>
      </c>
      <c r="T49" s="110" t="s">
        <v>120</v>
      </c>
      <c r="U49" s="101" t="s">
        <v>121</v>
      </c>
    </row>
    <row r="50" spans="1:21" x14ac:dyDescent="0.2">
      <c r="A50" t="s">
        <v>176</v>
      </c>
      <c r="S50" s="101" t="s">
        <v>122</v>
      </c>
      <c r="T50" s="110" t="s">
        <v>123</v>
      </c>
      <c r="U50" s="101" t="s">
        <v>124</v>
      </c>
    </row>
    <row r="51" spans="1:21" ht="25.5" x14ac:dyDescent="0.2">
      <c r="A51" s="101" t="s">
        <v>177</v>
      </c>
      <c r="S51" s="101" t="s">
        <v>126</v>
      </c>
      <c r="T51" s="109" t="s">
        <v>127</v>
      </c>
      <c r="U51" s="101" t="s">
        <v>128</v>
      </c>
    </row>
    <row r="52" spans="1:21" x14ac:dyDescent="0.2">
      <c r="S52" s="101" t="s">
        <v>129</v>
      </c>
      <c r="T52" s="110" t="s">
        <v>130</v>
      </c>
      <c r="U52" s="101" t="s">
        <v>131</v>
      </c>
    </row>
    <row r="53" spans="1:21" x14ac:dyDescent="0.2">
      <c r="S53" s="101" t="s">
        <v>133</v>
      </c>
      <c r="T53" s="110" t="s">
        <v>134</v>
      </c>
      <c r="U53" s="101" t="s">
        <v>135</v>
      </c>
    </row>
    <row r="54" spans="1:21" x14ac:dyDescent="0.2">
      <c r="S54" s="101" t="s">
        <v>136</v>
      </c>
      <c r="T54" s="110" t="s">
        <v>137</v>
      </c>
      <c r="U54" s="101" t="s">
        <v>138</v>
      </c>
    </row>
    <row r="55" spans="1:21" ht="25.5" x14ac:dyDescent="0.2">
      <c r="S55" s="101" t="s">
        <v>139</v>
      </c>
      <c r="T55" s="110" t="s">
        <v>140</v>
      </c>
      <c r="U55" s="101" t="s">
        <v>141</v>
      </c>
    </row>
    <row r="56" spans="1:21" x14ac:dyDescent="0.2">
      <c r="S56" s="101" t="s">
        <v>142</v>
      </c>
      <c r="T56" s="110" t="s">
        <v>143</v>
      </c>
      <c r="U56" s="101" t="s">
        <v>144</v>
      </c>
    </row>
    <row r="57" spans="1:21" x14ac:dyDescent="0.2">
      <c r="S57" s="101" t="s">
        <v>145</v>
      </c>
      <c r="T57" s="110" t="s">
        <v>146</v>
      </c>
    </row>
    <row r="58" spans="1:21" x14ac:dyDescent="0.2">
      <c r="S58" s="101" t="s">
        <v>147</v>
      </c>
      <c r="T58" s="110" t="s">
        <v>148</v>
      </c>
      <c r="U58" s="96" t="s">
        <v>149</v>
      </c>
    </row>
    <row r="59" spans="1:21" ht="25.5" x14ac:dyDescent="0.2">
      <c r="S59" s="101" t="s">
        <v>150</v>
      </c>
      <c r="T59" s="110" t="s">
        <v>151</v>
      </c>
      <c r="U59" s="96" t="s">
        <v>152</v>
      </c>
    </row>
    <row r="60" spans="1:21" x14ac:dyDescent="0.2">
      <c r="S60" s="101" t="s">
        <v>153</v>
      </c>
      <c r="T60" s="110" t="s">
        <v>154</v>
      </c>
      <c r="U60" s="96" t="s">
        <v>155</v>
      </c>
    </row>
    <row r="61" spans="1:21" x14ac:dyDescent="0.2">
      <c r="S61" s="101" t="s">
        <v>157</v>
      </c>
      <c r="T61" s="110" t="s">
        <v>158</v>
      </c>
      <c r="U61" s="96" t="s">
        <v>159</v>
      </c>
    </row>
    <row r="62" spans="1:21" x14ac:dyDescent="0.2">
      <c r="S62" s="101" t="s">
        <v>160</v>
      </c>
      <c r="T62" s="109" t="s">
        <v>161</v>
      </c>
      <c r="U62" t="s">
        <v>162</v>
      </c>
    </row>
    <row r="63" spans="1:21" ht="25.5" x14ac:dyDescent="0.2">
      <c r="S63" s="101" t="s">
        <v>163</v>
      </c>
      <c r="T63" s="110" t="s">
        <v>164</v>
      </c>
      <c r="U63" t="s">
        <v>165</v>
      </c>
    </row>
    <row r="64" spans="1:21" x14ac:dyDescent="0.2">
      <c r="S64" s="101" t="s">
        <v>166</v>
      </c>
      <c r="T64" s="109" t="s">
        <v>167</v>
      </c>
    </row>
    <row r="65" spans="19:20" x14ac:dyDescent="0.2">
      <c r="S65" s="101" t="s">
        <v>168</v>
      </c>
      <c r="T65" s="109" t="s">
        <v>167</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F1CE-1520-4AED-ABAB-F94E3661D19B}">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09" customWidth="1"/>
    <col min="22" max="22" width="63.85546875" customWidth="1"/>
  </cols>
  <sheetData>
    <row r="1" spans="1:19" ht="24" customHeight="1" x14ac:dyDescent="0.25">
      <c r="F1" s="150" t="s">
        <v>178</v>
      </c>
    </row>
    <row r="2" spans="1:19" ht="18" x14ac:dyDescent="0.25">
      <c r="A2" s="107"/>
    </row>
    <row r="3" spans="1:19" x14ac:dyDescent="0.2">
      <c r="Q3" s="214"/>
      <c r="R3" s="214"/>
      <c r="S3" s="115"/>
    </row>
    <row r="10" spans="1:19"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2" x14ac:dyDescent="0.2">
      <c r="O33" s="94"/>
    </row>
    <row r="34" spans="15:22" x14ac:dyDescent="0.2">
      <c r="T34" s="101" t="s">
        <v>83</v>
      </c>
      <c r="U34" s="110" t="s">
        <v>84</v>
      </c>
      <c r="V34" s="101" t="s">
        <v>85</v>
      </c>
    </row>
    <row r="35" spans="15:22" x14ac:dyDescent="0.2">
      <c r="T35" s="101" t="s">
        <v>86</v>
      </c>
      <c r="U35" s="110" t="s">
        <v>87</v>
      </c>
      <c r="V35" s="101" t="s">
        <v>88</v>
      </c>
    </row>
    <row r="36" spans="15:22" x14ac:dyDescent="0.2">
      <c r="T36" s="101" t="s">
        <v>90</v>
      </c>
      <c r="U36" s="110" t="s">
        <v>91</v>
      </c>
      <c r="V36" s="101" t="s">
        <v>92</v>
      </c>
    </row>
    <row r="37" spans="15:22" x14ac:dyDescent="0.2">
      <c r="T37" s="101" t="s">
        <v>93</v>
      </c>
      <c r="U37" s="110" t="s">
        <v>94</v>
      </c>
      <c r="V37" s="101" t="s">
        <v>95</v>
      </c>
    </row>
    <row r="38" spans="15:22" x14ac:dyDescent="0.2">
      <c r="O38" s="96"/>
      <c r="Q38" s="97"/>
      <c r="R38" s="97"/>
      <c r="S38" s="97"/>
      <c r="T38" s="101" t="s">
        <v>96</v>
      </c>
      <c r="U38" s="110" t="s">
        <v>97</v>
      </c>
      <c r="V38" s="101" t="s">
        <v>98</v>
      </c>
    </row>
    <row r="39" spans="15:22" x14ac:dyDescent="0.2">
      <c r="T39" s="101" t="s">
        <v>99</v>
      </c>
      <c r="U39" s="110" t="s">
        <v>100</v>
      </c>
      <c r="V39" s="101" t="s">
        <v>98</v>
      </c>
    </row>
    <row r="40" spans="15:22" x14ac:dyDescent="0.2">
      <c r="T40" s="101" t="s">
        <v>102</v>
      </c>
      <c r="U40" s="151" t="s">
        <v>171</v>
      </c>
    </row>
    <row r="41" spans="15:22" x14ac:dyDescent="0.2">
      <c r="T41" s="101" t="s">
        <v>104</v>
      </c>
      <c r="U41" s="110" t="s">
        <v>105</v>
      </c>
      <c r="V41" s="101" t="s">
        <v>106</v>
      </c>
    </row>
    <row r="42" spans="15:22" x14ac:dyDescent="0.2">
      <c r="T42" s="152" t="s">
        <v>172</v>
      </c>
      <c r="U42" s="151" t="s">
        <v>108</v>
      </c>
      <c r="V42" s="101"/>
    </row>
    <row r="43" spans="15:22" x14ac:dyDescent="0.2">
      <c r="T43" s="152" t="s">
        <v>173</v>
      </c>
      <c r="U43" s="151" t="s">
        <v>174</v>
      </c>
      <c r="V43" s="101"/>
    </row>
    <row r="44" spans="15:22" x14ac:dyDescent="0.2">
      <c r="T44" s="152" t="s">
        <v>175</v>
      </c>
      <c r="U44" s="151" t="s">
        <v>108</v>
      </c>
      <c r="V44" s="101" t="s">
        <v>88</v>
      </c>
    </row>
    <row r="45" spans="15:22" x14ac:dyDescent="0.2">
      <c r="T45" s="101" t="s">
        <v>109</v>
      </c>
      <c r="U45" s="110" t="s">
        <v>110</v>
      </c>
      <c r="V45" s="101" t="s">
        <v>106</v>
      </c>
    </row>
    <row r="46" spans="15:22" x14ac:dyDescent="0.2">
      <c r="T46" s="101" t="s">
        <v>111</v>
      </c>
      <c r="U46" s="110" t="s">
        <v>112</v>
      </c>
      <c r="V46" s="94" t="s">
        <v>113</v>
      </c>
    </row>
    <row r="47" spans="15:22" x14ac:dyDescent="0.2">
      <c r="T47" s="101" t="s">
        <v>115</v>
      </c>
      <c r="U47" s="110" t="s">
        <v>116</v>
      </c>
      <c r="V47" s="101" t="s">
        <v>88</v>
      </c>
    </row>
    <row r="48" spans="15:22" x14ac:dyDescent="0.2">
      <c r="T48" s="101" t="s">
        <v>117</v>
      </c>
      <c r="U48" s="110" t="s">
        <v>118</v>
      </c>
      <c r="V48" s="101" t="s">
        <v>51</v>
      </c>
    </row>
    <row r="49" spans="1:22" x14ac:dyDescent="0.2">
      <c r="T49" s="152" t="s">
        <v>179</v>
      </c>
      <c r="U49" s="110" t="s">
        <v>180</v>
      </c>
      <c r="V49" s="101" t="s">
        <v>121</v>
      </c>
    </row>
    <row r="50" spans="1:22" x14ac:dyDescent="0.2">
      <c r="A50" t="s">
        <v>176</v>
      </c>
      <c r="T50" s="101" t="s">
        <v>122</v>
      </c>
      <c r="U50" s="110" t="s">
        <v>123</v>
      </c>
      <c r="V50" s="101" t="s">
        <v>124</v>
      </c>
    </row>
    <row r="51" spans="1:22" x14ac:dyDescent="0.2">
      <c r="T51" s="152" t="s">
        <v>181</v>
      </c>
      <c r="U51" s="151" t="s">
        <v>182</v>
      </c>
      <c r="V51" s="101"/>
    </row>
    <row r="52" spans="1:22" x14ac:dyDescent="0.2">
      <c r="T52" s="152" t="s">
        <v>183</v>
      </c>
      <c r="U52" s="151" t="s">
        <v>184</v>
      </c>
      <c r="V52" s="101"/>
    </row>
    <row r="53" spans="1:22" x14ac:dyDescent="0.2">
      <c r="T53" s="152" t="s">
        <v>185</v>
      </c>
      <c r="U53" s="151" t="s">
        <v>186</v>
      </c>
      <c r="V53" s="101"/>
    </row>
    <row r="54" spans="1:22" ht="25.5" x14ac:dyDescent="0.2">
      <c r="A54" s="101" t="s">
        <v>177</v>
      </c>
      <c r="T54" s="101" t="s">
        <v>126</v>
      </c>
      <c r="U54" s="109" t="s">
        <v>127</v>
      </c>
      <c r="V54" s="101" t="s">
        <v>128</v>
      </c>
    </row>
    <row r="55" spans="1:22" x14ac:dyDescent="0.2">
      <c r="T55" s="101" t="s">
        <v>129</v>
      </c>
      <c r="U55" s="110" t="s">
        <v>130</v>
      </c>
      <c r="V55" s="101" t="s">
        <v>131</v>
      </c>
    </row>
    <row r="56" spans="1:22" x14ac:dyDescent="0.2">
      <c r="T56" s="101" t="s">
        <v>133</v>
      </c>
      <c r="U56" s="110" t="s">
        <v>134</v>
      </c>
      <c r="V56" s="101" t="s">
        <v>135</v>
      </c>
    </row>
    <row r="57" spans="1:22" x14ac:dyDescent="0.2">
      <c r="T57" s="101" t="s">
        <v>136</v>
      </c>
      <c r="U57" s="110" t="s">
        <v>137</v>
      </c>
      <c r="V57" s="101" t="s">
        <v>138</v>
      </c>
    </row>
    <row r="58" spans="1:22" ht="25.5" x14ac:dyDescent="0.2">
      <c r="T58" s="101" t="s">
        <v>139</v>
      </c>
      <c r="U58" s="110" t="s">
        <v>140</v>
      </c>
      <c r="V58" s="101" t="s">
        <v>141</v>
      </c>
    </row>
    <row r="59" spans="1:22" x14ac:dyDescent="0.2">
      <c r="T59" s="101" t="s">
        <v>142</v>
      </c>
      <c r="U59" s="110" t="s">
        <v>143</v>
      </c>
      <c r="V59" s="101" t="s">
        <v>144</v>
      </c>
    </row>
    <row r="60" spans="1:22" x14ac:dyDescent="0.2">
      <c r="T60" s="101" t="s">
        <v>145</v>
      </c>
      <c r="U60" s="110" t="s">
        <v>146</v>
      </c>
    </row>
    <row r="61" spans="1:22" x14ac:dyDescent="0.2">
      <c r="T61" s="101" t="s">
        <v>147</v>
      </c>
      <c r="U61" s="110" t="s">
        <v>148</v>
      </c>
      <c r="V61" s="96" t="s">
        <v>149</v>
      </c>
    </row>
    <row r="62" spans="1:22" ht="25.5" x14ac:dyDescent="0.2">
      <c r="T62" s="101" t="s">
        <v>150</v>
      </c>
      <c r="U62" s="110" t="s">
        <v>151</v>
      </c>
      <c r="V62" s="96" t="s">
        <v>152</v>
      </c>
    </row>
    <row r="63" spans="1:22" x14ac:dyDescent="0.2">
      <c r="T63" s="101" t="s">
        <v>153</v>
      </c>
      <c r="U63" s="110" t="s">
        <v>154</v>
      </c>
      <c r="V63" s="96" t="s">
        <v>155</v>
      </c>
    </row>
    <row r="64" spans="1:22" x14ac:dyDescent="0.2">
      <c r="T64" s="101" t="s">
        <v>157</v>
      </c>
      <c r="U64" s="110" t="s">
        <v>158</v>
      </c>
      <c r="V64" s="96" t="s">
        <v>159</v>
      </c>
    </row>
    <row r="65" spans="20:22" x14ac:dyDescent="0.2">
      <c r="T65" s="101" t="s">
        <v>160</v>
      </c>
      <c r="U65" s="109" t="s">
        <v>161</v>
      </c>
      <c r="V65" t="s">
        <v>162</v>
      </c>
    </row>
    <row r="66" spans="20:22" ht="38.25" x14ac:dyDescent="0.2">
      <c r="T66" s="101" t="s">
        <v>163</v>
      </c>
      <c r="U66" s="110" t="s">
        <v>164</v>
      </c>
      <c r="V66" s="109" t="s">
        <v>165</v>
      </c>
    </row>
    <row r="67" spans="20:22" x14ac:dyDescent="0.2">
      <c r="T67" s="101" t="s">
        <v>166</v>
      </c>
      <c r="U67" s="109" t="s">
        <v>167</v>
      </c>
    </row>
    <row r="68" spans="20:22" x14ac:dyDescent="0.2">
      <c r="T68" s="101" t="s">
        <v>168</v>
      </c>
      <c r="U68" s="109" t="s">
        <v>167</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85FD-F6AD-4B26-90B2-FC29DB02FCFB}">
  <dimension ref="B1:C16"/>
  <sheetViews>
    <sheetView workbookViewId="0">
      <selection activeCell="A16" sqref="A16:XFD16"/>
    </sheetView>
  </sheetViews>
  <sheetFormatPr defaultRowHeight="12.75" x14ac:dyDescent="0.2"/>
  <cols>
    <col min="2" max="2" width="33.140625" customWidth="1"/>
  </cols>
  <sheetData>
    <row r="1" spans="2:3" ht="14.25" x14ac:dyDescent="0.2">
      <c r="B1" t="s">
        <v>187</v>
      </c>
      <c r="C1" s="101" t="s">
        <v>188</v>
      </c>
    </row>
    <row r="2" spans="2:3" x14ac:dyDescent="0.2">
      <c r="C2" s="171" t="s">
        <v>213</v>
      </c>
    </row>
    <row r="3" spans="2:3" x14ac:dyDescent="0.2">
      <c r="C3" s="101"/>
    </row>
    <row r="4" spans="2:3" x14ac:dyDescent="0.2">
      <c r="B4" t="s">
        <v>189</v>
      </c>
      <c r="C4" t="s">
        <v>190</v>
      </c>
    </row>
    <row r="5" spans="2:3" x14ac:dyDescent="0.2">
      <c r="C5" s="171" t="s">
        <v>211</v>
      </c>
    </row>
    <row r="7" spans="2:3" x14ac:dyDescent="0.2">
      <c r="B7" t="s">
        <v>191</v>
      </c>
      <c r="C7" t="s">
        <v>192</v>
      </c>
    </row>
    <row r="8" spans="2:3" x14ac:dyDescent="0.2">
      <c r="C8" t="s">
        <v>193</v>
      </c>
    </row>
    <row r="9" spans="2:3" x14ac:dyDescent="0.2">
      <c r="C9" s="101" t="s">
        <v>194</v>
      </c>
    </row>
    <row r="10" spans="2:3" x14ac:dyDescent="0.2">
      <c r="C10" s="171" t="s">
        <v>200</v>
      </c>
    </row>
    <row r="12" spans="2:3" x14ac:dyDescent="0.2">
      <c r="B12" t="s">
        <v>195</v>
      </c>
      <c r="C12" t="s">
        <v>196</v>
      </c>
    </row>
    <row r="13" spans="2:3" x14ac:dyDescent="0.2">
      <c r="C13" s="101" t="s">
        <v>197</v>
      </c>
    </row>
    <row r="14" spans="2:3" x14ac:dyDescent="0.2">
      <c r="C14" s="101" t="s">
        <v>198</v>
      </c>
    </row>
    <row r="15" spans="2:3" x14ac:dyDescent="0.2">
      <c r="C15" s="101" t="s">
        <v>199</v>
      </c>
    </row>
    <row r="16" spans="2:3" x14ac:dyDescent="0.2">
      <c r="C16" s="171" t="s">
        <v>212</v>
      </c>
    </row>
  </sheetData>
  <pageMargins left="0.7" right="0.7" top="0.75" bottom="0.75" header="0.3" footer="0.3"/>
  <pageSetup orientation="portrait" r:id="rId1"/>
</worksheet>
</file>

<file path=docMetadata/LabelInfo.xml><?xml version="1.0" encoding="utf-8"?>
<clbl:labelList xmlns:clbl="http://schemas.microsoft.com/office/2020/mipLabelMetadata">
  <clbl:label id="{e741d71c-c6b6-47b0-803c-0f3b32b07556}" enabled="0" method="" siteId="{e741d71c-c6b6-47b0-803c-0f3b32b0755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Manager/>
  <Company>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JY5134</dc:creator>
  <cp:keywords/>
  <dc:description/>
  <cp:lastModifiedBy>GAREY, CHRIS J</cp:lastModifiedBy>
  <cp:revision/>
  <dcterms:created xsi:type="dcterms:W3CDTF">2003-07-09T18:11:32Z</dcterms:created>
  <dcterms:modified xsi:type="dcterms:W3CDTF">2025-03-07T16:01:37Z</dcterms:modified>
  <cp:category/>
  <cp:contentStatus/>
</cp:coreProperties>
</file>