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Rebecca Wolfe\Documents\NSS\Projects\work_project\"/>
    </mc:Choice>
  </mc:AlternateContent>
  <xr:revisionPtr revIDLastSave="0" documentId="8_{48284109-8189-4E81-9B93-3EAA5C267C63}" xr6:coauthVersionLast="47" xr6:coauthVersionMax="47" xr10:uidLastSave="{00000000-0000-0000-0000-000000000000}"/>
  <bookViews>
    <workbookView xWindow="-110" yWindow="-110" windowWidth="19420" windowHeight="11500" activeTab="3" xr2:uid="{00000000-000D-0000-FFFF-FFFF00000000}"/>
  </bookViews>
  <sheets>
    <sheet name="Calculator for Liquid Formulas" sheetId="8" r:id="rId1"/>
    <sheet name="DRI Data for Liquid Formulas" sheetId="10" r:id="rId2"/>
    <sheet name="Liquid Formulas Data" sheetId="1" r:id="rId3"/>
    <sheet name="Modulars" sheetId="7"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8" l="1"/>
  <c r="C15" i="8"/>
  <c r="C16" i="8"/>
  <c r="C17" i="8"/>
  <c r="C14" i="8"/>
  <c r="C13" i="8"/>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C18" i="8"/>
  <c r="C28" i="10"/>
  <c r="B28" i="10"/>
  <c r="F3" i="7"/>
  <c r="F4" i="7"/>
  <c r="F5" i="7"/>
  <c r="F2" i="7"/>
  <c r="C4" i="8"/>
  <c r="C11" i="8" s="1"/>
  <c r="C27" i="8"/>
  <c r="G10" i="8"/>
  <c r="F10" i="8"/>
  <c r="E10" i="8"/>
  <c r="C7" i="8"/>
  <c r="C6" i="8"/>
  <c r="C5" i="8"/>
  <c r="E4" i="8"/>
  <c r="K4" i="8" l="1"/>
  <c r="F4" i="8"/>
  <c r="E25" i="8" s="1"/>
  <c r="J10" i="8"/>
  <c r="O4" i="8" s="1"/>
  <c r="I10" i="8"/>
  <c r="N4" i="8" s="1"/>
  <c r="K10" i="8" a="1"/>
  <c r="K10" i="8" s="1"/>
  <c r="K12" i="8" s="1"/>
  <c r="G4" i="8"/>
  <c r="I4" i="8"/>
  <c r="J4" i="8" s="1"/>
  <c r="J12" i="8"/>
  <c r="G25" i="8"/>
  <c r="B33" i="8" s="1"/>
  <c r="F25" i="8"/>
  <c r="H25" i="8" l="1"/>
  <c r="B32" i="8" s="1"/>
  <c r="H4" i="8"/>
  <c r="I12" i="8" l="1"/>
  <c r="B2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tc={DD0E1D9A-0FBA-45C8-BA86-DAC946BDBFCA}</author>
    <author>tc={E94A2849-C698-403C-9775-238B723D14CD}</author>
    <author>tc={55C5137A-97CF-4354-9F9C-AF2EB4F8E746}</author>
    <author>tc={6C968C65-9C2F-4037-9F9D-AA05461B6685}</author>
  </authors>
  <commentList>
    <comment ref="B3" authorId="0" shapeId="0" xr:uid="{DD0E1D9A-0FBA-45C8-BA86-DAC946BDBFCA}">
      <text>
        <t>[Threaded comment]
Your version of Excel allows you to read this threaded comment; however, any edits to it will get removed if the file is opened in a newer version of Excel. Learn more: https://go.microsoft.com/fwlink/?linkid=870924
Comment:
    Use drop-down menus in green to select the formula, your patient's age/gender, and whether or not you're adding a modular.
Next, input their weight and how many mLs formula they receive over 24 hours and mLs of free water in yellow boxes. If using a modular, select how many units/day.</t>
      </text>
    </comment>
    <comment ref="F3" authorId="1" shapeId="0" xr:uid="{E94A2849-C698-403C-9775-238B723D14CD}">
      <text>
        <t xml:space="preserve">[Threaded comment]
Your version of Excel allows you to read this threaded comment; however, any edits to it will get removed if the file is opened in a newer version of Excel. Learn more: https://go.microsoft.com/fwlink/?linkid=870924
Comment:
    Includes displacement
</t>
      </text>
    </comment>
    <comment ref="M7" authorId="2" shapeId="0" xr:uid="{55C5137A-97CF-4354-9F9C-AF2EB4F8E746}">
      <text>
        <t>[Threaded comment]
Your version of Excel allows you to read this threaded comment; however, any edits to it will get removed if the file is opened in a newer version of Excel. Learn more: https://go.microsoft.com/fwlink/?linkid=870924
Comment:
    If catch up growth is needed, input IBW in yellow box (BMI in 50%ile). Then put the numbers in pink into the red box. Then in the estimated needs dropdown, select catch up growth</t>
      </text>
    </comment>
    <comment ref="B24" authorId="3" shapeId="0" xr:uid="{6C968C65-9C2F-4037-9F9D-AA05461B6685}">
      <text>
        <t>[Threaded comment]
Your version of Excel allows you to read this threaded comment; however, any edits to it will get removed if the file is opened in a newer version of Excel. Learn more: https://go.microsoft.com/fwlink/?linkid=870924
Comment:
    To figure out regimen/schedule, select what percent of their formula will be provided by day time bolus feeds. Then select the number of bolus feeds and the number of hours their continuous feeds will infuse over.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<sst xmlns="http://schemas.openxmlformats.org/spreadsheetml/2006/main" count="250" uniqueCount="147">
  <si>
    <t>Peptamen 1.5</t>
  </si>
  <si>
    <t>mL formula/d</t>
  </si>
  <si>
    <t>total ml/day</t>
  </si>
  <si>
    <t>kcal/d</t>
  </si>
  <si>
    <t>kcal/kg</t>
  </si>
  <si>
    <t>g pro/d</t>
  </si>
  <si>
    <t>g pro/kg</t>
  </si>
  <si>
    <t>mL water/d</t>
  </si>
  <si>
    <t>IBW in kg</t>
  </si>
  <si>
    <t>ml/container</t>
  </si>
  <si>
    <t>calories per container</t>
  </si>
  <si>
    <t>g protein per container</t>
  </si>
  <si>
    <t xml:space="preserve"> </t>
  </si>
  <si>
    <t>% water</t>
  </si>
  <si>
    <t>Protein &amp; Energy Needs</t>
  </si>
  <si>
    <t>Catch up growth:</t>
  </si>
  <si>
    <t>100% Fluid Needs:</t>
  </si>
  <si>
    <t>boys ages 14 to 16 years</t>
  </si>
  <si>
    <t xml:space="preserve"> weight in kg</t>
  </si>
  <si>
    <t>&lt;10 kg</t>
  </si>
  <si>
    <t>10-20 kg</t>
  </si>
  <si>
    <t>&gt;20 kg</t>
  </si>
  <si>
    <t>Fluid</t>
  </si>
  <si>
    <t>ml formula/day</t>
  </si>
  <si>
    <t># containers/day</t>
  </si>
  <si>
    <t xml:space="preserve">% Energy/Pro Needs Met: </t>
  </si>
  <si>
    <t>None</t>
  </si>
  <si>
    <t>unit of measurement</t>
  </si>
  <si>
    <t>calories per unit</t>
  </si>
  <si>
    <t>g protein per unit</t>
  </si>
  <si>
    <t>mL water</t>
  </si>
  <si>
    <t>mL disp./unit</t>
  </si>
  <si>
    <t>kcal/day from modular</t>
  </si>
  <si>
    <t># units/day</t>
  </si>
  <si>
    <t>water flushes</t>
  </si>
  <si>
    <t>Feeding Regimen</t>
  </si>
  <si>
    <t>ml/day</t>
  </si>
  <si>
    <t>ml/bolus</t>
  </si>
  <si>
    <t>ml/hr</t>
  </si>
  <si>
    <t>bolus rate</t>
  </si>
  <si>
    <t>% bolus feeds</t>
  </si>
  <si>
    <t># bolus feeds</t>
  </si>
  <si>
    <t>% continuous feeds</t>
  </si>
  <si>
    <t xml:space="preserve"># hours continuous feeds </t>
  </si>
  <si>
    <t>minutes bolus feed runs over</t>
  </si>
  <si>
    <t xml:space="preserve">Regimen: </t>
  </si>
  <si>
    <t>g/tsp</t>
  </si>
  <si>
    <t>catch up growth</t>
  </si>
  <si>
    <t>Age/Gender</t>
  </si>
  <si>
    <t>grams protein/kg</t>
  </si>
  <si>
    <t>ages 0 to 2 months</t>
  </si>
  <si>
    <t>ages 2 to 3 months</t>
  </si>
  <si>
    <t>ages 4 to 6 months (DRI)</t>
  </si>
  <si>
    <t>ages 4 to 6 months (RDA)</t>
  </si>
  <si>
    <t>ages 7 to 12 months (DRI)</t>
  </si>
  <si>
    <t>ages 7 to 12 months (RDA)</t>
  </si>
  <si>
    <t>ages 13 to 35 months (DRI)</t>
  </si>
  <si>
    <t>ages 13 to 35 months (RDA)</t>
  </si>
  <si>
    <t>boys age 3 years</t>
  </si>
  <si>
    <t>boys ages 4 to 5 years</t>
  </si>
  <si>
    <t>boys ages 6 to 7 years</t>
  </si>
  <si>
    <t>boys age 8 years</t>
  </si>
  <si>
    <t>boys ages 9 to 11 years</t>
  </si>
  <si>
    <t>boys ages 12 to 13 years</t>
  </si>
  <si>
    <t>boys ages 17 to 18 years</t>
  </si>
  <si>
    <t xml:space="preserve">boys ages 18 and up </t>
  </si>
  <si>
    <t>girls age 3 years</t>
  </si>
  <si>
    <t>girls ages 4 to 5 years</t>
  </si>
  <si>
    <t>girls ages 6 to 7 years</t>
  </si>
  <si>
    <t>girls age 8 years</t>
  </si>
  <si>
    <t>girls ages 9 to 11 years</t>
  </si>
  <si>
    <t>girls ages 12 to 13 years</t>
  </si>
  <si>
    <t>girls ages 14 to 16 years</t>
  </si>
  <si>
    <t>girls ages 17 to 18 years</t>
  </si>
  <si>
    <t xml:space="preserve">girls ages 18 and up </t>
  </si>
  <si>
    <t>Name</t>
  </si>
  <si>
    <t>mL/container</t>
  </si>
  <si>
    <t>kcal/container</t>
  </si>
  <si>
    <t>g protein/container</t>
  </si>
  <si>
    <t>mL water/container</t>
  </si>
  <si>
    <t>Boost Kid Essentials 1.0</t>
  </si>
  <si>
    <t>Boost Kid Essentials 1.5</t>
  </si>
  <si>
    <t>Boost Original</t>
  </si>
  <si>
    <t>Boost Plus</t>
  </si>
  <si>
    <t xml:space="preserve">Compleat  </t>
  </si>
  <si>
    <t>Compleat Organic Blends</t>
  </si>
  <si>
    <t>Compleat Ped Organic Blends</t>
  </si>
  <si>
    <t>Compleat Ped Peptide 1.5</t>
  </si>
  <si>
    <t>Compleat Ped Plant-based 1.0</t>
  </si>
  <si>
    <t>Compleat Ped Plant-based 1.4</t>
  </si>
  <si>
    <t>Compleat Ped Reduced Calorie</t>
  </si>
  <si>
    <t>Compleat Pediatric</t>
  </si>
  <si>
    <t>Compleat Peptide 1.5</t>
  </si>
  <si>
    <t>Ensure Harvest</t>
  </si>
  <si>
    <t>Ensure Original</t>
  </si>
  <si>
    <t>Ensure Plus</t>
  </si>
  <si>
    <t>Isosource 1.5</t>
  </si>
  <si>
    <t>Kate Farms Ped Peptide 1.0</t>
  </si>
  <si>
    <t>Kate Farms Ped Peptide 1.5</t>
  </si>
  <si>
    <t>Kate Farms Peptide 1.0</t>
  </si>
  <si>
    <t>Kate Farms Peptide 1.5</t>
  </si>
  <si>
    <t>Kate Farms Standard 1.4</t>
  </si>
  <si>
    <t>Kate Frams Ped Standard 1.2</t>
  </si>
  <si>
    <t>Neocate Splash</t>
  </si>
  <si>
    <t>Nourish</t>
  </si>
  <si>
    <t>Nourish Peptide 1.5</t>
  </si>
  <si>
    <t>Nutren 1.0</t>
  </si>
  <si>
    <t>Nutren 1.5</t>
  </si>
  <si>
    <t>Nutren 2.0</t>
  </si>
  <si>
    <t>Nutren Jr</t>
  </si>
  <si>
    <t>Pediasure 1.5</t>
  </si>
  <si>
    <t>Pediasure Enteral 1.0</t>
  </si>
  <si>
    <t>Pediasure Grow &amp; Gain</t>
  </si>
  <si>
    <t>Pediasure Harvest</t>
  </si>
  <si>
    <t>Pediasure Peptide 1.0</t>
  </si>
  <si>
    <t>Pediasure Peptide 1.5</t>
  </si>
  <si>
    <t>Pediasure Reduced Calorie</t>
  </si>
  <si>
    <t>Peptamen 1.0</t>
  </si>
  <si>
    <t>Peptamen Jr</t>
  </si>
  <si>
    <t>Peptamen jr 1.5</t>
  </si>
  <si>
    <t>Real Food Blends</t>
  </si>
  <si>
    <t>Vivonex</t>
  </si>
  <si>
    <t xml:space="preserve">Modular  </t>
  </si>
  <si>
    <t>Unit of measurement</t>
  </si>
  <si>
    <t>g/unit</t>
  </si>
  <si>
    <t>kcal/unit</t>
  </si>
  <si>
    <t>g protein/unit</t>
  </si>
  <si>
    <t>ml/g displacement</t>
  </si>
  <si>
    <t>g/cup</t>
  </si>
  <si>
    <t>g/can</t>
  </si>
  <si>
    <t>Duocal</t>
  </si>
  <si>
    <t>Scoop</t>
  </si>
  <si>
    <t>Beneprotein</t>
  </si>
  <si>
    <t>Rice Cereal</t>
  </si>
  <si>
    <t>Tablespoon</t>
  </si>
  <si>
    <t>MCT Oil</t>
  </si>
  <si>
    <t>mL</t>
  </si>
  <si>
    <t>Olive Oil</t>
  </si>
  <si>
    <t>Maple Syrup</t>
  </si>
  <si>
    <t>Pureed Green Beans</t>
  </si>
  <si>
    <t xml:space="preserve">Complete Amino Acid </t>
  </si>
  <si>
    <t>5 g scoop</t>
  </si>
  <si>
    <t xml:space="preserve">237 mL carton </t>
  </si>
  <si>
    <t>Carton</t>
  </si>
  <si>
    <t>Pouch</t>
  </si>
  <si>
    <t>Bottle</t>
  </si>
  <si>
    <t>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</si>
</sst>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sz val="11"/>
      <color rgb="FF000000"/>
      <name val="Calibri"/>
      <family val="2"/>
      <charset val="1"/>
    </font>
    <font>
      <sz val="11"/>
      <color rgb="FF000000"/>
      <name val="Calibri"/>
      <family val="2"/>
      <scheme val="minor"/>
    </font>
    <font>
      <sz val="11"/>
      <color rgb="FF444444"/>
      <name val="Calibri"/>
      <family val="2"/>
      <charset val="1"/>
    </font>
    <font>
      <sz val="11"/>
      <color rgb="FF000000"/>
      <name val="Calibri"/>
      <charset val="1"/>
    </font>
    <font>
      <sz val="14"/>
      <name val="Arial"/>
      <family val="2"/>
    </font>
    <font>
      <sz val="11"/>
      <color rgb="FFBF00AF"/>
      <name val="Calibri"/>
      <family val="2"/>
      <scheme val="minor"/>
    </font>
  </fonts>
  <fills count="7">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rgb="FFD97979"/>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4">
    <xf numFmtId="0" fontId="0" fillId="0" borderId="0" xfId="0"/>
    <xf numFmtId="0" fontId="0" fillId="2" borderId="1" xfId="0" applyFill="1" applyBorder="1"/>
    <xf numFmtId="0" fontId="1" fillId="0" borderId="1" xfId="0" applyFont="1" applyBorder="1"/>
    <xf numFmtId="0" fontId="2" fillId="0" borderId="1" xfId="0" applyFont="1" applyBorder="1" applyAlignment="1">
      <alignment horizontal="center"/>
    </xf>
    <xf numFmtId="0" fontId="2" fillId="0" borderId="1" xfId="0" applyFont="1" applyBorder="1" applyAlignment="1">
      <alignment horizontal="center" wrapText="1"/>
    </xf>
    <xf numFmtId="0" fontId="3" fillId="0" borderId="0" xfId="0" applyFont="1"/>
    <xf numFmtId="1" fontId="3" fillId="0" borderId="1" xfId="0" applyNumberFormat="1" applyFont="1" applyBorder="1"/>
    <xf numFmtId="164" fontId="3" fillId="0" borderId="1" xfId="0" applyNumberFormat="1" applyFont="1" applyBorder="1"/>
    <xf numFmtId="0" fontId="2" fillId="0" borderId="0" xfId="0" applyFont="1"/>
    <xf numFmtId="0" fontId="3" fillId="0" borderId="1" xfId="0" applyFont="1" applyBorder="1"/>
    <xf numFmtId="2" fontId="3" fillId="4" borderId="1" xfId="0" applyNumberFormat="1" applyFont="1" applyFill="1" applyBorder="1"/>
    <xf numFmtId="0" fontId="1" fillId="0" borderId="1" xfId="0" applyFont="1" applyBorder="1" applyAlignment="1">
      <alignment horizontal="center"/>
    </xf>
    <xf numFmtId="1" fontId="3" fillId="4" borderId="1" xfId="0" applyNumberFormat="1" applyFont="1" applyFill="1" applyBorder="1"/>
    <xf numFmtId="0" fontId="0" fillId="4" borderId="1" xfId="0" applyFill="1" applyBorder="1"/>
    <xf numFmtId="0" fontId="0" fillId="3" borderId="1" xfId="0" applyFill="1" applyBorder="1"/>
    <xf numFmtId="0" fontId="0" fillId="0" borderId="1" xfId="0" applyBorder="1"/>
    <xf numFmtId="2" fontId="0" fillId="3" borderId="1" xfId="0" applyNumberFormat="1" applyFill="1" applyBorder="1"/>
    <xf numFmtId="2" fontId="0" fillId="0" borderId="1" xfId="0" applyNumberFormat="1" applyBorder="1"/>
    <xf numFmtId="0" fontId="3" fillId="3" borderId="1" xfId="0" applyFont="1" applyFill="1" applyBorder="1"/>
    <xf numFmtId="0" fontId="3" fillId="4" borderId="1" xfId="0" applyFont="1" applyFill="1" applyBorder="1"/>
    <xf numFmtId="1" fontId="0" fillId="0" borderId="1" xfId="0" applyNumberFormat="1" applyBorder="1"/>
    <xf numFmtId="1" fontId="0" fillId="0" borderId="0" xfId="0" applyNumberFormat="1"/>
    <xf numFmtId="9" fontId="0" fillId="4" borderId="1" xfId="0" applyNumberFormat="1" applyFill="1" applyBorder="1"/>
    <xf numFmtId="9" fontId="0" fillId="3" borderId="1" xfId="0" applyNumberFormat="1" applyFill="1" applyBorder="1"/>
    <xf numFmtId="0" fontId="1" fillId="0" borderId="0" xfId="0" applyFont="1"/>
    <xf numFmtId="9" fontId="0" fillId="0" borderId="0" xfId="0" applyNumberFormat="1"/>
    <xf numFmtId="0" fontId="6" fillId="2" borderId="1" xfId="0" applyFont="1" applyFill="1" applyBorder="1"/>
    <xf numFmtId="0" fontId="3" fillId="2" borderId="1" xfId="0" applyFont="1" applyFill="1" applyBorder="1"/>
    <xf numFmtId="10" fontId="3" fillId="2" borderId="1" xfId="0" applyNumberFormat="1" applyFont="1" applyFill="1" applyBorder="1"/>
    <xf numFmtId="9" fontId="0" fillId="2" borderId="1" xfId="0" applyNumberFormat="1" applyFill="1" applyBorder="1"/>
    <xf numFmtId="0" fontId="0" fillId="3" borderId="0" xfId="0" applyFill="1"/>
    <xf numFmtId="0" fontId="0" fillId="0" borderId="0" xfId="0" applyAlignment="1">
      <alignment vertical="top" wrapText="1"/>
    </xf>
    <xf numFmtId="0" fontId="7" fillId="0" borderId="0" xfId="0" applyFont="1" applyAlignment="1">
      <alignment wrapText="1"/>
    </xf>
    <xf numFmtId="0" fontId="0" fillId="0" borderId="0" xfId="0" applyAlignment="1">
      <alignment wrapText="1"/>
    </xf>
    <xf numFmtId="0" fontId="1" fillId="0" borderId="8" xfId="0" applyFont="1" applyBorder="1" applyAlignment="1">
      <alignment horizontal="center"/>
    </xf>
    <xf numFmtId="0" fontId="1" fillId="5" borderId="1" xfId="0" applyFont="1" applyFill="1" applyBorder="1"/>
    <xf numFmtId="0" fontId="0" fillId="6" borderId="1" xfId="0" applyFill="1" applyBorder="1"/>
    <xf numFmtId="0" fontId="5" fillId="0" borderId="0" xfId="0" applyFont="1" applyAlignment="1">
      <alignment horizontal="left"/>
    </xf>
    <xf numFmtId="0" fontId="8" fillId="0" borderId="0" xfId="0" applyFont="1" applyAlignment="1">
      <alignment wrapText="1"/>
    </xf>
    <xf numFmtId="2" fontId="3" fillId="0" borderId="0" xfId="0" applyNumberFormat="1" applyFont="1"/>
    <xf numFmtId="2" fontId="0" fillId="0" borderId="0" xfId="0" applyNumberFormat="1"/>
    <xf numFmtId="0" fontId="2" fillId="0" borderId="0" xfId="0" applyFont="1" applyAlignment="1">
      <alignment horizontal="center"/>
    </xf>
    <xf numFmtId="1" fontId="3" fillId="2" borderId="1" xfId="0" applyNumberFormat="1" applyFont="1" applyFill="1" applyBorder="1"/>
    <xf numFmtId="0" fontId="0" fillId="2" borderId="1" xfId="0" applyFill="1" applyBorder="1" applyAlignment="1">
      <alignment horizontal="center"/>
    </xf>
    <xf numFmtId="1" fontId="9" fillId="0" borderId="1" xfId="0" applyNumberFormat="1" applyFont="1" applyBorder="1"/>
    <xf numFmtId="2" fontId="9" fillId="0" borderId="1" xfId="0" applyNumberFormat="1" applyFont="1" applyBorder="1"/>
    <xf numFmtId="1" fontId="4" fillId="0" borderId="1" xfId="0" applyNumberFormat="1" applyFont="1" applyBorder="1"/>
    <xf numFmtId="0" fontId="2" fillId="0" borderId="0" xfId="0" applyFont="1" applyAlignment="1">
      <alignment horizontal="center"/>
    </xf>
    <xf numFmtId="0" fontId="5" fillId="3" borderId="2" xfId="0" applyFont="1" applyFill="1" applyBorder="1" applyAlignment="1">
      <alignment horizontal="left"/>
    </xf>
    <xf numFmtId="0" fontId="5" fillId="3" borderId="3" xfId="0" applyFont="1" applyFill="1" applyBorder="1" applyAlignment="1">
      <alignment horizontal="left"/>
    </xf>
    <xf numFmtId="0" fontId="5" fillId="3" borderId="4" xfId="0" applyFont="1" applyFill="1" applyBorder="1" applyAlignment="1">
      <alignment horizontal="left"/>
    </xf>
    <xf numFmtId="0" fontId="0" fillId="0" borderId="0" xfId="0" applyAlignment="1">
      <alignment horizontal="left"/>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1" fillId="5" borderId="4" xfId="0" applyFont="1" applyFill="1" applyBorder="1" applyAlignment="1">
      <alignment horizontal="center"/>
    </xf>
    <xf numFmtId="0" fontId="1" fillId="0" borderId="0" xfId="0" applyFont="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3">
    <dxf>
      <font>
        <b val="0"/>
        <i val="0"/>
        <strike val="0"/>
        <condense val="0"/>
        <extend val="0"/>
        <outline val="0"/>
        <shadow val="0"/>
        <u val="none"/>
        <vertAlign val="baseline"/>
        <sz val="14"/>
        <color auto="1"/>
        <name val="Arial"/>
        <family val="2"/>
        <scheme val="none"/>
      </font>
      <alignment horizontal="general" vertical="bottom" textRotation="0" wrapText="1" indent="0" justifyLastLine="0" shrinkToFit="0" readingOrder="0"/>
    </dxf>
    <dxf>
      <numFmt numFmtId="13" formatCode="0%"/>
    </dxf>
    <dxf>
      <numFmt numFmtId="1" formatCode="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Wolfe, Rebecca" id="{A66A6913-C7EC-43E1-BEEE-7876A213CAA0}" userId="S::rebecca.wolfe@vumc.org::a7fed366-7668-450f-9286-036fdf10116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C18DDF-A634-4DF1-ABC6-3AC261048C1B}" name="Table42" displayName="Table42" ref="A1:C28" totalsRowShown="0">
  <autoFilter ref="A1:C28" xr:uid="{65F45628-84EC-4CAE-A8EE-FDB1AE3A1306}"/>
  <tableColumns count="3">
    <tableColumn id="1" xr3:uid="{DBF3F3BE-AAD9-4502-BF26-4EB6C3D3D2AA}" name="Age/Gender"/>
    <tableColumn id="2" xr3:uid="{8C77F286-F119-42A2-95C4-35FDC58850B1}" name="kcal/kg"/>
    <tableColumn id="3" xr3:uid="{138C7E01-896C-471E-A70A-5C9B284FAB59}" name="grams protein/k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86D58C-AE74-4740-AD6C-F484607F2244}" name="Table2" displayName="Table2" ref="A1:F44" totalsRowShown="0">
  <autoFilter ref="A1:F44" xr:uid="{C086D58C-AE74-4740-AD6C-F484607F2244}"/>
  <sortState xmlns:xlrd2="http://schemas.microsoft.com/office/spreadsheetml/2017/richdata2" ref="A2:F44">
    <sortCondition ref="A1:A44"/>
  </sortState>
  <tableColumns count="6">
    <tableColumn id="1" xr3:uid="{71C676E6-2607-4A7A-A85F-E20DDD362C89}" name="Name"/>
    <tableColumn id="2" xr3:uid="{2D1A5C69-748A-46D9-8361-F14F186B28CF}" name="mL/container"/>
    <tableColumn id="3" xr3:uid="{3389153C-9411-4658-87B7-E5461F45E13E}" name="kcal/container"/>
    <tableColumn id="4" xr3:uid="{810FE45C-5676-4FFF-901E-926AA20AABB3}" name="g protein/container"/>
    <tableColumn id="6" xr3:uid="{5B56EC90-3672-4818-BF87-72D09B399FD3}" name="mL water/container" dataDxfId="2">
      <calculatedColumnFormula>F2*B2</calculatedColumnFormula>
    </tableColumn>
    <tableColumn id="5" xr3:uid="{C7399ECE-4924-4A8F-8A81-CD5C0EBAFD37}" name="% water"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E142B83-2C8A-4DCD-9044-ADA4AA627897}" name="Table5" displayName="Table5" ref="A1:K56" totalsRowShown="0">
  <autoFilter ref="A1:K56" xr:uid="{FE142B83-2C8A-4DCD-9044-ADA4AA627897}"/>
  <tableColumns count="11">
    <tableColumn id="1" xr3:uid="{C1ECDDF8-310C-4791-8032-2169F9474767}" name="Modular  "/>
    <tableColumn id="2" xr3:uid="{16D6DB36-D3B1-4DBB-985A-B703DC6595B1}" name="Unit of measurement"/>
    <tableColumn id="3" xr3:uid="{6B21D007-CC84-4465-8B7B-7A5455C417BA}" name="g/unit"/>
    <tableColumn id="4" xr3:uid="{8ECBC936-61B4-4D4A-B6CD-96F183DC9E0C}" name="kcal/unit"/>
    <tableColumn id="5" xr3:uid="{FBD50F43-75BA-481B-89F6-5E0004185CFD}" name="g protein/unit"/>
    <tableColumn id="6" xr3:uid="{0DE58298-20DE-4427-B93E-49E93F63FD74}" name="mL disp./unit" dataDxfId="0"/>
    <tableColumn id="7" xr3:uid="{2C899F7C-5103-456C-BB81-CE7ABCE5C413}" name="ml/g displacement"/>
    <tableColumn id="8" xr3:uid="{64BC5096-9B6B-4246-B24C-6CEF3614DA88}" name="g/tsp"/>
    <tableColumn id="9" xr3:uid="{5F5080E9-4F8A-4B5F-9F5A-4E0FDCB31010}" name="g/cup"/>
    <tableColumn id="11" xr3:uid="{0422EB72-626E-4662-9CA2-7F830E2D8F06}" name="mL water"/>
    <tableColumn id="10" xr3:uid="{2CDF15C5-614F-4257-8A3D-2EA93685D509}" name="g/ca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2-10-22T12:41:13.34" personId="{A66A6913-C7EC-43E1-BEEE-7876A213CAA0}" id="{DD0E1D9A-0FBA-45C8-BA86-DAC946BDBFCA}">
    <text>Use drop-down menus in green to select the formula, your patient's age/gender, and whether or not you're adding a modular.
Next, input their weight and how many mLs formula they receive over 24 hours and mLs of free water in yellow boxes. If using a modular, select how many units/day.</text>
  </threadedComment>
  <threadedComment ref="F3" dT="2022-10-03T17:41:49.63" personId="{A66A6913-C7EC-43E1-BEEE-7876A213CAA0}" id="{E94A2849-C698-403C-9775-238B723D14CD}">
    <text xml:space="preserve">Includes displacement
</text>
  </threadedComment>
  <threadedComment ref="M7" dT="2022-10-03T17:45:00.41" personId="{A66A6913-C7EC-43E1-BEEE-7876A213CAA0}" id="{55C5137A-97CF-4354-9F9C-AF2EB4F8E746}">
    <text>If catch up growth is needed, input IBW in yellow box (BMI in 50%ile). Then put the numbers in pink into the red box. Then in the estimated needs dropdown, select catch up growth</text>
  </threadedComment>
  <threadedComment ref="B24" dT="2022-10-22T12:44:19.10" personId="{A66A6913-C7EC-43E1-BEEE-7876A213CAA0}" id="{6C968C65-9C2F-4037-9F9D-AA05461B6685}">
    <text>To figure out regimen/schedule, select what percent of their formula will be provided by day time bolus feeds. Then select the number of bolus feeds and the number of hours their continuous feeds will infuse over.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CCEBD-D1D8-4D68-8549-D06E30F8A48A}">
  <sheetPr>
    <pageSetUpPr fitToPage="1"/>
  </sheetPr>
  <dimension ref="B3:T33"/>
  <sheetViews>
    <sheetView showGridLines="0" showRowColHeaders="0" workbookViewId="0">
      <selection activeCell="B24" sqref="B24"/>
    </sheetView>
  </sheetViews>
  <sheetFormatPr defaultRowHeight="14.5" x14ac:dyDescent="0.35"/>
  <cols>
    <col min="2" max="2" width="27.1796875" bestFit="1" customWidth="1"/>
    <col min="3" max="3" width="13.26953125" customWidth="1"/>
    <col min="5" max="5" width="12.1796875" customWidth="1"/>
    <col min="6" max="6" width="10.54296875" bestFit="1" customWidth="1"/>
    <col min="7" max="7" width="6.81640625" bestFit="1" customWidth="1"/>
    <col min="8" max="8" width="8.81640625" customWidth="1"/>
    <col min="9" max="9" width="7.7265625" bestFit="1" customWidth="1"/>
    <col min="10" max="10" width="8.7265625" bestFit="1" customWidth="1"/>
    <col min="11" max="11" width="11.54296875" bestFit="1" customWidth="1"/>
    <col min="14" max="14" width="10.453125" customWidth="1"/>
  </cols>
  <sheetData>
    <row r="3" spans="2:15" x14ac:dyDescent="0.35">
      <c r="B3" s="35" t="s">
        <v>0</v>
      </c>
      <c r="C3" s="1"/>
      <c r="E3" s="2" t="s">
        <v>1</v>
      </c>
      <c r="F3" s="3" t="s">
        <v>2</v>
      </c>
      <c r="G3" s="3" t="s">
        <v>3</v>
      </c>
      <c r="H3" s="3" t="s">
        <v>4</v>
      </c>
      <c r="I3" s="3" t="s">
        <v>5</v>
      </c>
      <c r="J3" s="4" t="s">
        <v>6</v>
      </c>
      <c r="K3" s="3" t="s">
        <v>7</v>
      </c>
      <c r="M3" s="2" t="s">
        <v>8</v>
      </c>
      <c r="N3" s="2" t="s">
        <v>4</v>
      </c>
      <c r="O3" s="2" t="s">
        <v>6</v>
      </c>
    </row>
    <row r="4" spans="2:15" x14ac:dyDescent="0.35">
      <c r="B4" s="27" t="s">
        <v>9</v>
      </c>
      <c r="C4" s="1">
        <f>_xlfn.XLOOKUP(B3,'Liquid Formulas Data'!A2:A44,'Liquid Formulas Data'!B2:B44)</f>
        <v>250</v>
      </c>
      <c r="D4" s="5"/>
      <c r="E4" s="6">
        <f>C10</f>
        <v>500</v>
      </c>
      <c r="F4" s="46">
        <f>C10+(C19*C17)</f>
        <v>500</v>
      </c>
      <c r="G4" s="6">
        <f>(C11*C5) +  (C14*C19)</f>
        <v>750</v>
      </c>
      <c r="H4" s="6">
        <f>G4/C9</f>
        <v>18.115942028985508</v>
      </c>
      <c r="I4" s="6">
        <f>((C6*C11) +(C15*C19))</f>
        <v>34</v>
      </c>
      <c r="J4" s="7">
        <f>I4/C9</f>
        <v>0.82125603864734298</v>
      </c>
      <c r="K4" s="6">
        <f>(E4*C7) + (C16*C19) + C20</f>
        <v>1105</v>
      </c>
      <c r="M4" s="13">
        <v>36.5</v>
      </c>
      <c r="N4" s="44">
        <f>M4*I10/C9</f>
        <v>34.384057971014492</v>
      </c>
      <c r="O4" s="45">
        <f>M4*J10/C9</f>
        <v>0.74939613526570048</v>
      </c>
    </row>
    <row r="5" spans="2:15" x14ac:dyDescent="0.35">
      <c r="B5" s="27" t="s">
        <v>10</v>
      </c>
      <c r="C5" s="26">
        <f>_xlfn.XLOOKUP(B3,'Liquid Formulas Data'!A2:A44,'Liquid Formulas Data'!C2:C44)</f>
        <v>375</v>
      </c>
      <c r="D5" s="5"/>
      <c r="E5" s="5"/>
      <c r="F5" s="5"/>
      <c r="G5" s="5"/>
    </row>
    <row r="6" spans="2:15" x14ac:dyDescent="0.35">
      <c r="B6" s="27" t="s">
        <v>11</v>
      </c>
      <c r="C6" s="1">
        <f>_xlfn.XLOOKUP(B3,'Liquid Formulas Data'!A2:A44,'Liquid Formulas Data'!D2:D44)</f>
        <v>17</v>
      </c>
      <c r="D6" s="5"/>
      <c r="E6" s="5"/>
      <c r="F6" s="5" t="s">
        <v>12</v>
      </c>
      <c r="G6" s="5" t="s">
        <v>12</v>
      </c>
    </row>
    <row r="7" spans="2:15" x14ac:dyDescent="0.35">
      <c r="B7" s="27" t="s">
        <v>13</v>
      </c>
      <c r="C7" s="29">
        <f>_xlfn.XLOOKUP(B3,'Liquid Formulas Data'!A2:A44,'Liquid Formulas Data'!F2:F44)</f>
        <v>0.77</v>
      </c>
      <c r="D7" s="5"/>
      <c r="E7" s="5"/>
      <c r="F7" s="8"/>
      <c r="G7" s="5"/>
      <c r="I7" s="52" t="s">
        <v>14</v>
      </c>
      <c r="J7" s="53"/>
      <c r="K7" s="54"/>
      <c r="M7" s="55" t="s">
        <v>15</v>
      </c>
      <c r="N7" s="55"/>
    </row>
    <row r="8" spans="2:15" x14ac:dyDescent="0.35">
      <c r="B8" s="27"/>
      <c r="C8" s="28"/>
      <c r="D8" s="5"/>
      <c r="E8" s="56" t="s">
        <v>16</v>
      </c>
      <c r="F8" s="56"/>
      <c r="G8" s="56"/>
      <c r="I8" s="57" t="s">
        <v>17</v>
      </c>
      <c r="J8" s="58"/>
      <c r="K8" s="59"/>
      <c r="M8" s="2" t="s">
        <v>4</v>
      </c>
      <c r="N8" s="2" t="s">
        <v>6</v>
      </c>
    </row>
    <row r="9" spans="2:15" x14ac:dyDescent="0.35">
      <c r="B9" s="9" t="s">
        <v>18</v>
      </c>
      <c r="C9" s="10">
        <v>41.4</v>
      </c>
      <c r="D9" s="5"/>
      <c r="E9" s="3" t="s">
        <v>19</v>
      </c>
      <c r="F9" s="3" t="s">
        <v>20</v>
      </c>
      <c r="G9" s="11" t="s">
        <v>21</v>
      </c>
      <c r="I9" s="34" t="s">
        <v>4</v>
      </c>
      <c r="J9" s="34" t="s">
        <v>6</v>
      </c>
      <c r="K9" s="34" t="s">
        <v>22</v>
      </c>
      <c r="M9" s="36">
        <v>54</v>
      </c>
      <c r="N9" s="36">
        <v>1.1599999999999999</v>
      </c>
    </row>
    <row r="10" spans="2:15" x14ac:dyDescent="0.35">
      <c r="B10" s="9" t="s">
        <v>23</v>
      </c>
      <c r="C10" s="12">
        <v>500</v>
      </c>
      <c r="D10" s="5"/>
      <c r="E10" s="9">
        <f>C9*100</f>
        <v>4140</v>
      </c>
      <c r="F10" s="9">
        <f>((C9-10)*50)+1000</f>
        <v>2570</v>
      </c>
      <c r="G10" s="15">
        <f>((C9-20)*20)+1500</f>
        <v>1928</v>
      </c>
      <c r="I10" s="15">
        <f>_xlfn.XLOOKUP(I8,'DRI Data for Liquid Formulas'!A2:A28,'DRI Data for Liquid Formulas'!B2:B28)</f>
        <v>39</v>
      </c>
      <c r="J10" s="15">
        <f>_xlfn.XLOOKUP(I8,'DRI Data for Liquid Formulas'!A2:A28,'DRI Data for Liquid Formulas'!C2:C28)</f>
        <v>0.85</v>
      </c>
      <c r="K10" s="14" cm="1">
        <f t="array" ref="K10">_xlfn.IFS(C9&lt;10, E10, C9&lt;20, F10, C9&gt;=20, G10)</f>
        <v>1928</v>
      </c>
    </row>
    <row r="11" spans="2:15" x14ac:dyDescent="0.35">
      <c r="B11" s="15" t="s">
        <v>24</v>
      </c>
      <c r="C11" s="16">
        <f>C10/C4</f>
        <v>2</v>
      </c>
      <c r="D11" s="5"/>
      <c r="E11" s="60"/>
      <c r="F11" s="60"/>
      <c r="G11" s="60"/>
      <c r="I11" s="61" t="s">
        <v>25</v>
      </c>
      <c r="J11" s="62"/>
      <c r="K11" s="63"/>
    </row>
    <row r="12" spans="2:15" x14ac:dyDescent="0.35">
      <c r="B12" s="35" t="s">
        <v>26</v>
      </c>
      <c r="C12" s="1"/>
      <c r="D12" s="5"/>
      <c r="E12" s="39"/>
      <c r="F12" s="39"/>
      <c r="G12" s="40"/>
      <c r="I12" s="17">
        <f>H4/I10</f>
        <v>0.46451133407655149</v>
      </c>
      <c r="J12" s="17">
        <f>J4/J10</f>
        <v>0.96618357487922701</v>
      </c>
      <c r="K12" s="17">
        <f>K4/K10</f>
        <v>0.57313278008298751</v>
      </c>
    </row>
    <row r="13" spans="2:15" x14ac:dyDescent="0.35">
      <c r="B13" s="1" t="s">
        <v>27</v>
      </c>
      <c r="C13" s="43">
        <f>_xlfn.XLOOKUP(B12, Modulars!A2:A54,Modulars!B2:B54)</f>
        <v>0</v>
      </c>
      <c r="D13" s="5"/>
      <c r="E13" s="39"/>
      <c r="F13" s="39"/>
      <c r="G13" s="40"/>
      <c r="I13" s="40"/>
      <c r="J13" s="40"/>
      <c r="K13" s="40"/>
    </row>
    <row r="14" spans="2:15" x14ac:dyDescent="0.35">
      <c r="B14" s="1" t="s">
        <v>28</v>
      </c>
      <c r="C14" s="1">
        <f>_xlfn.XLOOKUP(B12,Modulars!A2:A54,Modulars!D2:D54)</f>
        <v>0</v>
      </c>
      <c r="D14" s="5"/>
      <c r="E14" s="5"/>
      <c r="F14" s="5"/>
      <c r="G14" s="5"/>
    </row>
    <row r="15" spans="2:15" x14ac:dyDescent="0.35">
      <c r="B15" s="1" t="s">
        <v>29</v>
      </c>
      <c r="C15" s="42">
        <f>_xlfn.XLOOKUP(B12, Modulars!A2:A54, Modulars!E2:E54)</f>
        <v>0</v>
      </c>
      <c r="D15" s="5"/>
      <c r="E15" s="5"/>
      <c r="F15" s="5"/>
      <c r="G15" s="5"/>
    </row>
    <row r="16" spans="2:15" x14ac:dyDescent="0.35">
      <c r="B16" s="1" t="s">
        <v>30</v>
      </c>
      <c r="C16" s="42">
        <f>_xlfn.XLOOKUP(B12, Modulars!A2:A54, Modulars!J2:J54)</f>
        <v>0</v>
      </c>
      <c r="D16" s="5"/>
      <c r="E16" s="5"/>
      <c r="F16" s="5"/>
      <c r="G16" s="5"/>
    </row>
    <row r="17" spans="2:20" x14ac:dyDescent="0.35">
      <c r="B17" s="27" t="s">
        <v>31</v>
      </c>
      <c r="C17" s="27">
        <f>_xlfn.XLOOKUP(B12, Modulars!A2:A54, Modulars!F2:F54)</f>
        <v>0</v>
      </c>
      <c r="D17" s="5"/>
      <c r="E17" s="5"/>
      <c r="F17" s="5"/>
      <c r="G17" s="5"/>
    </row>
    <row r="18" spans="2:20" x14ac:dyDescent="0.35">
      <c r="B18" s="15" t="s">
        <v>32</v>
      </c>
      <c r="C18" s="15">
        <f>C14*C19</f>
        <v>0</v>
      </c>
      <c r="D18" s="5"/>
      <c r="E18" s="47"/>
      <c r="F18" s="47"/>
      <c r="G18" s="47"/>
    </row>
    <row r="19" spans="2:20" x14ac:dyDescent="0.35">
      <c r="B19" s="18" t="s">
        <v>33</v>
      </c>
      <c r="C19" s="19">
        <v>0</v>
      </c>
      <c r="D19" s="5"/>
      <c r="E19" s="41"/>
      <c r="F19" s="41"/>
      <c r="G19" s="41"/>
    </row>
    <row r="20" spans="2:20" x14ac:dyDescent="0.35">
      <c r="B20" s="15" t="s">
        <v>34</v>
      </c>
      <c r="C20" s="19">
        <f>960-240</f>
        <v>720</v>
      </c>
      <c r="G20" s="21"/>
      <c r="I20" s="21"/>
    </row>
    <row r="22" spans="2:20" x14ac:dyDescent="0.35">
      <c r="B22" s="48" t="str">
        <f>"Provides (based on wt of "&amp;$C$9&amp;" "&amp;"kg)"&amp;" "&amp;TEXT($G$4, "0")&amp;" "&amp;$G$3&amp;", "&amp;TEXT($H$4, "0")&amp;" "&amp;$H$3&amp;", "&amp;TEXT($I$4, "0")&amp;" "&amp;$I$3&amp;", "&amp;TEXT($J$4, "0.0")&amp;" "&amp;$J$3&amp;", "&amp;TEXT($K$4, "0")&amp;" "&amp;$K$3&amp;" (meets "&amp;TEXT($I$12, "0%")&amp;" estimated energy needs, "&amp;TEXT($J$12, "0%")&amp;" estimated protein needs, and "&amp;TEXT($K$12, "0%")&amp;" estimated fluid needs)"</f>
        <v>Provides (based on wt of 41.4 kg) 750 kcal/d, 18 kcal/kg, 34 g pro/d, 0.8 g pro/kg, 1105 mL water/d (meets 46% estimated energy needs, 97% estimated protein needs, and 57% estimated fluid needs)</v>
      </c>
      <c r="C22" s="49"/>
      <c r="D22" s="49"/>
      <c r="E22" s="49"/>
      <c r="F22" s="49"/>
      <c r="G22" s="49"/>
      <c r="H22" s="49"/>
      <c r="I22" s="49"/>
      <c r="J22" s="49"/>
      <c r="K22" s="49"/>
      <c r="L22" s="49"/>
      <c r="M22" s="49"/>
      <c r="N22" s="49"/>
      <c r="O22" s="49"/>
      <c r="P22" s="49"/>
      <c r="Q22" s="49"/>
      <c r="R22" s="49"/>
      <c r="S22" s="49"/>
      <c r="T22" s="50"/>
    </row>
    <row r="23" spans="2:20" x14ac:dyDescent="0.35">
      <c r="B23" s="5"/>
      <c r="C23" s="5"/>
      <c r="D23" s="5"/>
      <c r="E23" s="5"/>
      <c r="F23" s="5"/>
      <c r="G23" s="5"/>
    </row>
    <row r="24" spans="2:20" x14ac:dyDescent="0.35">
      <c r="B24" s="2" t="s">
        <v>35</v>
      </c>
      <c r="C24" s="15"/>
      <c r="E24" s="2" t="s">
        <v>36</v>
      </c>
      <c r="F24" s="2" t="s">
        <v>37</v>
      </c>
      <c r="G24" s="2" t="s">
        <v>38</v>
      </c>
      <c r="H24" s="2" t="s">
        <v>39</v>
      </c>
    </row>
    <row r="25" spans="2:20" x14ac:dyDescent="0.35">
      <c r="B25" s="15" t="s">
        <v>40</v>
      </c>
      <c r="C25" s="22">
        <v>0.6</v>
      </c>
      <c r="E25" s="15">
        <f>F4</f>
        <v>500</v>
      </c>
      <c r="F25" s="20">
        <f>E25*C25/C26</f>
        <v>75</v>
      </c>
      <c r="G25" s="20">
        <f>E25*C27/C28</f>
        <v>25</v>
      </c>
      <c r="H25" s="20">
        <f>F25/C29*60</f>
        <v>75</v>
      </c>
    </row>
    <row r="26" spans="2:20" x14ac:dyDescent="0.35">
      <c r="B26" s="15" t="s">
        <v>41</v>
      </c>
      <c r="C26" s="13">
        <v>4</v>
      </c>
    </row>
    <row r="27" spans="2:20" x14ac:dyDescent="0.35">
      <c r="B27" s="15" t="s">
        <v>42</v>
      </c>
      <c r="C27" s="23">
        <f>1-C25</f>
        <v>0.4</v>
      </c>
      <c r="F27" t="s">
        <v>12</v>
      </c>
    </row>
    <row r="28" spans="2:20" x14ac:dyDescent="0.35">
      <c r="B28" s="15" t="s">
        <v>43</v>
      </c>
      <c r="C28" s="13">
        <v>8</v>
      </c>
      <c r="F28" t="s">
        <v>12</v>
      </c>
    </row>
    <row r="29" spans="2:20" x14ac:dyDescent="0.35">
      <c r="B29" s="15" t="s">
        <v>44</v>
      </c>
      <c r="C29" s="13">
        <v>60</v>
      </c>
      <c r="M29" t="s">
        <v>12</v>
      </c>
    </row>
    <row r="30" spans="2:20" x14ac:dyDescent="0.35">
      <c r="B30" s="5"/>
      <c r="C30" s="5"/>
      <c r="D30" s="5"/>
      <c r="E30" s="5"/>
      <c r="F30" s="5"/>
      <c r="G30" s="5"/>
      <c r="M30" t="s">
        <v>12</v>
      </c>
    </row>
    <row r="31" spans="2:20" x14ac:dyDescent="0.35">
      <c r="B31" s="24" t="s">
        <v>45</v>
      </c>
    </row>
    <row r="32" spans="2:20" x14ac:dyDescent="0.35">
      <c r="B32" s="51" t="str">
        <f>"Day time:  "&amp;TEXT(F25, "0")&amp;" mL/fdg for "&amp;C26&amp;" feeds per day at rate of "&amp;TEXT(H25, "0")&amp;"mL/hr"</f>
        <v>Day time:  75 mL/fdg for 4 feeds per day at rate of 75mL/hr</v>
      </c>
      <c r="C32" s="51"/>
      <c r="D32" s="51"/>
      <c r="E32" s="51"/>
      <c r="F32" s="51"/>
      <c r="G32" s="51"/>
      <c r="H32" s="37"/>
      <c r="I32" s="37"/>
      <c r="J32" s="37"/>
      <c r="K32" s="37"/>
      <c r="L32" s="37"/>
      <c r="M32" s="37"/>
      <c r="N32" s="37"/>
      <c r="O32" s="37"/>
      <c r="P32" s="37"/>
      <c r="Q32" s="37"/>
      <c r="R32" s="37"/>
      <c r="S32" s="37"/>
      <c r="T32" s="37"/>
    </row>
    <row r="33" spans="2:7" x14ac:dyDescent="0.35">
      <c r="B33" s="51" t="str">
        <f>"Night time: "&amp;TEXT(G25*C28, "0")&amp;" mL infused over "&amp;C28&amp;" hours at "&amp;TEXT(G25, "0")&amp;G24</f>
        <v>Night time: 200 mL infused over 8 hours at 25ml/hr</v>
      </c>
      <c r="C33" s="51"/>
      <c r="D33" s="51"/>
      <c r="E33" s="51"/>
      <c r="F33" s="51"/>
      <c r="G33" s="51"/>
    </row>
  </sheetData>
  <sheetProtection algorithmName="SHA-512" hashValue="17FaTCBViMUPp2yGIxSobmfQdVwtiQyizoMDTyw7idUgBLrTxUwpv0LxS/m7KUIDQ9Lxk5a2/HLKcJQZyaU7YQ==" saltValue="dnImDMDmCg1en7uJBYX86w==" spinCount="100000" sheet="1" objects="1" scenarios="1"/>
  <protectedRanges>
    <protectedRange sqref="M14 C9:C10 C19:C20 C25:C26 C28:C29 M4 M9:N9 I8:K8 B3 B12" name="Range1"/>
    <protectedRange sqref="B12" name="Range2"/>
  </protectedRanges>
  <mergeCells count="10">
    <mergeCell ref="E18:G18"/>
    <mergeCell ref="B22:T22"/>
    <mergeCell ref="B32:G32"/>
    <mergeCell ref="B33:G33"/>
    <mergeCell ref="I7:K7"/>
    <mergeCell ref="M7:N7"/>
    <mergeCell ref="E8:G8"/>
    <mergeCell ref="I8:K8"/>
    <mergeCell ref="E11:G11"/>
    <mergeCell ref="I11:K11"/>
  </mergeCells>
  <dataValidations count="1">
    <dataValidation allowBlank="1" showInputMessage="1" showErrorMessage="1" sqref="B13" xr:uid="{417FFB16-D6E8-47C0-9231-4A4A51E34173}"/>
  </dataValidations>
  <printOptions horizontalCentered="1"/>
  <pageMargins left="0.7" right="0.7" top="0.75" bottom="0.75" header="0.3" footer="0.3"/>
  <pageSetup fitToHeight="0" orientation="landscape"/>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F4593432-BFC4-489F-93A1-8786E810E729}">
          <x14:formula1>
            <xm:f>'DRI Data for Liquid Formulas'!A2:A28</xm:f>
          </x14:formula1>
          <xm:sqref>I8:K8</xm:sqref>
        </x14:dataValidation>
        <x14:dataValidation type="list" allowBlank="1" showInputMessage="1" showErrorMessage="1" xr:uid="{4A79030C-B951-4C4E-92DC-17493D64FAE6}">
          <x14:formula1>
            <xm:f>'Liquid Formulas Data'!A2:A44</xm:f>
          </x14:formula1>
          <xm:sqref>B3</xm:sqref>
        </x14:dataValidation>
        <x14:dataValidation type="list" allowBlank="1" showInputMessage="1" showErrorMessage="1" xr:uid="{D01AD967-126D-465D-A387-070AB70A89CE}">
          <x14:formula1>
            <xm:f>Modulars!A2:A54</xm:f>
          </x14:formula1>
          <xm:sqref>B12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59A96-FEA9-4606-9881-BFDFBD8081A5}">
  <dimension ref="A1:R31"/>
  <sheetViews>
    <sheetView workbookViewId="0">
      <selection activeCell="C28" sqref="C28"/>
    </sheetView>
  </sheetViews>
  <sheetFormatPr defaultRowHeight="14.5" x14ac:dyDescent="0.35"/>
  <cols>
    <col min="1" max="1" width="34.453125" customWidth="1"/>
    <col min="2" max="2" width="9.81640625" bestFit="1" customWidth="1"/>
    <col min="3" max="3" width="19" customWidth="1"/>
    <col min="18" max="18" width="35" customWidth="1"/>
  </cols>
  <sheetData>
    <row r="1" spans="1:18" x14ac:dyDescent="0.35">
      <c r="A1" t="s">
        <v>48</v>
      </c>
      <c r="B1" t="s">
        <v>4</v>
      </c>
      <c r="C1" t="s">
        <v>49</v>
      </c>
    </row>
    <row r="2" spans="1:18" x14ac:dyDescent="0.35">
      <c r="A2" t="s">
        <v>50</v>
      </c>
      <c r="B2">
        <v>102</v>
      </c>
      <c r="C2">
        <v>1.5</v>
      </c>
    </row>
    <row r="3" spans="1:18" x14ac:dyDescent="0.35">
      <c r="A3" t="s">
        <v>51</v>
      </c>
      <c r="B3">
        <v>102</v>
      </c>
      <c r="C3">
        <v>1.5</v>
      </c>
    </row>
    <row r="4" spans="1:18" x14ac:dyDescent="0.35">
      <c r="A4" t="s">
        <v>52</v>
      </c>
      <c r="B4">
        <v>82</v>
      </c>
      <c r="C4">
        <v>1.5</v>
      </c>
    </row>
    <row r="5" spans="1:18" x14ac:dyDescent="0.35">
      <c r="A5" t="s">
        <v>53</v>
      </c>
      <c r="B5">
        <v>108</v>
      </c>
      <c r="C5">
        <v>1.5</v>
      </c>
    </row>
    <row r="6" spans="1:18" x14ac:dyDescent="0.35">
      <c r="A6" t="s">
        <v>54</v>
      </c>
      <c r="B6">
        <v>80</v>
      </c>
      <c r="C6">
        <v>1.5</v>
      </c>
      <c r="R6" s="31"/>
    </row>
    <row r="7" spans="1:18" x14ac:dyDescent="0.35">
      <c r="A7" t="s">
        <v>55</v>
      </c>
      <c r="B7">
        <v>98</v>
      </c>
      <c r="C7">
        <v>1.5</v>
      </c>
      <c r="R7" s="32"/>
    </row>
    <row r="8" spans="1:18" x14ac:dyDescent="0.35">
      <c r="A8" t="s">
        <v>56</v>
      </c>
      <c r="B8">
        <v>82</v>
      </c>
      <c r="C8">
        <v>1.1000000000000001</v>
      </c>
      <c r="R8" s="31"/>
    </row>
    <row r="9" spans="1:18" x14ac:dyDescent="0.35">
      <c r="A9" t="s">
        <v>57</v>
      </c>
      <c r="B9">
        <v>102</v>
      </c>
      <c r="C9">
        <v>1.1000000000000001</v>
      </c>
      <c r="R9" s="31"/>
    </row>
    <row r="10" spans="1:18" x14ac:dyDescent="0.35">
      <c r="A10" t="s">
        <v>58</v>
      </c>
      <c r="B10">
        <v>85</v>
      </c>
      <c r="C10">
        <v>1.1000000000000001</v>
      </c>
      <c r="R10" s="31"/>
    </row>
    <row r="11" spans="1:18" x14ac:dyDescent="0.35">
      <c r="A11" t="s">
        <v>59</v>
      </c>
      <c r="B11">
        <v>70</v>
      </c>
      <c r="C11">
        <v>0.95</v>
      </c>
      <c r="R11" s="31"/>
    </row>
    <row r="12" spans="1:18" x14ac:dyDescent="0.35">
      <c r="A12" t="s">
        <v>60</v>
      </c>
      <c r="B12">
        <v>64</v>
      </c>
      <c r="C12">
        <v>0.95</v>
      </c>
      <c r="R12" s="33"/>
    </row>
    <row r="13" spans="1:18" x14ac:dyDescent="0.35">
      <c r="A13" t="s">
        <v>61</v>
      </c>
      <c r="B13">
        <v>59</v>
      </c>
      <c r="C13">
        <v>0.95</v>
      </c>
      <c r="R13" s="33"/>
    </row>
    <row r="14" spans="1:18" x14ac:dyDescent="0.35">
      <c r="A14" t="s">
        <v>62</v>
      </c>
      <c r="B14">
        <v>49</v>
      </c>
      <c r="C14">
        <v>0.95</v>
      </c>
      <c r="R14" s="33"/>
    </row>
    <row r="15" spans="1:18" x14ac:dyDescent="0.35">
      <c r="A15" t="s">
        <v>63</v>
      </c>
      <c r="B15">
        <v>44</v>
      </c>
      <c r="C15">
        <v>0.95</v>
      </c>
      <c r="R15" s="33"/>
    </row>
    <row r="16" spans="1:18" x14ac:dyDescent="0.35">
      <c r="A16" t="s">
        <v>17</v>
      </c>
      <c r="B16">
        <v>39</v>
      </c>
      <c r="C16">
        <v>0.85</v>
      </c>
      <c r="R16" s="33"/>
    </row>
    <row r="17" spans="1:18" x14ac:dyDescent="0.35">
      <c r="A17" t="s">
        <v>64</v>
      </c>
      <c r="B17">
        <v>37</v>
      </c>
      <c r="C17">
        <v>0.85</v>
      </c>
      <c r="R17" s="33"/>
    </row>
    <row r="18" spans="1:18" x14ac:dyDescent="0.35">
      <c r="A18" t="s">
        <v>65</v>
      </c>
      <c r="B18">
        <v>36</v>
      </c>
      <c r="C18">
        <v>0.8</v>
      </c>
      <c r="R18" s="33"/>
    </row>
    <row r="19" spans="1:18" x14ac:dyDescent="0.35">
      <c r="A19" t="s">
        <v>66</v>
      </c>
      <c r="B19">
        <v>82</v>
      </c>
      <c r="C19">
        <v>1.1000000000000001</v>
      </c>
      <c r="R19" s="33"/>
    </row>
    <row r="20" spans="1:18" x14ac:dyDescent="0.35">
      <c r="A20" t="s">
        <v>67</v>
      </c>
      <c r="B20">
        <v>65</v>
      </c>
      <c r="C20">
        <v>0.95</v>
      </c>
      <c r="R20" s="33"/>
    </row>
    <row r="21" spans="1:18" x14ac:dyDescent="0.35">
      <c r="A21" t="s">
        <v>68</v>
      </c>
      <c r="B21">
        <v>61</v>
      </c>
      <c r="C21">
        <v>0.95</v>
      </c>
      <c r="R21" s="33"/>
    </row>
    <row r="22" spans="1:18" x14ac:dyDescent="0.35">
      <c r="A22" t="s">
        <v>69</v>
      </c>
      <c r="B22">
        <v>59</v>
      </c>
      <c r="C22">
        <v>0.95</v>
      </c>
      <c r="R22" s="31"/>
    </row>
    <row r="23" spans="1:18" x14ac:dyDescent="0.35">
      <c r="A23" t="s">
        <v>70</v>
      </c>
      <c r="B23">
        <v>42</v>
      </c>
      <c r="C23">
        <v>0.95</v>
      </c>
      <c r="R23" s="33"/>
    </row>
    <row r="24" spans="1:18" x14ac:dyDescent="0.35">
      <c r="A24" t="s">
        <v>71</v>
      </c>
      <c r="B24">
        <v>40</v>
      </c>
      <c r="C24">
        <v>0.95</v>
      </c>
      <c r="R24" s="33"/>
    </row>
    <row r="25" spans="1:18" x14ac:dyDescent="0.35">
      <c r="A25" t="s">
        <v>72</v>
      </c>
      <c r="B25">
        <v>33</v>
      </c>
      <c r="C25">
        <v>0.85</v>
      </c>
      <c r="R25" s="33"/>
    </row>
    <row r="26" spans="1:18" x14ac:dyDescent="0.35">
      <c r="A26" t="s">
        <v>73</v>
      </c>
      <c r="B26">
        <v>31</v>
      </c>
      <c r="C26">
        <v>0.85</v>
      </c>
      <c r="R26" s="33"/>
    </row>
    <row r="27" spans="1:18" x14ac:dyDescent="0.35">
      <c r="A27" t="s">
        <v>74</v>
      </c>
      <c r="B27">
        <v>34</v>
      </c>
      <c r="C27">
        <v>0.8</v>
      </c>
      <c r="R27" s="33"/>
    </row>
    <row r="28" spans="1:18" x14ac:dyDescent="0.35">
      <c r="A28" t="s">
        <v>47</v>
      </c>
      <c r="B28" s="21">
        <f>('Calculator for Liquid Formulas'!M9)</f>
        <v>54</v>
      </c>
      <c r="C28" s="21">
        <f>('Calculator for Liquid Formulas'!N9)</f>
        <v>1.1599999999999999</v>
      </c>
      <c r="R28" s="33"/>
    </row>
    <row r="29" spans="1:18" x14ac:dyDescent="0.35">
      <c r="R29" s="33"/>
    </row>
    <row r="30" spans="1:18" x14ac:dyDescent="0.35">
      <c r="R30" s="33"/>
    </row>
    <row r="31" spans="1:18" x14ac:dyDescent="0.35">
      <c r="R31" s="33"/>
    </row>
  </sheetData>
  <sheetProtection algorithmName="SHA-512" hashValue="NFjK9mGCZAaeXoPz7B1+Iwyqb32/9JjlhuGUmx1CoWw3yJ6ZxACEZLesAxY+4x+XlpPFxZgtW+oiA/XYfQLt8Q==" saltValue="NfQnQlGWWFva6Gll73JXmw==" spinCount="100000" sheet="1" objects="1" scenarios="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
  <sheetViews>
    <sheetView topLeftCell="A14" workbookViewId="0">
      <selection activeCell="J23" sqref="J23"/>
    </sheetView>
  </sheetViews>
  <sheetFormatPr defaultRowHeight="14.5" x14ac:dyDescent="0.35"/>
  <cols>
    <col min="1" max="1" width="28.54296875" bestFit="1" customWidth="1"/>
    <col min="2" max="2" width="15.7265625" bestFit="1" customWidth="1"/>
    <col min="3" max="3" width="16.54296875" bestFit="1" customWidth="1"/>
    <col min="4" max="4" width="21.1796875" bestFit="1" customWidth="1"/>
    <col min="5" max="5" width="21.1796875" customWidth="1"/>
    <col min="6" max="6" width="10.7265625" bestFit="1" customWidth="1"/>
  </cols>
  <sheetData>
    <row r="1" spans="1:6" x14ac:dyDescent="0.35">
      <c r="A1" t="s">
        <v>75</v>
      </c>
      <c r="B1" t="s">
        <v>76</v>
      </c>
      <c r="C1" t="s">
        <v>77</v>
      </c>
      <c r="D1" t="s">
        <v>78</v>
      </c>
      <c r="E1" t="s">
        <v>79</v>
      </c>
      <c r="F1" t="s">
        <v>13</v>
      </c>
    </row>
    <row r="2" spans="1:6" x14ac:dyDescent="0.35">
      <c r="A2" t="s">
        <v>80</v>
      </c>
      <c r="B2">
        <v>237</v>
      </c>
      <c r="C2">
        <v>240</v>
      </c>
      <c r="D2">
        <v>7</v>
      </c>
      <c r="E2" s="21">
        <f t="shared" ref="E2:E44" si="0">F2*B2</f>
        <v>201.45</v>
      </c>
      <c r="F2" s="25">
        <v>0.85</v>
      </c>
    </row>
    <row r="3" spans="1:6" x14ac:dyDescent="0.35">
      <c r="A3" t="s">
        <v>81</v>
      </c>
      <c r="B3">
        <v>237</v>
      </c>
      <c r="C3">
        <v>360</v>
      </c>
      <c r="D3">
        <v>10</v>
      </c>
      <c r="E3" s="21">
        <f t="shared" si="0"/>
        <v>184.86</v>
      </c>
      <c r="F3" s="25">
        <v>0.78</v>
      </c>
    </row>
    <row r="4" spans="1:6" x14ac:dyDescent="0.35">
      <c r="A4" t="s">
        <v>82</v>
      </c>
      <c r="B4">
        <v>237</v>
      </c>
      <c r="C4">
        <v>240</v>
      </c>
      <c r="D4">
        <v>10</v>
      </c>
      <c r="E4" s="21">
        <f t="shared" si="0"/>
        <v>199.07999999999998</v>
      </c>
      <c r="F4" s="25">
        <v>0.84</v>
      </c>
    </row>
    <row r="5" spans="1:6" x14ac:dyDescent="0.35">
      <c r="A5" t="s">
        <v>83</v>
      </c>
      <c r="B5">
        <v>237</v>
      </c>
      <c r="C5">
        <v>360</v>
      </c>
      <c r="D5">
        <v>14</v>
      </c>
      <c r="E5" s="21">
        <f t="shared" si="0"/>
        <v>182.49</v>
      </c>
      <c r="F5" s="25">
        <v>0.77</v>
      </c>
    </row>
    <row r="6" spans="1:6" x14ac:dyDescent="0.35">
      <c r="A6" t="s">
        <v>84</v>
      </c>
      <c r="B6">
        <v>250</v>
      </c>
      <c r="C6">
        <v>265</v>
      </c>
      <c r="D6">
        <v>12</v>
      </c>
      <c r="E6" s="21">
        <f t="shared" si="0"/>
        <v>207.5</v>
      </c>
      <c r="F6" s="25">
        <v>0.83</v>
      </c>
    </row>
    <row r="7" spans="1:6" x14ac:dyDescent="0.35">
      <c r="A7" t="s">
        <v>85</v>
      </c>
      <c r="B7">
        <v>300</v>
      </c>
      <c r="C7">
        <v>380</v>
      </c>
      <c r="D7">
        <v>19</v>
      </c>
      <c r="E7" s="21">
        <f t="shared" si="0"/>
        <v>243.00000000000003</v>
      </c>
      <c r="F7" s="25">
        <v>0.81</v>
      </c>
    </row>
    <row r="8" spans="1:6" x14ac:dyDescent="0.35">
      <c r="A8" t="s">
        <v>86</v>
      </c>
      <c r="B8">
        <v>300</v>
      </c>
      <c r="C8">
        <v>360</v>
      </c>
      <c r="D8">
        <v>13</v>
      </c>
      <c r="E8" s="21">
        <f t="shared" si="0"/>
        <v>245.99999999999997</v>
      </c>
      <c r="F8" s="25">
        <v>0.82</v>
      </c>
    </row>
    <row r="9" spans="1:6" x14ac:dyDescent="0.35">
      <c r="A9" t="s">
        <v>87</v>
      </c>
      <c r="B9">
        <v>250</v>
      </c>
      <c r="C9">
        <v>375</v>
      </c>
      <c r="D9">
        <v>13</v>
      </c>
      <c r="E9" s="21">
        <f t="shared" si="0"/>
        <v>192.5</v>
      </c>
      <c r="F9" s="25">
        <v>0.77</v>
      </c>
    </row>
    <row r="10" spans="1:6" x14ac:dyDescent="0.35">
      <c r="A10" t="s">
        <v>88</v>
      </c>
      <c r="B10">
        <v>250</v>
      </c>
      <c r="C10">
        <v>250</v>
      </c>
      <c r="D10">
        <v>8</v>
      </c>
      <c r="E10" s="21">
        <f t="shared" si="0"/>
        <v>210</v>
      </c>
      <c r="F10" s="25">
        <v>0.84</v>
      </c>
    </row>
    <row r="11" spans="1:6" x14ac:dyDescent="0.35">
      <c r="A11" t="s">
        <v>89</v>
      </c>
      <c r="B11">
        <v>250</v>
      </c>
      <c r="C11">
        <v>350</v>
      </c>
      <c r="D11">
        <v>11</v>
      </c>
      <c r="E11" s="21">
        <f t="shared" si="0"/>
        <v>197</v>
      </c>
      <c r="F11" s="25">
        <v>0.78800000000000003</v>
      </c>
    </row>
    <row r="12" spans="1:6" x14ac:dyDescent="0.35">
      <c r="A12" t="s">
        <v>90</v>
      </c>
      <c r="B12">
        <v>250</v>
      </c>
      <c r="C12">
        <v>150</v>
      </c>
      <c r="D12">
        <v>7.5</v>
      </c>
      <c r="E12" s="21">
        <f t="shared" si="0"/>
        <v>225</v>
      </c>
      <c r="F12" s="25">
        <v>0.9</v>
      </c>
    </row>
    <row r="13" spans="1:6" x14ac:dyDescent="0.35">
      <c r="A13" t="s">
        <v>91</v>
      </c>
      <c r="B13">
        <v>250</v>
      </c>
      <c r="C13">
        <v>250</v>
      </c>
      <c r="D13">
        <v>9.5</v>
      </c>
      <c r="E13" s="21">
        <f t="shared" si="0"/>
        <v>210</v>
      </c>
      <c r="F13" s="25">
        <v>0.84</v>
      </c>
    </row>
    <row r="14" spans="1:6" x14ac:dyDescent="0.35">
      <c r="A14" t="s">
        <v>92</v>
      </c>
      <c r="B14">
        <v>250</v>
      </c>
      <c r="C14">
        <v>375</v>
      </c>
      <c r="D14">
        <v>18</v>
      </c>
      <c r="E14" s="21">
        <f t="shared" si="0"/>
        <v>190</v>
      </c>
      <c r="F14" s="25">
        <v>0.76</v>
      </c>
    </row>
    <row r="15" spans="1:6" x14ac:dyDescent="0.35">
      <c r="A15" t="s">
        <v>93</v>
      </c>
      <c r="B15">
        <v>237</v>
      </c>
      <c r="C15">
        <v>285</v>
      </c>
      <c r="D15">
        <v>14</v>
      </c>
      <c r="E15" s="21">
        <f t="shared" si="0"/>
        <v>184.86</v>
      </c>
      <c r="F15" s="25">
        <v>0.78</v>
      </c>
    </row>
    <row r="16" spans="1:6" x14ac:dyDescent="0.35">
      <c r="A16" t="s">
        <v>94</v>
      </c>
      <c r="B16">
        <v>237</v>
      </c>
      <c r="C16">
        <v>250</v>
      </c>
      <c r="D16">
        <v>9</v>
      </c>
      <c r="E16" s="21">
        <f t="shared" si="0"/>
        <v>199.07999999999998</v>
      </c>
      <c r="F16" s="25">
        <v>0.84</v>
      </c>
    </row>
    <row r="17" spans="1:6" x14ac:dyDescent="0.35">
      <c r="A17" t="s">
        <v>95</v>
      </c>
      <c r="B17">
        <v>237</v>
      </c>
      <c r="C17">
        <v>350</v>
      </c>
      <c r="D17">
        <v>13</v>
      </c>
      <c r="E17" s="21">
        <f t="shared" si="0"/>
        <v>184.86</v>
      </c>
      <c r="F17" s="25">
        <v>0.78</v>
      </c>
    </row>
    <row r="18" spans="1:6" x14ac:dyDescent="0.35">
      <c r="A18" t="s">
        <v>96</v>
      </c>
      <c r="B18">
        <v>250</v>
      </c>
      <c r="C18">
        <v>375</v>
      </c>
      <c r="D18">
        <v>17</v>
      </c>
      <c r="E18" s="21">
        <f t="shared" si="0"/>
        <v>190</v>
      </c>
      <c r="F18" s="25">
        <v>0.76</v>
      </c>
    </row>
    <row r="19" spans="1:6" x14ac:dyDescent="0.35">
      <c r="A19" t="s">
        <v>97</v>
      </c>
      <c r="B19">
        <v>250</v>
      </c>
      <c r="C19">
        <v>250</v>
      </c>
      <c r="D19">
        <v>9</v>
      </c>
      <c r="E19" s="21">
        <f t="shared" si="0"/>
        <v>200</v>
      </c>
      <c r="F19" s="25">
        <v>0.8</v>
      </c>
    </row>
    <row r="20" spans="1:6" x14ac:dyDescent="0.35">
      <c r="A20" s="30" t="s">
        <v>98</v>
      </c>
      <c r="B20">
        <v>250</v>
      </c>
      <c r="C20">
        <v>375</v>
      </c>
      <c r="D20">
        <v>13</v>
      </c>
      <c r="E20" s="21">
        <f t="shared" si="0"/>
        <v>175</v>
      </c>
      <c r="F20" s="25">
        <v>0.7</v>
      </c>
    </row>
    <row r="21" spans="1:6" x14ac:dyDescent="0.35">
      <c r="A21" t="s">
        <v>99</v>
      </c>
      <c r="B21">
        <v>325</v>
      </c>
      <c r="C21">
        <v>325</v>
      </c>
      <c r="D21">
        <v>16</v>
      </c>
      <c r="E21" s="21">
        <f t="shared" si="0"/>
        <v>256.75</v>
      </c>
      <c r="F21" s="25">
        <v>0.79</v>
      </c>
    </row>
    <row r="22" spans="1:6" x14ac:dyDescent="0.35">
      <c r="A22" t="s">
        <v>100</v>
      </c>
      <c r="B22">
        <v>325</v>
      </c>
      <c r="C22">
        <v>500</v>
      </c>
      <c r="D22">
        <v>24</v>
      </c>
      <c r="E22" s="21">
        <f t="shared" si="0"/>
        <v>227.49999999999997</v>
      </c>
      <c r="F22" s="25">
        <v>0.7</v>
      </c>
    </row>
    <row r="23" spans="1:6" x14ac:dyDescent="0.35">
      <c r="A23" t="s">
        <v>101</v>
      </c>
      <c r="B23">
        <v>325</v>
      </c>
      <c r="C23">
        <v>455</v>
      </c>
      <c r="D23">
        <v>20</v>
      </c>
      <c r="E23" s="21">
        <f t="shared" si="0"/>
        <v>234</v>
      </c>
      <c r="F23" s="25">
        <v>0.72</v>
      </c>
    </row>
    <row r="24" spans="1:6" x14ac:dyDescent="0.35">
      <c r="A24" t="s">
        <v>102</v>
      </c>
      <c r="B24">
        <v>250</v>
      </c>
      <c r="C24">
        <v>300</v>
      </c>
      <c r="D24">
        <v>12</v>
      </c>
      <c r="E24" s="21">
        <f t="shared" si="0"/>
        <v>187.5</v>
      </c>
      <c r="F24" s="25">
        <v>0.75</v>
      </c>
    </row>
    <row r="25" spans="1:6" x14ac:dyDescent="0.35">
      <c r="A25" t="s">
        <v>103</v>
      </c>
      <c r="B25">
        <v>237</v>
      </c>
      <c r="C25">
        <v>237</v>
      </c>
      <c r="D25">
        <v>7.1</v>
      </c>
      <c r="E25" s="21">
        <f t="shared" si="0"/>
        <v>201.45</v>
      </c>
      <c r="F25" s="25">
        <v>0.85</v>
      </c>
    </row>
    <row r="26" spans="1:6" x14ac:dyDescent="0.35">
      <c r="A26" t="s">
        <v>104</v>
      </c>
      <c r="B26">
        <v>300</v>
      </c>
      <c r="C26">
        <v>400</v>
      </c>
      <c r="D26">
        <v>14</v>
      </c>
      <c r="E26" s="21">
        <f t="shared" si="0"/>
        <v>219</v>
      </c>
      <c r="F26" s="25">
        <v>0.73</v>
      </c>
    </row>
    <row r="27" spans="1:6" x14ac:dyDescent="0.35">
      <c r="A27" t="s">
        <v>105</v>
      </c>
      <c r="B27">
        <v>300</v>
      </c>
      <c r="C27">
        <v>520</v>
      </c>
      <c r="D27">
        <v>16</v>
      </c>
      <c r="E27" s="21">
        <f t="shared" si="0"/>
        <v>138</v>
      </c>
      <c r="F27" s="25">
        <v>0.46</v>
      </c>
    </row>
    <row r="28" spans="1:6" x14ac:dyDescent="0.35">
      <c r="A28" t="s">
        <v>106</v>
      </c>
      <c r="B28">
        <v>250</v>
      </c>
      <c r="C28">
        <v>250</v>
      </c>
      <c r="D28">
        <v>10</v>
      </c>
      <c r="E28" s="21">
        <f t="shared" si="0"/>
        <v>210</v>
      </c>
      <c r="F28" s="25">
        <v>0.84</v>
      </c>
    </row>
    <row r="29" spans="1:6" x14ac:dyDescent="0.35">
      <c r="A29" t="s">
        <v>107</v>
      </c>
      <c r="B29">
        <v>250</v>
      </c>
      <c r="C29">
        <v>375</v>
      </c>
      <c r="D29">
        <v>17</v>
      </c>
      <c r="E29" s="21">
        <f t="shared" si="0"/>
        <v>190</v>
      </c>
      <c r="F29" s="25">
        <v>0.76</v>
      </c>
    </row>
    <row r="30" spans="1:6" x14ac:dyDescent="0.35">
      <c r="A30" t="s">
        <v>108</v>
      </c>
      <c r="B30">
        <v>250</v>
      </c>
      <c r="C30">
        <v>500</v>
      </c>
      <c r="D30">
        <v>21</v>
      </c>
      <c r="E30" s="21">
        <f t="shared" si="0"/>
        <v>172.5</v>
      </c>
      <c r="F30" s="25">
        <v>0.69</v>
      </c>
    </row>
    <row r="31" spans="1:6" x14ac:dyDescent="0.35">
      <c r="A31" t="s">
        <v>109</v>
      </c>
      <c r="B31">
        <v>250</v>
      </c>
      <c r="C31">
        <v>250</v>
      </c>
      <c r="D31">
        <v>7.5</v>
      </c>
      <c r="E31" s="21">
        <f t="shared" si="0"/>
        <v>212.5</v>
      </c>
      <c r="F31" s="25">
        <v>0.85</v>
      </c>
    </row>
    <row r="32" spans="1:6" x14ac:dyDescent="0.35">
      <c r="A32" t="s">
        <v>110</v>
      </c>
      <c r="B32">
        <v>237</v>
      </c>
      <c r="C32">
        <v>350</v>
      </c>
      <c r="D32">
        <v>14</v>
      </c>
      <c r="E32" s="21">
        <f t="shared" si="0"/>
        <v>184.86</v>
      </c>
      <c r="F32" s="25">
        <v>0.78</v>
      </c>
    </row>
    <row r="33" spans="1:6" x14ac:dyDescent="0.35">
      <c r="A33" t="s">
        <v>111</v>
      </c>
      <c r="B33">
        <v>237</v>
      </c>
      <c r="C33">
        <v>240</v>
      </c>
      <c r="D33">
        <v>7</v>
      </c>
      <c r="E33" s="21">
        <f t="shared" si="0"/>
        <v>199.07999999999998</v>
      </c>
      <c r="F33" s="25">
        <v>0.84</v>
      </c>
    </row>
    <row r="34" spans="1:6" x14ac:dyDescent="0.35">
      <c r="A34" t="s">
        <v>112</v>
      </c>
      <c r="B34">
        <v>237</v>
      </c>
      <c r="C34">
        <v>240</v>
      </c>
      <c r="D34">
        <v>6</v>
      </c>
      <c r="E34" s="21">
        <f t="shared" si="0"/>
        <v>199.07999999999998</v>
      </c>
      <c r="F34" s="25">
        <v>0.84</v>
      </c>
    </row>
    <row r="35" spans="1:6" x14ac:dyDescent="0.35">
      <c r="A35" t="s">
        <v>113</v>
      </c>
      <c r="B35">
        <v>237</v>
      </c>
      <c r="C35">
        <v>240</v>
      </c>
      <c r="D35">
        <v>9</v>
      </c>
      <c r="E35" s="21">
        <f t="shared" si="0"/>
        <v>196.70999999999998</v>
      </c>
      <c r="F35" s="25">
        <v>0.83</v>
      </c>
    </row>
    <row r="36" spans="1:6" x14ac:dyDescent="0.35">
      <c r="A36" t="s">
        <v>114</v>
      </c>
      <c r="B36">
        <v>237</v>
      </c>
      <c r="C36">
        <v>237</v>
      </c>
      <c r="D36">
        <v>7</v>
      </c>
      <c r="E36" s="21">
        <f t="shared" si="0"/>
        <v>200.976</v>
      </c>
      <c r="F36" s="25">
        <v>0.84799999999999998</v>
      </c>
    </row>
    <row r="37" spans="1:6" x14ac:dyDescent="0.35">
      <c r="A37" t="s">
        <v>115</v>
      </c>
      <c r="B37">
        <v>237</v>
      </c>
      <c r="C37">
        <v>356</v>
      </c>
      <c r="D37">
        <v>10.7</v>
      </c>
      <c r="E37" s="21">
        <f t="shared" si="0"/>
        <v>182.49</v>
      </c>
      <c r="F37" s="25">
        <v>0.77</v>
      </c>
    </row>
    <row r="38" spans="1:6" x14ac:dyDescent="0.35">
      <c r="A38" t="s">
        <v>116</v>
      </c>
      <c r="B38">
        <v>237</v>
      </c>
      <c r="C38">
        <v>150</v>
      </c>
      <c r="D38">
        <v>7</v>
      </c>
      <c r="E38" s="21">
        <f t="shared" si="0"/>
        <v>210.93</v>
      </c>
      <c r="F38" s="25">
        <v>0.89</v>
      </c>
    </row>
    <row r="39" spans="1:6" x14ac:dyDescent="0.35">
      <c r="A39" t="s">
        <v>117</v>
      </c>
      <c r="B39">
        <v>250</v>
      </c>
      <c r="C39">
        <v>250</v>
      </c>
      <c r="D39">
        <v>10</v>
      </c>
      <c r="E39" s="21">
        <f t="shared" si="0"/>
        <v>212.5</v>
      </c>
      <c r="F39" s="25">
        <v>0.85</v>
      </c>
    </row>
    <row r="40" spans="1:6" x14ac:dyDescent="0.35">
      <c r="A40" t="s">
        <v>0</v>
      </c>
      <c r="B40">
        <v>250</v>
      </c>
      <c r="C40">
        <v>375</v>
      </c>
      <c r="D40">
        <v>17</v>
      </c>
      <c r="E40" s="21">
        <f t="shared" si="0"/>
        <v>192.5</v>
      </c>
      <c r="F40" s="25">
        <v>0.77</v>
      </c>
    </row>
    <row r="41" spans="1:6" x14ac:dyDescent="0.35">
      <c r="A41" t="s">
        <v>118</v>
      </c>
      <c r="B41">
        <v>250</v>
      </c>
      <c r="C41">
        <v>250</v>
      </c>
      <c r="D41">
        <v>7.5</v>
      </c>
      <c r="E41" s="21">
        <f t="shared" si="0"/>
        <v>212.5</v>
      </c>
      <c r="F41" s="25">
        <v>0.85</v>
      </c>
    </row>
    <row r="42" spans="1:6" x14ac:dyDescent="0.35">
      <c r="A42" t="s">
        <v>119</v>
      </c>
      <c r="B42">
        <v>250</v>
      </c>
      <c r="C42">
        <v>375</v>
      </c>
      <c r="D42">
        <v>11.5</v>
      </c>
      <c r="E42" s="21">
        <f t="shared" si="0"/>
        <v>193</v>
      </c>
      <c r="F42" s="25">
        <v>0.77200000000000002</v>
      </c>
    </row>
    <row r="43" spans="1:6" x14ac:dyDescent="0.35">
      <c r="A43" t="s">
        <v>120</v>
      </c>
      <c r="B43">
        <v>237</v>
      </c>
      <c r="C43">
        <v>330</v>
      </c>
      <c r="D43">
        <v>12</v>
      </c>
      <c r="E43" s="21">
        <f t="shared" si="0"/>
        <v>180.12</v>
      </c>
      <c r="F43" s="25">
        <v>0.76</v>
      </c>
    </row>
    <row r="44" spans="1:6" x14ac:dyDescent="0.35">
      <c r="A44" t="s">
        <v>121</v>
      </c>
      <c r="B44">
        <v>250</v>
      </c>
      <c r="C44">
        <v>250</v>
      </c>
      <c r="D44">
        <v>12.5</v>
      </c>
      <c r="E44" s="21">
        <f t="shared" si="0"/>
        <v>212.5</v>
      </c>
      <c r="F44" s="25">
        <v>0.85</v>
      </c>
    </row>
  </sheetData>
  <sheetProtection algorithmName="SHA-512" hashValue="n5UgJYac3dL4jpyTZQ82kTxctEWiHDTN7ldQ8jEWeP8wTqypPwStV5RWC9vtlfLc/lJUXmvIfS5bZGTnGA7LYg==" saltValue="fNCs22eUGCb1xFoBaVdpjg==" spinCount="100000" sheet="1" objects="1" scenarios="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941CA-DE3A-49C2-B4C1-E47A68C02977}">
  <dimension ref="A1:K56"/>
  <sheetViews>
    <sheetView tabSelected="1" workbookViewId="0">
      <selection activeCell="D23" sqref="D23"/>
    </sheetView>
  </sheetViews>
  <sheetFormatPr defaultRowHeight="14.5" x14ac:dyDescent="0.35"/>
  <cols>
    <col min="1" max="1" width="28.453125" customWidth="1"/>
    <col min="2" max="2" width="22.7265625" bestFit="1" customWidth="1"/>
    <col min="3" max="3" width="9" bestFit="1" customWidth="1"/>
    <col min="4" max="4" width="11.453125" bestFit="1" customWidth="1"/>
    <col min="5" max="5" width="16.1796875" bestFit="1" customWidth="1"/>
    <col min="6" max="6" width="15.26953125" bestFit="1" customWidth="1"/>
    <col min="7" max="7" width="20.453125" bestFit="1" customWidth="1"/>
    <col min="8" max="8" width="8.1796875" bestFit="1" customWidth="1"/>
    <col min="9" max="9" width="8.54296875" bestFit="1" customWidth="1"/>
    <col min="10" max="10" width="8.54296875" customWidth="1"/>
    <col min="11" max="11" width="8.453125" bestFit="1" customWidth="1"/>
  </cols>
  <sheetData>
    <row r="1" spans="1:11" x14ac:dyDescent="0.35">
      <c r="A1" t="s">
        <v>122</v>
      </c>
      <c r="B1" t="s">
        <v>123</v>
      </c>
      <c r="C1" t="s">
        <v>124</v>
      </c>
      <c r="D1" t="s">
        <v>125</v>
      </c>
      <c r="E1" t="s">
        <v>126</v>
      </c>
      <c r="F1" t="s">
        <v>31</v>
      </c>
      <c r="G1" t="s">
        <v>127</v>
      </c>
      <c r="H1" t="s">
        <v>46</v>
      </c>
      <c r="I1" t="s">
        <v>128</v>
      </c>
      <c r="J1" t="s">
        <v>30</v>
      </c>
      <c r="K1" t="s">
        <v>129</v>
      </c>
    </row>
    <row r="2" spans="1:11" x14ac:dyDescent="0.35">
      <c r="A2" t="s">
        <v>130</v>
      </c>
      <c r="B2" t="s">
        <v>131</v>
      </c>
      <c r="C2">
        <v>5</v>
      </c>
      <c r="D2">
        <v>25</v>
      </c>
      <c r="E2">
        <v>0</v>
      </c>
      <c r="F2">
        <f>G2*C2</f>
        <v>3.85</v>
      </c>
      <c r="G2">
        <v>0.77</v>
      </c>
      <c r="H2">
        <v>2.85</v>
      </c>
      <c r="J2">
        <v>0</v>
      </c>
      <c r="K2">
        <v>400</v>
      </c>
    </row>
    <row r="3" spans="1:11" x14ac:dyDescent="0.35">
      <c r="A3" t="s">
        <v>132</v>
      </c>
      <c r="B3" t="s">
        <v>131</v>
      </c>
      <c r="C3">
        <v>7</v>
      </c>
      <c r="D3">
        <v>25</v>
      </c>
      <c r="E3">
        <v>6</v>
      </c>
      <c r="F3">
        <f>G3*C3</f>
        <v>4.97</v>
      </c>
      <c r="G3">
        <v>0.71</v>
      </c>
      <c r="H3">
        <v>1.56</v>
      </c>
      <c r="J3">
        <v>0</v>
      </c>
      <c r="K3">
        <v>227</v>
      </c>
    </row>
    <row r="4" spans="1:11" x14ac:dyDescent="0.35">
      <c r="A4" t="s">
        <v>133</v>
      </c>
      <c r="B4" t="s">
        <v>134</v>
      </c>
      <c r="C4">
        <v>3.75</v>
      </c>
      <c r="D4">
        <v>15</v>
      </c>
      <c r="E4">
        <v>0.25</v>
      </c>
      <c r="F4">
        <f>G4*C4</f>
        <v>3.75</v>
      </c>
      <c r="G4">
        <v>1</v>
      </c>
      <c r="H4">
        <v>1.25</v>
      </c>
      <c r="I4">
        <v>60</v>
      </c>
      <c r="J4">
        <v>0</v>
      </c>
    </row>
    <row r="5" spans="1:11" x14ac:dyDescent="0.35">
      <c r="A5" t="s">
        <v>135</v>
      </c>
      <c r="B5" t="s">
        <v>136</v>
      </c>
      <c r="C5">
        <v>1</v>
      </c>
      <c r="D5">
        <v>7.7</v>
      </c>
      <c r="E5">
        <v>0</v>
      </c>
      <c r="F5">
        <f>G5*C5</f>
        <v>1</v>
      </c>
      <c r="G5">
        <v>1</v>
      </c>
      <c r="H5">
        <v>5</v>
      </c>
      <c r="I5">
        <v>240</v>
      </c>
      <c r="K5">
        <v>946</v>
      </c>
    </row>
    <row r="6" spans="1:11" x14ac:dyDescent="0.35">
      <c r="A6" t="s">
        <v>137</v>
      </c>
      <c r="B6" t="s">
        <v>136</v>
      </c>
      <c r="C6">
        <v>1</v>
      </c>
      <c r="D6">
        <v>8</v>
      </c>
      <c r="E6">
        <v>0</v>
      </c>
      <c r="F6">
        <v>1</v>
      </c>
      <c r="G6">
        <v>1</v>
      </c>
    </row>
    <row r="7" spans="1:11" x14ac:dyDescent="0.35">
      <c r="A7" t="s">
        <v>138</v>
      </c>
      <c r="B7" t="s">
        <v>134</v>
      </c>
      <c r="D7">
        <v>60</v>
      </c>
      <c r="E7">
        <v>0</v>
      </c>
      <c r="F7">
        <v>60</v>
      </c>
      <c r="G7">
        <v>1</v>
      </c>
    </row>
    <row r="8" spans="1:11" x14ac:dyDescent="0.35">
      <c r="A8" t="s">
        <v>139</v>
      </c>
      <c r="B8" t="s">
        <v>134</v>
      </c>
      <c r="E8" t="s">
        <v>12</v>
      </c>
    </row>
    <row r="9" spans="1:11" x14ac:dyDescent="0.35">
      <c r="A9" t="s">
        <v>26</v>
      </c>
      <c r="B9">
        <v>0</v>
      </c>
      <c r="C9">
        <v>0</v>
      </c>
      <c r="D9">
        <v>0</v>
      </c>
      <c r="E9">
        <v>0</v>
      </c>
      <c r="F9">
        <v>0</v>
      </c>
      <c r="G9">
        <v>0</v>
      </c>
      <c r="H9">
        <v>0</v>
      </c>
      <c r="I9">
        <v>0</v>
      </c>
      <c r="J9">
        <v>0</v>
      </c>
      <c r="K9">
        <v>0</v>
      </c>
    </row>
    <row r="10" spans="1:11" x14ac:dyDescent="0.35">
      <c r="A10" t="s">
        <v>140</v>
      </c>
      <c r="B10" t="s">
        <v>141</v>
      </c>
      <c r="C10">
        <v>5</v>
      </c>
      <c r="D10">
        <v>16.399999999999999</v>
      </c>
      <c r="E10">
        <v>4</v>
      </c>
      <c r="F10">
        <v>3.75</v>
      </c>
      <c r="G10">
        <v>0.75</v>
      </c>
      <c r="J10">
        <v>0</v>
      </c>
      <c r="K10">
        <v>200</v>
      </c>
    </row>
    <row r="11" spans="1:11" x14ac:dyDescent="0.35">
      <c r="A11" t="s">
        <v>81</v>
      </c>
      <c r="B11" t="s">
        <v>142</v>
      </c>
      <c r="C11">
        <v>237</v>
      </c>
      <c r="D11">
        <v>360</v>
      </c>
      <c r="E11">
        <v>10</v>
      </c>
      <c r="F11">
        <v>237</v>
      </c>
      <c r="G11">
        <v>1</v>
      </c>
      <c r="J11" s="21">
        <v>185</v>
      </c>
    </row>
    <row r="12" spans="1:11" ht="17.5" x14ac:dyDescent="0.35">
      <c r="A12" t="s">
        <v>80</v>
      </c>
      <c r="F12" s="38"/>
    </row>
    <row r="13" spans="1:11" ht="17.5" x14ac:dyDescent="0.35">
      <c r="F13" s="38"/>
    </row>
    <row r="14" spans="1:11" x14ac:dyDescent="0.35">
      <c r="A14" t="s">
        <v>82</v>
      </c>
      <c r="B14" t="s">
        <v>143</v>
      </c>
      <c r="C14">
        <v>237</v>
      </c>
      <c r="D14">
        <v>240</v>
      </c>
      <c r="E14">
        <v>10</v>
      </c>
      <c r="F14">
        <v>237</v>
      </c>
      <c r="G14">
        <v>1</v>
      </c>
      <c r="J14" s="21">
        <v>199.07999999999998</v>
      </c>
    </row>
    <row r="15" spans="1:11" x14ac:dyDescent="0.35">
      <c r="A15" t="s">
        <v>83</v>
      </c>
      <c r="B15" t="s">
        <v>143</v>
      </c>
      <c r="C15">
        <v>237</v>
      </c>
      <c r="D15">
        <v>360</v>
      </c>
      <c r="E15">
        <v>14</v>
      </c>
      <c r="F15">
        <v>237</v>
      </c>
      <c r="G15">
        <v>1</v>
      </c>
      <c r="J15" s="21">
        <v>182.49</v>
      </c>
    </row>
    <row r="16" spans="1:11" x14ac:dyDescent="0.35">
      <c r="A16" t="s">
        <v>84</v>
      </c>
      <c r="B16" t="s">
        <v>143</v>
      </c>
      <c r="C16">
        <v>250</v>
      </c>
      <c r="D16">
        <v>265</v>
      </c>
      <c r="E16">
        <v>12</v>
      </c>
      <c r="F16">
        <v>250</v>
      </c>
      <c r="G16">
        <v>1</v>
      </c>
      <c r="J16" s="21">
        <v>207.5</v>
      </c>
    </row>
    <row r="17" spans="1:10" x14ac:dyDescent="0.35">
      <c r="A17" t="s">
        <v>85</v>
      </c>
      <c r="B17" t="s">
        <v>144</v>
      </c>
      <c r="C17">
        <v>300</v>
      </c>
      <c r="D17">
        <v>380</v>
      </c>
      <c r="E17">
        <v>19</v>
      </c>
      <c r="F17">
        <v>300</v>
      </c>
      <c r="G17">
        <v>1</v>
      </c>
      <c r="J17" s="21">
        <v>243.00000000000003</v>
      </c>
    </row>
    <row r="18" spans="1:10" x14ac:dyDescent="0.35">
      <c r="A18" t="s">
        <v>86</v>
      </c>
      <c r="B18" t="s">
        <v>144</v>
      </c>
      <c r="C18">
        <v>300</v>
      </c>
      <c r="D18">
        <v>360</v>
      </c>
      <c r="E18">
        <v>13</v>
      </c>
      <c r="F18">
        <v>300</v>
      </c>
      <c r="G18">
        <v>1</v>
      </c>
      <c r="J18" s="21">
        <v>245.99999999999997</v>
      </c>
    </row>
    <row r="19" spans="1:10" x14ac:dyDescent="0.35">
      <c r="A19" t="s">
        <v>87</v>
      </c>
      <c r="B19" t="s">
        <v>143</v>
      </c>
      <c r="C19">
        <v>250</v>
      </c>
      <c r="D19">
        <v>375</v>
      </c>
      <c r="E19">
        <v>13</v>
      </c>
      <c r="F19">
        <v>250</v>
      </c>
      <c r="G19">
        <v>1</v>
      </c>
      <c r="J19" s="21">
        <v>192.5</v>
      </c>
    </row>
    <row r="20" spans="1:10" x14ac:dyDescent="0.35">
      <c r="A20" t="s">
        <v>88</v>
      </c>
      <c r="B20" t="s">
        <v>143</v>
      </c>
      <c r="C20">
        <v>250</v>
      </c>
      <c r="D20">
        <v>250</v>
      </c>
      <c r="E20">
        <v>8</v>
      </c>
      <c r="F20">
        <v>250</v>
      </c>
      <c r="G20">
        <v>1</v>
      </c>
      <c r="J20" s="21">
        <v>210</v>
      </c>
    </row>
    <row r="21" spans="1:10" x14ac:dyDescent="0.35">
      <c r="A21" t="s">
        <v>89</v>
      </c>
      <c r="B21" t="s">
        <v>143</v>
      </c>
      <c r="C21">
        <v>250</v>
      </c>
      <c r="D21">
        <v>350</v>
      </c>
      <c r="E21">
        <v>11</v>
      </c>
      <c r="F21">
        <v>250</v>
      </c>
      <c r="G21">
        <v>1</v>
      </c>
      <c r="J21" s="21">
        <v>197</v>
      </c>
    </row>
    <row r="22" spans="1:10" x14ac:dyDescent="0.35">
      <c r="A22" t="s">
        <v>90</v>
      </c>
      <c r="B22" t="s">
        <v>143</v>
      </c>
      <c r="C22">
        <v>250</v>
      </c>
      <c r="D22">
        <v>150</v>
      </c>
      <c r="E22">
        <v>7.5</v>
      </c>
      <c r="F22">
        <v>250</v>
      </c>
      <c r="G22">
        <v>1</v>
      </c>
      <c r="J22" s="21">
        <v>225</v>
      </c>
    </row>
    <row r="23" spans="1:10" x14ac:dyDescent="0.35">
      <c r="A23" t="s">
        <v>91</v>
      </c>
      <c r="B23" t="s">
        <v>143</v>
      </c>
      <c r="C23">
        <v>250</v>
      </c>
      <c r="D23">
        <v>250</v>
      </c>
      <c r="E23">
        <v>9.5</v>
      </c>
      <c r="F23">
        <v>250</v>
      </c>
      <c r="G23">
        <v>1</v>
      </c>
      <c r="J23" s="21">
        <v>210</v>
      </c>
    </row>
    <row r="24" spans="1:10" x14ac:dyDescent="0.35">
      <c r="A24" t="s">
        <v>92</v>
      </c>
      <c r="B24" t="s">
        <v>143</v>
      </c>
      <c r="C24">
        <v>250</v>
      </c>
      <c r="D24">
        <v>375</v>
      </c>
      <c r="E24">
        <v>18</v>
      </c>
      <c r="F24">
        <v>250</v>
      </c>
      <c r="G24">
        <v>1</v>
      </c>
      <c r="J24" s="21">
        <v>190</v>
      </c>
    </row>
    <row r="25" spans="1:10" x14ac:dyDescent="0.35">
      <c r="A25" t="s">
        <v>93</v>
      </c>
      <c r="B25" t="s">
        <v>145</v>
      </c>
      <c r="C25">
        <v>237</v>
      </c>
      <c r="D25">
        <v>285</v>
      </c>
      <c r="E25">
        <v>14</v>
      </c>
      <c r="F25">
        <v>237</v>
      </c>
      <c r="G25">
        <v>1</v>
      </c>
      <c r="J25" s="21">
        <v>184.86</v>
      </c>
    </row>
    <row r="26" spans="1:10" x14ac:dyDescent="0.35">
      <c r="A26" t="s">
        <v>94</v>
      </c>
      <c r="B26" t="s">
        <v>145</v>
      </c>
      <c r="C26">
        <v>237</v>
      </c>
      <c r="D26">
        <v>250</v>
      </c>
      <c r="E26">
        <v>9</v>
      </c>
      <c r="F26">
        <v>237</v>
      </c>
      <c r="G26">
        <v>1</v>
      </c>
      <c r="J26" s="21">
        <v>199.07999999999998</v>
      </c>
    </row>
    <row r="27" spans="1:10" x14ac:dyDescent="0.35">
      <c r="A27" t="s">
        <v>95</v>
      </c>
      <c r="B27" t="s">
        <v>145</v>
      </c>
      <c r="C27">
        <v>237</v>
      </c>
      <c r="D27">
        <v>350</v>
      </c>
      <c r="E27">
        <v>13</v>
      </c>
      <c r="F27">
        <v>237</v>
      </c>
      <c r="G27">
        <v>1</v>
      </c>
      <c r="J27" s="21">
        <v>184.86</v>
      </c>
    </row>
    <row r="28" spans="1:10" x14ac:dyDescent="0.35">
      <c r="A28" t="s">
        <v>96</v>
      </c>
      <c r="B28" t="s">
        <v>143</v>
      </c>
      <c r="C28">
        <v>250</v>
      </c>
      <c r="D28">
        <v>375</v>
      </c>
      <c r="E28">
        <v>17</v>
      </c>
      <c r="F28">
        <v>250</v>
      </c>
      <c r="G28">
        <v>1</v>
      </c>
      <c r="J28" s="21">
        <v>190</v>
      </c>
    </row>
    <row r="29" spans="1:10" x14ac:dyDescent="0.35">
      <c r="A29" t="s">
        <v>97</v>
      </c>
      <c r="B29" t="s">
        <v>143</v>
      </c>
      <c r="C29">
        <v>250</v>
      </c>
      <c r="D29">
        <v>250</v>
      </c>
      <c r="E29">
        <v>9</v>
      </c>
      <c r="F29">
        <v>250</v>
      </c>
      <c r="G29">
        <v>1</v>
      </c>
      <c r="J29" s="21">
        <v>200</v>
      </c>
    </row>
    <row r="30" spans="1:10" x14ac:dyDescent="0.35">
      <c r="A30" s="30" t="s">
        <v>98</v>
      </c>
      <c r="B30" t="s">
        <v>143</v>
      </c>
      <c r="C30">
        <v>250</v>
      </c>
      <c r="D30">
        <v>375</v>
      </c>
      <c r="E30">
        <v>13</v>
      </c>
      <c r="F30">
        <v>250</v>
      </c>
      <c r="G30">
        <v>1</v>
      </c>
      <c r="J30" s="21">
        <v>175</v>
      </c>
    </row>
    <row r="31" spans="1:10" x14ac:dyDescent="0.35">
      <c r="A31" t="s">
        <v>99</v>
      </c>
      <c r="B31" t="s">
        <v>143</v>
      </c>
      <c r="C31">
        <v>325</v>
      </c>
      <c r="D31">
        <v>325</v>
      </c>
      <c r="E31">
        <v>16</v>
      </c>
      <c r="F31">
        <v>325</v>
      </c>
      <c r="G31">
        <v>1</v>
      </c>
      <c r="J31" s="21">
        <v>256.75</v>
      </c>
    </row>
    <row r="32" spans="1:10" x14ac:dyDescent="0.35">
      <c r="A32" t="s">
        <v>100</v>
      </c>
      <c r="B32" t="s">
        <v>143</v>
      </c>
      <c r="C32">
        <v>325</v>
      </c>
      <c r="D32">
        <v>500</v>
      </c>
      <c r="E32">
        <v>24</v>
      </c>
      <c r="F32">
        <v>325</v>
      </c>
      <c r="G32">
        <v>1</v>
      </c>
      <c r="J32" s="21">
        <v>227.49999999999997</v>
      </c>
    </row>
    <row r="33" spans="1:10" x14ac:dyDescent="0.35">
      <c r="A33" t="s">
        <v>101</v>
      </c>
      <c r="B33" t="s">
        <v>143</v>
      </c>
      <c r="C33">
        <v>325</v>
      </c>
      <c r="D33">
        <v>455</v>
      </c>
      <c r="E33">
        <v>20</v>
      </c>
      <c r="F33">
        <v>325</v>
      </c>
      <c r="G33">
        <v>1</v>
      </c>
      <c r="J33" s="21">
        <v>234</v>
      </c>
    </row>
    <row r="34" spans="1:10" x14ac:dyDescent="0.35">
      <c r="A34" t="s">
        <v>102</v>
      </c>
      <c r="B34" t="s">
        <v>143</v>
      </c>
      <c r="C34">
        <v>250</v>
      </c>
      <c r="D34">
        <v>300</v>
      </c>
      <c r="E34">
        <v>12</v>
      </c>
      <c r="F34">
        <v>250</v>
      </c>
      <c r="G34">
        <v>1</v>
      </c>
      <c r="J34" s="21">
        <v>187.5</v>
      </c>
    </row>
    <row r="35" spans="1:10" x14ac:dyDescent="0.35">
      <c r="A35" t="s">
        <v>103</v>
      </c>
      <c r="B35" t="s">
        <v>143</v>
      </c>
      <c r="C35">
        <v>237</v>
      </c>
      <c r="D35">
        <v>237</v>
      </c>
      <c r="E35">
        <v>7.1</v>
      </c>
      <c r="F35">
        <v>237</v>
      </c>
      <c r="G35">
        <v>1</v>
      </c>
      <c r="J35" s="21">
        <v>201.45</v>
      </c>
    </row>
    <row r="36" spans="1:10" x14ac:dyDescent="0.35">
      <c r="A36" t="s">
        <v>104</v>
      </c>
      <c r="B36" t="s">
        <v>144</v>
      </c>
      <c r="C36">
        <v>300</v>
      </c>
      <c r="D36">
        <v>400</v>
      </c>
      <c r="E36">
        <v>14</v>
      </c>
      <c r="F36">
        <v>300</v>
      </c>
      <c r="G36">
        <v>1</v>
      </c>
      <c r="J36" s="21">
        <v>219</v>
      </c>
    </row>
    <row r="37" spans="1:10" x14ac:dyDescent="0.35">
      <c r="A37" t="s">
        <v>105</v>
      </c>
      <c r="B37" t="s">
        <v>144</v>
      </c>
      <c r="C37">
        <v>300</v>
      </c>
      <c r="D37">
        <v>520</v>
      </c>
      <c r="E37">
        <v>16</v>
      </c>
      <c r="F37">
        <v>300</v>
      </c>
      <c r="G37">
        <v>1</v>
      </c>
      <c r="J37" s="21">
        <v>138</v>
      </c>
    </row>
    <row r="38" spans="1:10" x14ac:dyDescent="0.35">
      <c r="A38" t="s">
        <v>106</v>
      </c>
      <c r="B38" t="s">
        <v>143</v>
      </c>
      <c r="C38">
        <v>250</v>
      </c>
      <c r="D38">
        <v>250</v>
      </c>
      <c r="E38">
        <v>10</v>
      </c>
      <c r="F38">
        <v>250</v>
      </c>
      <c r="G38">
        <v>1</v>
      </c>
      <c r="J38" s="21">
        <v>210</v>
      </c>
    </row>
    <row r="39" spans="1:10" x14ac:dyDescent="0.35">
      <c r="A39" t="s">
        <v>107</v>
      </c>
      <c r="B39" t="s">
        <v>143</v>
      </c>
      <c r="C39">
        <v>250</v>
      </c>
      <c r="D39">
        <v>375</v>
      </c>
      <c r="E39">
        <v>17</v>
      </c>
      <c r="F39">
        <v>250</v>
      </c>
      <c r="G39">
        <v>1</v>
      </c>
      <c r="J39" s="21">
        <v>190</v>
      </c>
    </row>
    <row r="40" spans="1:10" x14ac:dyDescent="0.35">
      <c r="A40" t="s">
        <v>108</v>
      </c>
      <c r="B40" t="s">
        <v>143</v>
      </c>
      <c r="C40">
        <v>250</v>
      </c>
      <c r="D40">
        <v>500</v>
      </c>
      <c r="E40">
        <v>21</v>
      </c>
      <c r="F40">
        <v>250</v>
      </c>
      <c r="G40">
        <v>1</v>
      </c>
      <c r="J40" s="21">
        <v>172.5</v>
      </c>
    </row>
    <row r="41" spans="1:10" x14ac:dyDescent="0.35">
      <c r="A41" t="s">
        <v>109</v>
      </c>
      <c r="B41" t="s">
        <v>143</v>
      </c>
      <c r="C41">
        <v>250</v>
      </c>
      <c r="D41">
        <v>250</v>
      </c>
      <c r="E41">
        <v>7.5</v>
      </c>
      <c r="F41">
        <v>250</v>
      </c>
      <c r="G41">
        <v>1</v>
      </c>
      <c r="J41" s="21">
        <v>212.5</v>
      </c>
    </row>
    <row r="42" spans="1:10" x14ac:dyDescent="0.35">
      <c r="A42" t="s">
        <v>110</v>
      </c>
      <c r="B42" t="s">
        <v>143</v>
      </c>
      <c r="C42">
        <v>237</v>
      </c>
      <c r="D42">
        <v>350</v>
      </c>
      <c r="E42">
        <v>14</v>
      </c>
      <c r="F42">
        <v>237</v>
      </c>
      <c r="G42">
        <v>1</v>
      </c>
      <c r="J42" s="21">
        <v>184.86</v>
      </c>
    </row>
    <row r="43" spans="1:10" x14ac:dyDescent="0.35">
      <c r="A43" t="s">
        <v>111</v>
      </c>
      <c r="B43" t="s">
        <v>146</v>
      </c>
      <c r="C43">
        <v>237</v>
      </c>
      <c r="D43">
        <v>240</v>
      </c>
      <c r="E43">
        <v>7</v>
      </c>
      <c r="F43">
        <v>237</v>
      </c>
      <c r="G43">
        <v>1</v>
      </c>
      <c r="J43" s="21">
        <v>199.07999999999998</v>
      </c>
    </row>
    <row r="44" spans="1:10" x14ac:dyDescent="0.35">
      <c r="A44" t="s">
        <v>112</v>
      </c>
      <c r="B44" t="s">
        <v>145</v>
      </c>
      <c r="C44">
        <v>237</v>
      </c>
      <c r="D44">
        <v>240</v>
      </c>
      <c r="E44">
        <v>6</v>
      </c>
      <c r="F44">
        <v>237</v>
      </c>
      <c r="G44">
        <v>1</v>
      </c>
      <c r="J44" s="21">
        <v>199.07999999999998</v>
      </c>
    </row>
    <row r="45" spans="1:10" x14ac:dyDescent="0.35">
      <c r="A45" t="s">
        <v>113</v>
      </c>
      <c r="B45" t="s">
        <v>145</v>
      </c>
      <c r="C45">
        <v>237</v>
      </c>
      <c r="D45">
        <v>240</v>
      </c>
      <c r="E45">
        <v>9</v>
      </c>
      <c r="F45">
        <v>237</v>
      </c>
      <c r="G45">
        <v>1</v>
      </c>
      <c r="J45" s="21">
        <v>196.70999999999998</v>
      </c>
    </row>
    <row r="46" spans="1:10" x14ac:dyDescent="0.35">
      <c r="A46" t="s">
        <v>114</v>
      </c>
      <c r="B46" t="s">
        <v>145</v>
      </c>
      <c r="C46">
        <v>237</v>
      </c>
      <c r="D46">
        <v>237</v>
      </c>
      <c r="E46">
        <v>7</v>
      </c>
      <c r="F46">
        <v>237</v>
      </c>
      <c r="G46">
        <v>1</v>
      </c>
      <c r="J46" s="21">
        <v>200.976</v>
      </c>
    </row>
    <row r="47" spans="1:10" x14ac:dyDescent="0.35">
      <c r="A47" t="s">
        <v>115</v>
      </c>
      <c r="B47" t="s">
        <v>145</v>
      </c>
      <c r="C47">
        <v>237</v>
      </c>
      <c r="D47">
        <v>356</v>
      </c>
      <c r="E47">
        <v>10.7</v>
      </c>
      <c r="F47">
        <v>237</v>
      </c>
      <c r="G47">
        <v>1</v>
      </c>
      <c r="J47" s="21">
        <v>182.49</v>
      </c>
    </row>
    <row r="48" spans="1:10" x14ac:dyDescent="0.35">
      <c r="A48" t="s">
        <v>116</v>
      </c>
      <c r="B48" t="s">
        <v>145</v>
      </c>
      <c r="C48">
        <v>237</v>
      </c>
      <c r="D48">
        <v>150</v>
      </c>
      <c r="E48">
        <v>7</v>
      </c>
      <c r="F48">
        <v>237</v>
      </c>
      <c r="G48">
        <v>1</v>
      </c>
      <c r="J48" s="21">
        <v>210.93</v>
      </c>
    </row>
    <row r="49" spans="1:10" x14ac:dyDescent="0.35">
      <c r="A49" t="s">
        <v>117</v>
      </c>
      <c r="B49" t="s">
        <v>143</v>
      </c>
      <c r="C49">
        <v>250</v>
      </c>
      <c r="D49">
        <v>250</v>
      </c>
      <c r="E49">
        <v>10</v>
      </c>
      <c r="F49">
        <v>250</v>
      </c>
      <c r="G49">
        <v>1</v>
      </c>
      <c r="J49" s="21">
        <v>212.5</v>
      </c>
    </row>
    <row r="50" spans="1:10" x14ac:dyDescent="0.35">
      <c r="A50" t="s">
        <v>0</v>
      </c>
      <c r="B50" t="s">
        <v>143</v>
      </c>
      <c r="C50">
        <v>250</v>
      </c>
      <c r="D50">
        <v>375</v>
      </c>
      <c r="E50">
        <v>17</v>
      </c>
      <c r="F50">
        <v>250</v>
      </c>
      <c r="G50">
        <v>1</v>
      </c>
      <c r="J50" s="21">
        <v>192.5</v>
      </c>
    </row>
    <row r="51" spans="1:10" x14ac:dyDescent="0.35">
      <c r="A51" t="s">
        <v>118</v>
      </c>
      <c r="B51" t="s">
        <v>143</v>
      </c>
      <c r="C51">
        <v>250</v>
      </c>
      <c r="D51">
        <v>250</v>
      </c>
      <c r="E51">
        <v>7.5</v>
      </c>
      <c r="F51">
        <v>250</v>
      </c>
      <c r="G51">
        <v>1</v>
      </c>
      <c r="J51" s="21">
        <v>212.5</v>
      </c>
    </row>
    <row r="52" spans="1:10" x14ac:dyDescent="0.35">
      <c r="A52" t="s">
        <v>119</v>
      </c>
      <c r="B52" t="s">
        <v>143</v>
      </c>
      <c r="C52">
        <v>250</v>
      </c>
      <c r="D52">
        <v>375</v>
      </c>
      <c r="E52">
        <v>11.5</v>
      </c>
      <c r="F52">
        <v>250</v>
      </c>
      <c r="G52">
        <v>1</v>
      </c>
      <c r="J52" s="21">
        <v>193</v>
      </c>
    </row>
    <row r="53" spans="1:10" x14ac:dyDescent="0.35">
      <c r="A53" t="s">
        <v>120</v>
      </c>
      <c r="B53" t="s">
        <v>144</v>
      </c>
      <c r="C53">
        <v>237</v>
      </c>
      <c r="D53">
        <v>330</v>
      </c>
      <c r="E53">
        <v>12</v>
      </c>
      <c r="F53">
        <v>237</v>
      </c>
      <c r="G53">
        <v>1</v>
      </c>
      <c r="J53" s="21">
        <v>180.12</v>
      </c>
    </row>
    <row r="54" spans="1:10" x14ac:dyDescent="0.35">
      <c r="A54" t="s">
        <v>121</v>
      </c>
      <c r="B54" t="s">
        <v>143</v>
      </c>
      <c r="C54">
        <v>250</v>
      </c>
      <c r="D54">
        <v>250</v>
      </c>
      <c r="E54">
        <v>12.5</v>
      </c>
      <c r="F54">
        <v>250</v>
      </c>
      <c r="G54">
        <v>1</v>
      </c>
      <c r="J54" s="21">
        <v>212.5</v>
      </c>
    </row>
    <row r="55" spans="1:10" ht="17.5" x14ac:dyDescent="0.35">
      <c r="F55" s="38"/>
    </row>
    <row r="56" spans="1:10" ht="17.5" x14ac:dyDescent="0.35">
      <c r="F56" s="38"/>
    </row>
  </sheetData>
  <sheetProtection algorithmName="SHA-512" hashValue="iwmXxaAh8HrnW0jzTnbM2XQFV2FLx/8gbWgs0OugT6QFxQ+aRVO8fSHc32Jyg1MYWCJQ1oTLyUQHD8fbWeXGfw==" saltValue="GkbiBtEoV45QAuyenKrWNw==" spinCount="100000" sheet="1" objects="1" scenarios="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Calculator for Liquid Formulas</vt:lpstr>
      <vt:lpstr>DRI Data for Liquid Formulas</vt:lpstr>
      <vt:lpstr>Liquid Formulas Data</vt:lpstr>
      <vt:lpstr>Modulars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Rebecca Wolfe</cp:lastModifiedBy>
  <cp:revision/>
  <dcterms:created xsi:type="dcterms:W3CDTF">2022-09-26T18:59:10Z</dcterms:created>
  <dcterms:modified xsi:type="dcterms:W3CDTF">2022-10-22T12:49:11Z</dcterms:modified>
  <cp:category/>
  <cp:contentStatus/>
</cp:coreProperties>
</file>